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5.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D:\01 MS Data Science\04 Academics\02 Sem\06 Descriptive Analytics And Visualisation\Assignments\01_Due on 18-Aug\"/>
    </mc:Choice>
  </mc:AlternateContent>
  <xr:revisionPtr revIDLastSave="0" documentId="13_ncr:1_{A9F4DDB3-87EE-448C-BFA8-30A15C2C875E}" xr6:coauthVersionLast="45" xr6:coauthVersionMax="45" xr10:uidLastSave="{00000000-0000-0000-0000-000000000000}"/>
  <bookViews>
    <workbookView xWindow="-108" yWindow="-108" windowWidth="23256" windowHeight="12576" tabRatio="933" xr2:uid="{00000000-000D-0000-FFFF-FFFF00000000}"/>
  </bookViews>
  <sheets>
    <sheet name="CaseStudy" sheetId="39" r:id="rId1"/>
    <sheet name="Data Description" sheetId="2" r:id="rId2"/>
    <sheet name="Sheet2" sheetId="36" state="hidden" r:id="rId3"/>
    <sheet name="Descriptive analysis" sheetId="12" r:id="rId4"/>
    <sheet name="Descriptive analysis charts" sheetId="38" r:id="rId5"/>
    <sheet name="CustomerDataSet_Original" sheetId="10" r:id="rId6"/>
    <sheet name="Q1" sheetId="13" r:id="rId7"/>
    <sheet name="Q2" sheetId="14" r:id="rId8"/>
    <sheet name="Q3.a" sheetId="17" r:id="rId9"/>
    <sheet name="Q3.b" sheetId="18" r:id="rId10"/>
    <sheet name="Q3.c" sheetId="19" r:id="rId11"/>
    <sheet name="Q4.a" sheetId="21" r:id="rId12"/>
    <sheet name="Q4.b" sheetId="25" r:id="rId13"/>
    <sheet name="Q5" sheetId="26" r:id="rId14"/>
    <sheet name="Q6" sheetId="34" r:id="rId15"/>
  </sheets>
  <externalReferences>
    <externalReference r:id="rId16"/>
  </externalReferences>
  <definedNames>
    <definedName name="_xlnm._FilterDatabase" localSheetId="5" hidden="1">CustomerDataSet_Original!$A$1:$M$401</definedName>
    <definedName name="Age_Car" localSheetId="5">CustomerDataSet_Original!#REF!</definedName>
    <definedName name="Age_Car" localSheetId="3">#REF!</definedName>
    <definedName name="Age_Car" localSheetId="4">#REF!</definedName>
    <definedName name="Age_Car" localSheetId="7">#REF!</definedName>
    <definedName name="Age_Car" localSheetId="12">#REF!</definedName>
    <definedName name="Age_Car" localSheetId="14">#REF!</definedName>
    <definedName name="Age_Car">#REF!</definedName>
    <definedName name="Age_Driver" localSheetId="5">CustomerDataSet_Original!$C$2:$C$401</definedName>
    <definedName name="Age_Driver">#REF!</definedName>
    <definedName name="Alarm" localSheetId="5">CustomerDataSet_Original!#REF!</definedName>
    <definedName name="Alarm" localSheetId="3">#REF!</definedName>
    <definedName name="Alarm" localSheetId="4">#REF!</definedName>
    <definedName name="Alarm" localSheetId="7">#REF!</definedName>
    <definedName name="Alarm" localSheetId="12">#REF!</definedName>
    <definedName name="Alarm" localSheetId="14">#REF!</definedName>
    <definedName name="Alarm">#REF!</definedName>
    <definedName name="Approched_Insurer" localSheetId="5">CustomerDataSet_Original!$K$2:$K$401</definedName>
    <definedName name="Approched_Insurer">#REF!</definedName>
    <definedName name="Area" localSheetId="5">CustomerDataSet_Original!$E$2:$E$401</definedName>
    <definedName name="Area">#REF!</definedName>
    <definedName name="Broker" localSheetId="5">CustomerDataSet_Original!$I$2:$I$401</definedName>
    <definedName name="Broker">#REF!</definedName>
    <definedName name="Car_Val" localSheetId="5">CustomerDataSet_Original!#REF!</definedName>
    <definedName name="Car_Val" localSheetId="3">#REF!</definedName>
    <definedName name="Car_Val" localSheetId="4">#REF!</definedName>
    <definedName name="Car_Val" localSheetId="7">#REF!</definedName>
    <definedName name="Car_Val" localSheetId="12">#REF!</definedName>
    <definedName name="Car_Val" localSheetId="14">#REF!</definedName>
    <definedName name="Car_Val">#REF!</definedName>
    <definedName name="Customer_Sat" localSheetId="5">CustomerDataSet_Original!#REF!</definedName>
    <definedName name="Customer_Sat">#REF!</definedName>
    <definedName name="Eng_Type" localSheetId="5">CustomerDataSet_Original!#REF!</definedName>
    <definedName name="Eng_Type" localSheetId="3">#REF!</definedName>
    <definedName name="Eng_Type" localSheetId="4">#REF!</definedName>
    <definedName name="Eng_Type" localSheetId="7">#REF!</definedName>
    <definedName name="Eng_Type" localSheetId="12">#REF!</definedName>
    <definedName name="Eng_Type" localSheetId="14">#REF!</definedName>
    <definedName name="Eng_Type">#REF!</definedName>
    <definedName name="EstKmsYear" localSheetId="5">CustomerDataSet_Original!#REF!</definedName>
    <definedName name="EstKmsYear" localSheetId="3">#REF!</definedName>
    <definedName name="EstKmsYear" localSheetId="4">#REF!</definedName>
    <definedName name="EstKmsYear" localSheetId="7">#REF!</definedName>
    <definedName name="EstKmsYear" localSheetId="12">#REF!</definedName>
    <definedName name="EstKmsYear" localSheetId="14">#REF!</definedName>
    <definedName name="EstKmsYear">#REF!</definedName>
    <definedName name="Excess" localSheetId="5">CustomerDataSet_Original!#REF!</definedName>
    <definedName name="Excess" localSheetId="3">#REF!</definedName>
    <definedName name="Excess" localSheetId="4">#REF!</definedName>
    <definedName name="Excess" localSheetId="7">#REF!</definedName>
    <definedName name="Excess" localSheetId="12">#REF!</definedName>
    <definedName name="Excess" localSheetId="14">#REF!</definedName>
    <definedName name="Excess">#REF!</definedName>
    <definedName name="Exclusions" localSheetId="5">CustomerDataSet_Original!#REF!</definedName>
    <definedName name="Exclusions" localSheetId="3">#REF!</definedName>
    <definedName name="Exclusions" localSheetId="4">#REF!</definedName>
    <definedName name="Exclusions" localSheetId="7">#REF!</definedName>
    <definedName name="Exclusions" localSheetId="12">#REF!</definedName>
    <definedName name="Exclusions" localSheetId="14">#REF!</definedName>
    <definedName name="Exclusions">#REF!</definedName>
    <definedName name="Exist_Dam" localSheetId="5">CustomerDataSet_Original!#REF!</definedName>
    <definedName name="Exist_Dam" localSheetId="3">#REF!</definedName>
    <definedName name="Exist_Dam" localSheetId="4">#REF!</definedName>
    <definedName name="Exist_Dam" localSheetId="7">#REF!</definedName>
    <definedName name="Exist_Dam" localSheetId="12">#REF!</definedName>
    <definedName name="Exist_Dam" localSheetId="14">#REF!</definedName>
    <definedName name="Exist_Dam">#REF!</definedName>
    <definedName name="Gender" localSheetId="5">CustomerDataSet_Original!$B$2:$B$401</definedName>
    <definedName name="Gender">#REF!</definedName>
    <definedName name="Ins_Type" localSheetId="5">CustomerDataSet_Original!#REF!</definedName>
    <definedName name="Ins_Type" localSheetId="3">#REF!</definedName>
    <definedName name="Ins_Type" localSheetId="4">#REF!</definedName>
    <definedName name="Ins_Type" localSheetId="7">#REF!</definedName>
    <definedName name="Ins_Type" localSheetId="12">#REF!</definedName>
    <definedName name="Ins_Type" localSheetId="14">#REF!</definedName>
    <definedName name="Ins_Type">#REF!</definedName>
    <definedName name="Insurer" localSheetId="5">CustomerDataSet_Original!$J$2:$J$401</definedName>
    <definedName name="Insurer">#REF!</definedName>
    <definedName name="Lic_Held" localSheetId="5">CustomerDataSet_Original!#REF!</definedName>
    <definedName name="Lic_Held" localSheetId="3">#REF!</definedName>
    <definedName name="Lic_Held" localSheetId="4">#REF!</definedName>
    <definedName name="Lic_Held" localSheetId="7">#REF!</definedName>
    <definedName name="Lic_Held" localSheetId="12">#REF!</definedName>
    <definedName name="Lic_Held" localSheetId="14">#REF!</definedName>
    <definedName name="Lic_Held">#REF!</definedName>
    <definedName name="Lic_Type" localSheetId="5">CustomerDataSet_Original!#REF!</definedName>
    <definedName name="Lic_Type" localSheetId="3">#REF!</definedName>
    <definedName name="Lic_Type" localSheetId="4">#REF!</definedName>
    <definedName name="Lic_Type" localSheetId="7">#REF!</definedName>
    <definedName name="Lic_Type" localSheetId="12">#REF!</definedName>
    <definedName name="Lic_Type" localSheetId="14">#REF!</definedName>
    <definedName name="Lic_Type">#REF!</definedName>
    <definedName name="NCBR" localSheetId="5">CustomerDataSet_Original!$F$2:$F$401</definedName>
    <definedName name="NCBR">#REF!</definedName>
    <definedName name="page3" localSheetId="0">CaseStudy!$A$1</definedName>
    <definedName name="page4" localSheetId="0">CaseStudy!$A$10</definedName>
    <definedName name="Park_Onight" localSheetId="5">CustomerDataSet_Original!#REF!</definedName>
    <definedName name="Park_Onight" localSheetId="3">#REF!</definedName>
    <definedName name="Park_Onight" localSheetId="4">#REF!</definedName>
    <definedName name="Park_Onight" localSheetId="7">#REF!</definedName>
    <definedName name="Park_Onight" localSheetId="12">#REF!</definedName>
    <definedName name="Park_Onight" localSheetId="14">#REF!</definedName>
    <definedName name="Park_Onight">#REF!</definedName>
    <definedName name="Prev_Ins_Cost" localSheetId="5">CustomerDataSet_Original!#REF!</definedName>
    <definedName name="Prev_Ins_Cost" localSheetId="3">#REF!</definedName>
    <definedName name="Prev_Ins_Cost" localSheetId="4">#REF!</definedName>
    <definedName name="Prev_Ins_Cost" localSheetId="7">#REF!</definedName>
    <definedName name="Prev_Ins_Cost" localSheetId="12">#REF!</definedName>
    <definedName name="Prev_Ins_Cost" localSheetId="14">#REF!</definedName>
    <definedName name="Prev_Ins_Cost">#REF!</definedName>
    <definedName name="Quote_Val" localSheetId="5">CustomerDataSet_Original!#REF!</definedName>
    <definedName name="Quote_Val" localSheetId="3">#REF!</definedName>
    <definedName name="Quote_Val" localSheetId="4">#REF!</definedName>
    <definedName name="Quote_Val" localSheetId="7">#REF!</definedName>
    <definedName name="Quote_Val" localSheetId="12">#REF!</definedName>
    <definedName name="Quote_Val" localSheetId="14">#REF!</definedName>
    <definedName name="Quote_Val">#REF!</definedName>
    <definedName name="Savings" localSheetId="5">CustomerDataSet_Original!$L$2:$L$401</definedName>
    <definedName name="Savings">#REF!</definedName>
    <definedName name="solver_eng" localSheetId="3" hidden="1">1</definedName>
    <definedName name="solver_neg" localSheetId="3" hidden="1">1</definedName>
    <definedName name="solver_num" localSheetId="3" hidden="1">0</definedName>
    <definedName name="solver_opt" localSheetId="3" hidden="1">'Descriptive analysis'!$F$82</definedName>
    <definedName name="solver_typ" localSheetId="3" hidden="1">1</definedName>
    <definedName name="solver_val" localSheetId="3" hidden="1">0</definedName>
    <definedName name="solver_ver" localSheetId="3" hidden="1">3</definedName>
    <definedName name="ss">#REF!</definedName>
    <definedName name="State" localSheetId="5">CustomerDataSet_Original!$D$2:$D$401</definedName>
    <definedName name="State">#REF!</definedName>
    <definedName name="Val_Method" localSheetId="5">CustomerDataSet_Original!$G$2:$G$401</definedName>
    <definedName name="Val_Method">#REF!</definedName>
    <definedName name="Veh_Type" localSheetId="5">CustomerDataSet_Original!$H$2:$H$401</definedName>
    <definedName name="Veh_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19" l="1"/>
  <c r="I43" i="19" s="1"/>
  <c r="D40" i="18"/>
  <c r="A41" i="18"/>
  <c r="J30" i="14"/>
  <c r="J45" i="14" s="1"/>
  <c r="H40" i="38" l="1"/>
  <c r="I40" i="38"/>
  <c r="J40" i="38"/>
  <c r="K40" i="38"/>
  <c r="H41" i="38"/>
  <c r="I41" i="38"/>
  <c r="J41" i="38"/>
  <c r="K41" i="38"/>
  <c r="H42" i="38"/>
  <c r="I42" i="38"/>
  <c r="J42" i="38"/>
  <c r="K42" i="38"/>
  <c r="I39" i="38"/>
  <c r="J39" i="38"/>
  <c r="K39" i="38"/>
  <c r="H39" i="38"/>
  <c r="H20" i="38"/>
  <c r="H21" i="38"/>
  <c r="H22" i="38"/>
  <c r="H23" i="38"/>
  <c r="H24" i="38"/>
  <c r="H25" i="38"/>
  <c r="H26" i="38"/>
  <c r="H19" i="38"/>
  <c r="D7" i="14"/>
  <c r="D6" i="14"/>
  <c r="E6" i="14" s="1"/>
  <c r="J2" i="38"/>
  <c r="G91" i="12"/>
  <c r="G92" i="12" s="1"/>
  <c r="G90" i="12"/>
  <c r="C39" i="38"/>
  <c r="D39" i="38"/>
  <c r="E39" i="38"/>
  <c r="B39" i="38"/>
  <c r="B20" i="38"/>
  <c r="B19" i="38"/>
  <c r="N3" i="38"/>
  <c r="O3" i="38"/>
  <c r="P3" i="38"/>
  <c r="Q3" i="38"/>
  <c r="R3" i="38"/>
  <c r="S3" i="38"/>
  <c r="T3" i="38"/>
  <c r="O2" i="38"/>
  <c r="P2" i="38"/>
  <c r="Q2" i="38"/>
  <c r="R2" i="38"/>
  <c r="S2" i="38"/>
  <c r="T2" i="38"/>
  <c r="N2" i="38"/>
  <c r="I3" i="38"/>
  <c r="J3" i="38"/>
  <c r="K3" i="38"/>
  <c r="H3" i="38"/>
  <c r="I2" i="38"/>
  <c r="K2" i="38"/>
  <c r="H2" i="38"/>
  <c r="C2" i="38"/>
  <c r="D2" i="38"/>
  <c r="E2" i="38"/>
  <c r="B2" i="38"/>
  <c r="C3" i="36"/>
  <c r="C4" i="36"/>
  <c r="C5" i="36"/>
  <c r="C6" i="36"/>
  <c r="C7" i="36"/>
  <c r="C8" i="36"/>
  <c r="C9" i="36"/>
  <c r="C10" i="36"/>
  <c r="C11" i="36"/>
  <c r="C12" i="36"/>
  <c r="C13" i="36"/>
  <c r="C14" i="36"/>
  <c r="C15" i="36"/>
  <c r="C16" i="36"/>
  <c r="C2" i="36"/>
  <c r="C20" i="38" l="1"/>
  <c r="J24" i="34" l="1"/>
  <c r="O14" i="34" s="1"/>
  <c r="E22" i="34" a="1"/>
  <c r="F9" i="34" a="1"/>
  <c r="E10" i="34" a="1"/>
  <c r="M10" i="34" a="1"/>
  <c r="F15" i="34" a="1"/>
  <c r="F21" i="34" a="1"/>
  <c r="E16" i="34" a="1"/>
  <c r="M11" i="34" l="1"/>
  <c r="M12" i="34"/>
  <c r="M13" i="34"/>
  <c r="M10" i="34"/>
  <c r="F21" i="34"/>
  <c r="F24" i="34" s="1" a="1"/>
  <c r="F24" i="34" s="1"/>
  <c r="G21" i="34"/>
  <c r="G24" i="34" s="1" a="1"/>
  <c r="G24" i="34" s="1"/>
  <c r="H21" i="34"/>
  <c r="H24" i="34" s="1" a="1"/>
  <c r="H24" i="34" s="1"/>
  <c r="I21" i="34"/>
  <c r="I24" i="34" s="1" a="1"/>
  <c r="I24" i="34" s="1"/>
  <c r="E22" i="34"/>
  <c r="E23" i="34"/>
  <c r="F15" i="34"/>
  <c r="G15" i="34"/>
  <c r="H15" i="34"/>
  <c r="I15" i="34"/>
  <c r="E16" i="34"/>
  <c r="E17" i="34"/>
  <c r="F9" i="34"/>
  <c r="G9" i="34"/>
  <c r="H9" i="34"/>
  <c r="I9" i="34"/>
  <c r="E10" i="34"/>
  <c r="E11" i="34"/>
  <c r="G16" i="34" l="1" a="1"/>
  <c r="H16" i="34" a="1"/>
  <c r="I16" i="34" a="1"/>
  <c r="F16" i="34" a="1"/>
  <c r="I17" i="34" a="1"/>
  <c r="F17" i="34" a="1"/>
  <c r="F17" i="34" s="1"/>
  <c r="G17" i="34" a="1"/>
  <c r="H17" i="34" a="1"/>
  <c r="H17" i="34" s="1"/>
  <c r="F11" i="34" a="1"/>
  <c r="F11" i="34" s="1"/>
  <c r="G11" i="34" a="1"/>
  <c r="G11" i="34" s="1"/>
  <c r="H11" i="34" a="1"/>
  <c r="H11" i="34" s="1"/>
  <c r="I11" i="34" a="1"/>
  <c r="I11" i="34" s="1"/>
  <c r="F10" i="34" a="1"/>
  <c r="F10" i="34" s="1"/>
  <c r="I10" i="34" a="1"/>
  <c r="G10" i="34" a="1"/>
  <c r="H10" i="34" a="1"/>
  <c r="F16" i="34"/>
  <c r="I17" i="34"/>
  <c r="H10" i="34"/>
  <c r="I16" i="34"/>
  <c r="I23" i="34" a="1"/>
  <c r="I23" i="34" s="1"/>
  <c r="J23" i="34" a="1"/>
  <c r="J23" i="34" s="1"/>
  <c r="F23" i="34" a="1"/>
  <c r="F23" i="34" s="1"/>
  <c r="G23" i="34" a="1"/>
  <c r="G23" i="34" s="1"/>
  <c r="H23" i="34" a="1"/>
  <c r="H23" i="34" s="1"/>
  <c r="G22" i="34" a="1"/>
  <c r="G22" i="34" s="1"/>
  <c r="H22" i="34" a="1"/>
  <c r="H22" i="34" s="1"/>
  <c r="J22" i="34" a="1"/>
  <c r="J22" i="34" s="1"/>
  <c r="F22" i="34" a="1"/>
  <c r="F22" i="34" s="1"/>
  <c r="I22" i="34" a="1"/>
  <c r="I22" i="34" s="1"/>
  <c r="I10" i="34"/>
  <c r="H16" i="34"/>
  <c r="G16" i="34"/>
  <c r="G17" i="34"/>
  <c r="G10" i="34"/>
  <c r="J10" i="34" l="1" a="1"/>
  <c r="J10" i="34" s="1"/>
  <c r="F12" i="34" a="1"/>
  <c r="F12" i="34" s="1"/>
  <c r="J11" i="34" a="1"/>
  <c r="J11" i="34" s="1"/>
  <c r="I18" i="34" a="1"/>
  <c r="I18" i="34" s="1"/>
  <c r="H12" i="34" a="1"/>
  <c r="H12" i="34" s="1"/>
  <c r="F18" i="34" a="1"/>
  <c r="F18" i="34" s="1"/>
  <c r="J16" i="34" a="1"/>
  <c r="J16" i="34" s="1"/>
  <c r="H18" i="34" a="1"/>
  <c r="H18" i="34" s="1"/>
  <c r="I12" i="34" a="1"/>
  <c r="I12" i="34" s="1"/>
  <c r="J17" i="34" a="1"/>
  <c r="J17" i="34" s="1"/>
  <c r="G12" i="34" a="1"/>
  <c r="G12" i="34" s="1"/>
  <c r="G18" i="34" a="1"/>
  <c r="G18" i="34" s="1"/>
  <c r="F8" i="34"/>
  <c r="N20" i="26"/>
  <c r="H21" i="26"/>
  <c r="H24" i="26" s="1"/>
  <c r="N21" i="26" s="1"/>
  <c r="E30" i="26"/>
  <c r="D23" i="26"/>
  <c r="E23" i="26" s="1"/>
  <c r="D24" i="26"/>
  <c r="E24" i="26" s="1"/>
  <c r="D30" i="26"/>
  <c r="C19" i="26"/>
  <c r="D19" i="26" s="1"/>
  <c r="E19" i="26" s="1"/>
  <c r="C20" i="26"/>
  <c r="D20" i="26" s="1"/>
  <c r="E20" i="26" s="1"/>
  <c r="C21" i="26"/>
  <c r="D21" i="26" s="1"/>
  <c r="E21" i="26" s="1"/>
  <c r="C22" i="26"/>
  <c r="D22" i="26" s="1"/>
  <c r="E22" i="26" s="1"/>
  <c r="C23" i="26"/>
  <c r="C24" i="26"/>
  <c r="C25" i="26"/>
  <c r="D25" i="26" s="1"/>
  <c r="E25" i="26" s="1"/>
  <c r="C26" i="26"/>
  <c r="D26" i="26" s="1"/>
  <c r="E26" i="26" s="1"/>
  <c r="C27" i="26"/>
  <c r="D27" i="26" s="1"/>
  <c r="E27" i="26" s="1"/>
  <c r="C28" i="26"/>
  <c r="D28" i="26" s="1"/>
  <c r="E28" i="26" s="1"/>
  <c r="C29" i="26"/>
  <c r="D29" i="26" s="1"/>
  <c r="E29" i="26" s="1"/>
  <c r="C30" i="26"/>
  <c r="C31" i="26"/>
  <c r="D31" i="26" s="1"/>
  <c r="E31" i="26" s="1"/>
  <c r="C18" i="26"/>
  <c r="D18" i="26" s="1"/>
  <c r="E18" i="26" s="1"/>
  <c r="E32" i="26" l="1"/>
  <c r="H25" i="26" s="1"/>
  <c r="H26" i="26" s="1"/>
  <c r="G27" i="26" s="1"/>
  <c r="J18" i="34" a="1"/>
  <c r="J18" i="34" s="1"/>
  <c r="J12" i="34" a="1"/>
  <c r="J12" i="34" s="1"/>
  <c r="N14" i="34" s="1"/>
  <c r="M14" i="34" s="1"/>
  <c r="N11" i="34"/>
  <c r="O11" i="34" s="1"/>
  <c r="N10" i="34"/>
  <c r="O10" i="34" s="1"/>
  <c r="B6" i="26"/>
  <c r="C6" i="26"/>
  <c r="D6" i="26"/>
  <c r="E6" i="26"/>
  <c r="F6" i="26"/>
  <c r="G6" i="26"/>
  <c r="H6" i="26"/>
  <c r="C5" i="26"/>
  <c r="D5" i="26"/>
  <c r="E5" i="26"/>
  <c r="F5" i="26"/>
  <c r="G5" i="26"/>
  <c r="H5" i="26"/>
  <c r="B5" i="26"/>
  <c r="C3" i="25"/>
  <c r="D3" i="25"/>
  <c r="B3" i="25"/>
  <c r="F63" i="25" s="1"/>
  <c r="K79" i="25"/>
  <c r="K78" i="25"/>
  <c r="N68" i="25"/>
  <c r="L66" i="25"/>
  <c r="K66" i="25"/>
  <c r="L65" i="25"/>
  <c r="L72" i="25" s="1"/>
  <c r="M72" i="25" s="1"/>
  <c r="K65" i="25"/>
  <c r="K72" i="25" s="1"/>
  <c r="L64" i="25"/>
  <c r="K64" i="25"/>
  <c r="K71" i="25" s="1"/>
  <c r="D5" i="25"/>
  <c r="C5" i="25"/>
  <c r="B5" i="25"/>
  <c r="D4" i="25"/>
  <c r="C4" i="25"/>
  <c r="B4" i="25"/>
  <c r="C3" i="21"/>
  <c r="G9" i="21" s="1"/>
  <c r="D3" i="21"/>
  <c r="H9" i="21" s="1"/>
  <c r="B3" i="21"/>
  <c r="F15" i="21" s="1"/>
  <c r="C5" i="21"/>
  <c r="D5" i="21"/>
  <c r="B5" i="21"/>
  <c r="C4" i="21"/>
  <c r="D4" i="21"/>
  <c r="B4" i="21"/>
  <c r="K64" i="21"/>
  <c r="L64" i="21"/>
  <c r="K65" i="21"/>
  <c r="L65" i="21"/>
  <c r="K66" i="21"/>
  <c r="L66" i="21"/>
  <c r="K78" i="21"/>
  <c r="K79" i="21"/>
  <c r="N68" i="21"/>
  <c r="F10" i="21" l="1"/>
  <c r="N12" i="34"/>
  <c r="F7" i="26"/>
  <c r="F8" i="26" s="1"/>
  <c r="D7" i="26"/>
  <c r="N26" i="26" s="1"/>
  <c r="G7" i="26"/>
  <c r="N29" i="26" s="1"/>
  <c r="E7" i="26"/>
  <c r="N27" i="26" s="1"/>
  <c r="H7" i="26"/>
  <c r="N30" i="26" s="1"/>
  <c r="C7" i="26"/>
  <c r="N25" i="26" s="1"/>
  <c r="I6" i="26"/>
  <c r="B7" i="26"/>
  <c r="N24" i="26" s="1"/>
  <c r="I5" i="26"/>
  <c r="N72" i="25"/>
  <c r="L71" i="25"/>
  <c r="M71" i="25" s="1"/>
  <c r="N71" i="25" s="1"/>
  <c r="G15" i="25"/>
  <c r="G27" i="25"/>
  <c r="G35" i="25"/>
  <c r="G43" i="25"/>
  <c r="G55" i="25"/>
  <c r="G63" i="25"/>
  <c r="F69" i="25"/>
  <c r="H11" i="25"/>
  <c r="H15" i="25"/>
  <c r="H19" i="25"/>
  <c r="H23" i="25"/>
  <c r="H27" i="25"/>
  <c r="H31" i="25"/>
  <c r="H35" i="25"/>
  <c r="H39" i="25"/>
  <c r="H43" i="25"/>
  <c r="H47" i="25"/>
  <c r="H51" i="25"/>
  <c r="H55" i="25"/>
  <c r="G66" i="25"/>
  <c r="G69" i="25"/>
  <c r="G11" i="25"/>
  <c r="G31" i="25"/>
  <c r="G51" i="25"/>
  <c r="F12" i="25"/>
  <c r="F20" i="25"/>
  <c r="F32" i="25"/>
  <c r="F40" i="25"/>
  <c r="F44" i="25"/>
  <c r="F56" i="25"/>
  <c r="F64" i="25"/>
  <c r="G23" i="25"/>
  <c r="G39" i="25"/>
  <c r="G47" i="25"/>
  <c r="G59" i="25"/>
  <c r="F66" i="25"/>
  <c r="F8" i="25"/>
  <c r="F16" i="25"/>
  <c r="F24" i="25"/>
  <c r="F28" i="25"/>
  <c r="F36" i="25"/>
  <c r="F48" i="25"/>
  <c r="F52" i="25"/>
  <c r="F60" i="25"/>
  <c r="G8" i="25"/>
  <c r="G12" i="25"/>
  <c r="G16" i="25"/>
  <c r="G20" i="25"/>
  <c r="G24" i="25"/>
  <c r="G28" i="25"/>
  <c r="G32" i="25"/>
  <c r="G36" i="25"/>
  <c r="G40" i="25"/>
  <c r="G44" i="25"/>
  <c r="G48" i="25"/>
  <c r="G52" i="25"/>
  <c r="G56" i="25"/>
  <c r="G60" i="25"/>
  <c r="G64" i="25"/>
  <c r="G19" i="25"/>
  <c r="H8" i="25"/>
  <c r="H12" i="25"/>
  <c r="H16" i="25"/>
  <c r="H20" i="25"/>
  <c r="H24" i="25"/>
  <c r="H28" i="25"/>
  <c r="H32" i="25"/>
  <c r="H36" i="25"/>
  <c r="H40" i="25"/>
  <c r="H44" i="25"/>
  <c r="H48" i="25"/>
  <c r="H52" i="25"/>
  <c r="H56" i="25"/>
  <c r="K70" i="25"/>
  <c r="F9" i="25"/>
  <c r="F13" i="25"/>
  <c r="F17" i="25"/>
  <c r="F21" i="25"/>
  <c r="F25" i="25"/>
  <c r="F29" i="25"/>
  <c r="F33" i="25"/>
  <c r="F37" i="25"/>
  <c r="F41" i="25"/>
  <c r="F45" i="25"/>
  <c r="F49" i="25"/>
  <c r="F53" i="25"/>
  <c r="F57" i="25"/>
  <c r="F61" i="25"/>
  <c r="F67" i="25"/>
  <c r="L70" i="25"/>
  <c r="M70" i="25" s="1"/>
  <c r="G9" i="25"/>
  <c r="G13" i="25"/>
  <c r="G17" i="25"/>
  <c r="G21" i="25"/>
  <c r="G25" i="25"/>
  <c r="G29" i="25"/>
  <c r="G33" i="25"/>
  <c r="G37" i="25"/>
  <c r="G41" i="25"/>
  <c r="G45" i="25"/>
  <c r="G49" i="25"/>
  <c r="G53" i="25"/>
  <c r="G57" i="25"/>
  <c r="G61" i="25"/>
  <c r="G67" i="25"/>
  <c r="H9" i="25"/>
  <c r="H13" i="25"/>
  <c r="H17" i="25"/>
  <c r="H21" i="25"/>
  <c r="H25" i="25"/>
  <c r="H29" i="25"/>
  <c r="H33" i="25"/>
  <c r="H37" i="25"/>
  <c r="H41" i="25"/>
  <c r="H45" i="25"/>
  <c r="H49" i="25"/>
  <c r="H53" i="25"/>
  <c r="F65" i="25"/>
  <c r="F10" i="25"/>
  <c r="F14" i="25"/>
  <c r="F18" i="25"/>
  <c r="F22" i="25"/>
  <c r="F26" i="25"/>
  <c r="F30" i="25"/>
  <c r="F34" i="25"/>
  <c r="F38" i="25"/>
  <c r="F42" i="25"/>
  <c r="F46" i="25"/>
  <c r="F50" i="25"/>
  <c r="F54" i="25"/>
  <c r="F58" i="25"/>
  <c r="F62" i="25"/>
  <c r="G65" i="25"/>
  <c r="F68" i="25"/>
  <c r="G10" i="25"/>
  <c r="G14" i="25"/>
  <c r="G18" i="25"/>
  <c r="G22" i="25"/>
  <c r="G26" i="25"/>
  <c r="G30" i="25"/>
  <c r="G34" i="25"/>
  <c r="G38" i="25"/>
  <c r="G42" i="25"/>
  <c r="G46" i="25"/>
  <c r="G50" i="25"/>
  <c r="G54" i="25"/>
  <c r="G58" i="25"/>
  <c r="G62" i="25"/>
  <c r="G68" i="25"/>
  <c r="H10" i="25"/>
  <c r="H14" i="25"/>
  <c r="H18" i="25"/>
  <c r="H22" i="25"/>
  <c r="H26" i="25"/>
  <c r="H30" i="25"/>
  <c r="H34" i="25"/>
  <c r="H38" i="25"/>
  <c r="H42" i="25"/>
  <c r="H46" i="25"/>
  <c r="H50" i="25"/>
  <c r="H54" i="25"/>
  <c r="F11" i="25"/>
  <c r="F15" i="25"/>
  <c r="F19" i="25"/>
  <c r="F23" i="25"/>
  <c r="F27" i="25"/>
  <c r="F31" i="25"/>
  <c r="F35" i="25"/>
  <c r="F39" i="25"/>
  <c r="F43" i="25"/>
  <c r="F47" i="25"/>
  <c r="F51" i="25"/>
  <c r="F55" i="25"/>
  <c r="F59" i="25"/>
  <c r="L72" i="21"/>
  <c r="M72" i="21" s="1"/>
  <c r="K71" i="21"/>
  <c r="F62" i="21"/>
  <c r="F14" i="21"/>
  <c r="G92" i="21"/>
  <c r="G44" i="21"/>
  <c r="G20" i="21"/>
  <c r="H8" i="21"/>
  <c r="F13" i="21"/>
  <c r="G31" i="21"/>
  <c r="F96" i="21"/>
  <c r="F84" i="21"/>
  <c r="F72" i="21"/>
  <c r="F60" i="21"/>
  <c r="F48" i="21"/>
  <c r="F36" i="21"/>
  <c r="F24" i="21"/>
  <c r="F12" i="21"/>
  <c r="G126" i="21"/>
  <c r="G114" i="21"/>
  <c r="G102" i="21"/>
  <c r="G90" i="21"/>
  <c r="G78" i="21"/>
  <c r="G66" i="21"/>
  <c r="G54" i="21"/>
  <c r="G42" i="21"/>
  <c r="G30" i="21"/>
  <c r="G18" i="21"/>
  <c r="H66" i="21"/>
  <c r="H54" i="21"/>
  <c r="H42" i="21"/>
  <c r="H30" i="21"/>
  <c r="H18" i="21"/>
  <c r="F74" i="21"/>
  <c r="G104" i="21"/>
  <c r="G32" i="21"/>
  <c r="H44" i="21"/>
  <c r="F49" i="21"/>
  <c r="G91" i="21"/>
  <c r="H43" i="21"/>
  <c r="F95" i="21"/>
  <c r="F83" i="21"/>
  <c r="F71" i="21"/>
  <c r="F59" i="21"/>
  <c r="F47" i="21"/>
  <c r="F35" i="21"/>
  <c r="F23" i="21"/>
  <c r="F11" i="21"/>
  <c r="G125" i="21"/>
  <c r="G113" i="21"/>
  <c r="G101" i="21"/>
  <c r="G89" i="21"/>
  <c r="G77" i="21"/>
  <c r="G65" i="21"/>
  <c r="G53" i="21"/>
  <c r="G41" i="21"/>
  <c r="G29" i="21"/>
  <c r="G17" i="21"/>
  <c r="H65" i="21"/>
  <c r="H53" i="21"/>
  <c r="H41" i="21"/>
  <c r="H29" i="21"/>
  <c r="H17" i="21"/>
  <c r="G8" i="21"/>
  <c r="F26" i="21"/>
  <c r="G80" i="21"/>
  <c r="H68" i="21"/>
  <c r="F94" i="21"/>
  <c r="F82" i="21"/>
  <c r="F70" i="21"/>
  <c r="F58" i="21"/>
  <c r="F46" i="21"/>
  <c r="F34" i="21"/>
  <c r="F22" i="21"/>
  <c r="G124" i="21"/>
  <c r="G112" i="21"/>
  <c r="G100" i="21"/>
  <c r="G88" i="21"/>
  <c r="G76" i="21"/>
  <c r="G64" i="21"/>
  <c r="G52" i="21"/>
  <c r="G40" i="21"/>
  <c r="G28" i="21"/>
  <c r="G16" i="21"/>
  <c r="H64" i="21"/>
  <c r="H52" i="21"/>
  <c r="H40" i="21"/>
  <c r="H28" i="21"/>
  <c r="H16" i="21"/>
  <c r="F38" i="21"/>
  <c r="F61" i="21"/>
  <c r="G115" i="21"/>
  <c r="G55" i="21"/>
  <c r="G19" i="21"/>
  <c r="H19" i="21"/>
  <c r="F93" i="21"/>
  <c r="F81" i="21"/>
  <c r="F69" i="21"/>
  <c r="F57" i="21"/>
  <c r="F45" i="21"/>
  <c r="F33" i="21"/>
  <c r="F21" i="21"/>
  <c r="F9" i="21"/>
  <c r="G123" i="21"/>
  <c r="G111" i="21"/>
  <c r="G99" i="21"/>
  <c r="G87" i="21"/>
  <c r="G75" i="21"/>
  <c r="G63" i="21"/>
  <c r="G51" i="21"/>
  <c r="G39" i="21"/>
  <c r="G27" i="21"/>
  <c r="G15" i="21"/>
  <c r="H63" i="21"/>
  <c r="H51" i="21"/>
  <c r="H39" i="21"/>
  <c r="H27" i="21"/>
  <c r="H15" i="21"/>
  <c r="G116" i="21"/>
  <c r="H20" i="21"/>
  <c r="F73" i="21"/>
  <c r="G127" i="21"/>
  <c r="G103" i="21"/>
  <c r="G67" i="21"/>
  <c r="G43" i="21"/>
  <c r="H67" i="21"/>
  <c r="H31" i="21"/>
  <c r="F92" i="21"/>
  <c r="F80" i="21"/>
  <c r="F68" i="21"/>
  <c r="F56" i="21"/>
  <c r="F44" i="21"/>
  <c r="F32" i="21"/>
  <c r="F20" i="21"/>
  <c r="G134" i="21"/>
  <c r="G122" i="21"/>
  <c r="G110" i="21"/>
  <c r="G98" i="21"/>
  <c r="G86" i="21"/>
  <c r="G74" i="21"/>
  <c r="G62" i="21"/>
  <c r="G50" i="21"/>
  <c r="G38" i="21"/>
  <c r="G26" i="21"/>
  <c r="G14" i="21"/>
  <c r="H62" i="21"/>
  <c r="H50" i="21"/>
  <c r="H38" i="21"/>
  <c r="H26" i="21"/>
  <c r="H14" i="21"/>
  <c r="F50" i="21"/>
  <c r="G68" i="21"/>
  <c r="H32" i="21"/>
  <c r="F85" i="21"/>
  <c r="F25" i="21"/>
  <c r="G79" i="21"/>
  <c r="H55" i="21"/>
  <c r="F91" i="21"/>
  <c r="F79" i="21"/>
  <c r="F67" i="21"/>
  <c r="F55" i="21"/>
  <c r="F43" i="21"/>
  <c r="F31" i="21"/>
  <c r="F19" i="21"/>
  <c r="G133" i="21"/>
  <c r="G121" i="21"/>
  <c r="G109" i="21"/>
  <c r="G97" i="21"/>
  <c r="G85" i="21"/>
  <c r="G73" i="21"/>
  <c r="G61" i="21"/>
  <c r="G49" i="21"/>
  <c r="G37" i="21"/>
  <c r="G25" i="21"/>
  <c r="G13" i="21"/>
  <c r="H61" i="21"/>
  <c r="H49" i="21"/>
  <c r="H37" i="21"/>
  <c r="H25" i="21"/>
  <c r="H13" i="21"/>
  <c r="F90" i="21"/>
  <c r="F78" i="21"/>
  <c r="F66" i="21"/>
  <c r="F54" i="21"/>
  <c r="F42" i="21"/>
  <c r="F30" i="21"/>
  <c r="F18" i="21"/>
  <c r="G132" i="21"/>
  <c r="G120" i="21"/>
  <c r="G108" i="21"/>
  <c r="G96" i="21"/>
  <c r="G84" i="21"/>
  <c r="G72" i="21"/>
  <c r="G60" i="21"/>
  <c r="G48" i="21"/>
  <c r="G36" i="21"/>
  <c r="G24" i="21"/>
  <c r="G12" i="21"/>
  <c r="H60" i="21"/>
  <c r="H48" i="21"/>
  <c r="H36" i="21"/>
  <c r="H24" i="21"/>
  <c r="H12" i="21"/>
  <c r="F89" i="21"/>
  <c r="F77" i="21"/>
  <c r="F65" i="21"/>
  <c r="F53" i="21"/>
  <c r="F41" i="21"/>
  <c r="F29" i="21"/>
  <c r="F17" i="21"/>
  <c r="G131" i="21"/>
  <c r="G119" i="21"/>
  <c r="G107" i="21"/>
  <c r="G95" i="21"/>
  <c r="G83" i="21"/>
  <c r="G71" i="21"/>
  <c r="G59" i="21"/>
  <c r="G47" i="21"/>
  <c r="G35" i="21"/>
  <c r="G23" i="21"/>
  <c r="G11" i="21"/>
  <c r="H59" i="21"/>
  <c r="H47" i="21"/>
  <c r="H35" i="21"/>
  <c r="H23" i="21"/>
  <c r="H11" i="21"/>
  <c r="F88" i="21"/>
  <c r="F76" i="21"/>
  <c r="F64" i="21"/>
  <c r="F52" i="21"/>
  <c r="F40" i="21"/>
  <c r="F28" i="21"/>
  <c r="F16" i="21"/>
  <c r="G130" i="21"/>
  <c r="G118" i="21"/>
  <c r="G106" i="21"/>
  <c r="G94" i="21"/>
  <c r="G82" i="21"/>
  <c r="G70" i="21"/>
  <c r="G58" i="21"/>
  <c r="G46" i="21"/>
  <c r="G34" i="21"/>
  <c r="G22" i="21"/>
  <c r="G10" i="21"/>
  <c r="H58" i="21"/>
  <c r="H46" i="21"/>
  <c r="H34" i="21"/>
  <c r="H22" i="21"/>
  <c r="H10" i="21"/>
  <c r="F86" i="21"/>
  <c r="G128" i="21"/>
  <c r="G56" i="21"/>
  <c r="H56" i="21"/>
  <c r="F37" i="21"/>
  <c r="K72" i="21"/>
  <c r="N72" i="21" s="1"/>
  <c r="L70" i="21"/>
  <c r="M70" i="21" s="1"/>
  <c r="F8" i="21"/>
  <c r="F87" i="21"/>
  <c r="F75" i="21"/>
  <c r="F63" i="21"/>
  <c r="F51" i="21"/>
  <c r="F39" i="21"/>
  <c r="F27" i="21"/>
  <c r="G129" i="21"/>
  <c r="G117" i="21"/>
  <c r="G105" i="21"/>
  <c r="G93" i="21"/>
  <c r="G81" i="21"/>
  <c r="G69" i="21"/>
  <c r="G57" i="21"/>
  <c r="G45" i="21"/>
  <c r="G33" i="21"/>
  <c r="G21" i="21"/>
  <c r="H57" i="21"/>
  <c r="H45" i="21"/>
  <c r="H33" i="21"/>
  <c r="H21" i="21"/>
  <c r="K70" i="21"/>
  <c r="L71" i="21"/>
  <c r="M71" i="21" s="1"/>
  <c r="N71" i="21" s="1"/>
  <c r="O12" i="34" l="1"/>
  <c r="N13" i="34"/>
  <c r="O13" i="34" s="1"/>
  <c r="N28" i="26"/>
  <c r="N37" i="26" s="1"/>
  <c r="N35" i="26"/>
  <c r="N36" i="26"/>
  <c r="N38" i="26"/>
  <c r="O36" i="26"/>
  <c r="N39" i="26"/>
  <c r="O38" i="26"/>
  <c r="N34" i="26"/>
  <c r="O39" i="26"/>
  <c r="O35" i="26"/>
  <c r="O34" i="26"/>
  <c r="N54" i="26"/>
  <c r="O54" i="26"/>
  <c r="N47" i="26"/>
  <c r="O47" i="26"/>
  <c r="O45" i="26"/>
  <c r="N48" i="26"/>
  <c r="O48" i="26"/>
  <c r="N45" i="26"/>
  <c r="N51" i="26"/>
  <c r="O50" i="26"/>
  <c r="O51" i="26"/>
  <c r="N50" i="26"/>
  <c r="O44" i="26"/>
  <c r="N40" i="26"/>
  <c r="N41" i="26"/>
  <c r="O40" i="26"/>
  <c r="N43" i="26"/>
  <c r="O41" i="26"/>
  <c r="N44" i="26"/>
  <c r="O43" i="26"/>
  <c r="C8" i="26"/>
  <c r="H8" i="26"/>
  <c r="D8" i="26"/>
  <c r="E8" i="26"/>
  <c r="G8" i="26"/>
  <c r="I7" i="26"/>
  <c r="I8" i="26" s="1"/>
  <c r="H13" i="26" s="1"/>
  <c r="B8" i="26"/>
  <c r="N70" i="25"/>
  <c r="N70" i="21"/>
  <c r="O46" i="26" l="1"/>
  <c r="N42" i="26"/>
  <c r="O49" i="26"/>
  <c r="N49" i="26"/>
  <c r="N46" i="26"/>
  <c r="O53" i="26"/>
  <c r="N52" i="26"/>
  <c r="O37" i="26"/>
  <c r="P37" i="26" s="1"/>
  <c r="O42" i="26"/>
  <c r="O52" i="26"/>
  <c r="N53" i="26"/>
  <c r="P39" i="26"/>
  <c r="P10" i="34"/>
  <c r="Q10" i="34" s="1"/>
  <c r="R10" i="34" s="1"/>
  <c r="P11" i="34"/>
  <c r="Q11" i="34" s="1"/>
  <c r="R11" i="34" s="1"/>
  <c r="P12" i="34"/>
  <c r="Q12" i="34" s="1"/>
  <c r="R12" i="34" s="1"/>
  <c r="P40" i="26"/>
  <c r="P47" i="26"/>
  <c r="P36" i="26"/>
  <c r="P43" i="26"/>
  <c r="P51" i="26"/>
  <c r="P41" i="26"/>
  <c r="P45" i="26"/>
  <c r="P34" i="26"/>
  <c r="P48" i="26"/>
  <c r="P44" i="26"/>
  <c r="P50" i="26"/>
  <c r="P38" i="26"/>
  <c r="P54" i="26"/>
  <c r="P35" i="26"/>
  <c r="F12" i="26"/>
  <c r="F13" i="26"/>
  <c r="G12" i="26"/>
  <c r="C13" i="26"/>
  <c r="G13" i="26"/>
  <c r="C12" i="26"/>
  <c r="E13" i="26"/>
  <c r="D13" i="26"/>
  <c r="H12" i="26"/>
  <c r="H14" i="26" s="1"/>
  <c r="B12" i="26"/>
  <c r="B13" i="26"/>
  <c r="E12" i="26"/>
  <c r="D12" i="26"/>
  <c r="P52" i="26" l="1"/>
  <c r="P42" i="26"/>
  <c r="P46" i="26"/>
  <c r="P53" i="26"/>
  <c r="P49" i="26"/>
  <c r="E14" i="26"/>
  <c r="I13" i="26"/>
  <c r="F14" i="26"/>
  <c r="I12" i="26"/>
  <c r="B14" i="26"/>
  <c r="C14" i="26"/>
  <c r="G14" i="26"/>
  <c r="D14" i="26"/>
  <c r="I14" i="26" l="1"/>
  <c r="C11" i="19" l="1"/>
  <c r="D18" i="19" s="1"/>
  <c r="D13" i="19"/>
  <c r="D17" i="19" s="1"/>
  <c r="D11" i="19"/>
  <c r="D24" i="14"/>
  <c r="J35" i="14" s="1"/>
  <c r="D28" i="14"/>
  <c r="J39" i="14" s="1"/>
  <c r="C5" i="19"/>
  <c r="C4" i="19"/>
  <c r="B5" i="19"/>
  <c r="B4" i="19"/>
  <c r="D12" i="18"/>
  <c r="D10" i="18"/>
  <c r="C10" i="18"/>
  <c r="G5" i="18" a="1"/>
  <c r="G5" i="18" s="1"/>
  <c r="D25" i="18" s="1"/>
  <c r="D48" i="18" s="1"/>
  <c r="G4" i="18" a="1"/>
  <c r="G4" i="18" s="1"/>
  <c r="D21" i="18" s="1"/>
  <c r="D44" i="18" s="1"/>
  <c r="B5" i="18"/>
  <c r="D26" i="18" s="1"/>
  <c r="D49" i="18" s="1"/>
  <c r="B4" i="18"/>
  <c r="D22" i="18" s="1"/>
  <c r="D45" i="18" s="1"/>
  <c r="F5" i="18"/>
  <c r="D27" i="18" s="1"/>
  <c r="D50" i="18" s="1"/>
  <c r="F4" i="18"/>
  <c r="D12" i="17"/>
  <c r="D10" i="17"/>
  <c r="C10" i="17"/>
  <c r="G4" i="17" a="1"/>
  <c r="G4" i="17" s="1"/>
  <c r="D21" i="17" s="1"/>
  <c r="G5" i="17" a="1"/>
  <c r="G5" i="17" s="1"/>
  <c r="D25" i="17" s="1"/>
  <c r="H102" i="17"/>
  <c r="H103" i="17" s="1"/>
  <c r="K324" i="17"/>
  <c r="K325" i="17" s="1"/>
  <c r="F5" i="17"/>
  <c r="D27" i="17" s="1"/>
  <c r="F4" i="17"/>
  <c r="B5" i="17"/>
  <c r="D26" i="17" s="1"/>
  <c r="B4" i="17"/>
  <c r="D22" i="17" s="1"/>
  <c r="B8" i="14"/>
  <c r="C8" i="14"/>
  <c r="D19" i="13"/>
  <c r="D23" i="13"/>
  <c r="D22" i="13"/>
  <c r="D18" i="13"/>
  <c r="D21" i="13" a="1"/>
  <c r="D21" i="13" s="1"/>
  <c r="D17" i="13" a="1"/>
  <c r="D17" i="13" s="1"/>
  <c r="C6" i="13"/>
  <c r="A14" i="13" s="1"/>
  <c r="D8" i="13"/>
  <c r="D6" i="13"/>
  <c r="D4" i="19" l="1"/>
  <c r="G6" i="19" s="1"/>
  <c r="D5" i="19"/>
  <c r="H7" i="19" s="1"/>
  <c r="C6" i="19"/>
  <c r="D25" i="19"/>
  <c r="I36" i="19" s="1"/>
  <c r="D21" i="19"/>
  <c r="I32" i="19" s="1"/>
  <c r="D22" i="19"/>
  <c r="I33" i="19" s="1"/>
  <c r="D26" i="19"/>
  <c r="I37" i="19" s="1"/>
  <c r="A17" i="19"/>
  <c r="A18" i="19"/>
  <c r="B6" i="19"/>
  <c r="L12" i="17"/>
  <c r="L13" i="17" s="1"/>
  <c r="L13" i="18"/>
  <c r="L14" i="18" s="1"/>
  <c r="J11" i="18"/>
  <c r="D23" i="18"/>
  <c r="A18" i="18"/>
  <c r="A17" i="18"/>
  <c r="G10" i="13"/>
  <c r="J10" i="17"/>
  <c r="D23" i="17"/>
  <c r="D16" i="17" s="1"/>
  <c r="D17" i="17" s="1"/>
  <c r="D18" i="17" s="1"/>
  <c r="A18" i="17"/>
  <c r="A17" i="17"/>
  <c r="K326" i="17"/>
  <c r="I12" i="13"/>
  <c r="D12" i="13"/>
  <c r="D13" i="13" s="1"/>
  <c r="D14" i="13"/>
  <c r="A13" i="13"/>
  <c r="I34" i="19" l="1"/>
  <c r="I41" i="19"/>
  <c r="I42" i="19" s="1"/>
  <c r="I38" i="19"/>
  <c r="I47" i="19" s="1"/>
  <c r="D30" i="18"/>
  <c r="D31" i="18" s="1"/>
  <c r="D46" i="18"/>
  <c r="H6" i="19"/>
  <c r="G7" i="19"/>
  <c r="D23" i="19"/>
  <c r="D30" i="19"/>
  <c r="D31" i="19" s="1"/>
  <c r="D27" i="19"/>
  <c r="D30" i="17"/>
  <c r="D31" i="17" s="1"/>
  <c r="D32" i="17" s="1"/>
  <c r="A35" i="17" s="1"/>
  <c r="D16" i="18"/>
  <c r="D17" i="18" s="1"/>
  <c r="D18" i="18" s="1"/>
  <c r="D25" i="13"/>
  <c r="D26" i="13" s="1"/>
  <c r="D54" i="18" l="1"/>
  <c r="D53" i="18"/>
  <c r="D55" i="18" s="1"/>
  <c r="D59" i="18" s="1"/>
  <c r="I46" i="19"/>
  <c r="D32" i="19"/>
  <c r="D33" i="19" s="1"/>
  <c r="A36" i="19" s="1"/>
  <c r="D32" i="18"/>
  <c r="A35" i="18" s="1"/>
  <c r="D27" i="13"/>
  <c r="D28" i="13" s="1"/>
  <c r="A31" i="13" s="1"/>
  <c r="I13" i="13"/>
  <c r="D60" i="18" l="1"/>
  <c r="C13" i="14"/>
  <c r="D15" i="14"/>
  <c r="D19" i="14" s="1"/>
  <c r="D13" i="14"/>
  <c r="D23" i="14"/>
  <c r="D25" i="14" l="1"/>
  <c r="H8" i="14" s="1"/>
  <c r="J34" i="14"/>
  <c r="E7" i="14"/>
  <c r="D27" i="14"/>
  <c r="D8" i="14"/>
  <c r="D20" i="14"/>
  <c r="A20" i="14"/>
  <c r="A19" i="14"/>
  <c r="I8" i="14" l="1"/>
  <c r="J36" i="14"/>
  <c r="D29" i="14"/>
  <c r="J38" i="14"/>
  <c r="J40" i="14" s="1"/>
  <c r="H9" i="14"/>
  <c r="D32" i="14"/>
  <c r="D33" i="14" s="1"/>
  <c r="D34" i="14" s="1"/>
  <c r="D35" i="14" s="1"/>
  <c r="A38" i="14" s="1"/>
  <c r="I9" i="14"/>
  <c r="J43" i="14" l="1"/>
  <c r="J44" i="14" s="1"/>
  <c r="J49" i="14" s="1"/>
  <c r="A40" i="12"/>
  <c r="A41" i="12" s="1"/>
  <c r="A42" i="12" s="1"/>
  <c r="A43" i="12" s="1"/>
  <c r="A44" i="12" s="1"/>
  <c r="A45" i="12" s="1"/>
  <c r="A46" i="12" s="1"/>
  <c r="A47" i="12" s="1"/>
  <c r="A48" i="12" s="1"/>
  <c r="A49" i="12" s="1"/>
  <c r="A50" i="12" s="1"/>
  <c r="A51" i="12" s="1"/>
  <c r="A52" i="12" s="1"/>
  <c r="J48" i="14" l="1"/>
  <c r="C77" i="12"/>
  <c r="C82" i="12"/>
  <c r="C79" i="12"/>
  <c r="C84" i="12"/>
  <c r="C83" i="12"/>
  <c r="C81" i="12"/>
  <c r="C71" i="12"/>
  <c r="C72" i="12"/>
  <c r="C74" i="12"/>
  <c r="C80" i="12"/>
  <c r="C78" i="12"/>
  <c r="C73" i="12"/>
  <c r="C76" i="12"/>
  <c r="C75" i="12"/>
  <c r="C70" i="12"/>
  <c r="B39" i="12" a="1"/>
  <c r="B41" i="12" s="1"/>
  <c r="B44" i="12" l="1"/>
  <c r="B45" i="12"/>
  <c r="B46" i="12"/>
  <c r="B48" i="12"/>
  <c r="B49" i="12"/>
  <c r="B47" i="12"/>
  <c r="B50" i="12"/>
  <c r="B39" i="12"/>
  <c r="B51" i="12"/>
  <c r="B40" i="12"/>
  <c r="B42" i="12"/>
  <c r="B52" i="12"/>
  <c r="B43" i="12"/>
  <c r="G75" i="12"/>
  <c r="G76" i="12"/>
  <c r="G77" i="12"/>
  <c r="G74" i="12"/>
  <c r="B33" i="12"/>
  <c r="B32" i="12"/>
  <c r="G63" i="12"/>
  <c r="G64" i="12"/>
  <c r="G65" i="12"/>
  <c r="G66" i="12"/>
  <c r="G67" i="12"/>
  <c r="G62" i="12"/>
  <c r="G61" i="12"/>
  <c r="G49" i="12"/>
  <c r="G50" i="12"/>
  <c r="G48" i="12"/>
  <c r="G47" i="12"/>
  <c r="G33" i="12"/>
  <c r="G34" i="12"/>
  <c r="G35" i="12"/>
  <c r="G32" i="12"/>
  <c r="B25" i="12"/>
  <c r="B24" i="12"/>
  <c r="G26" i="12"/>
  <c r="G25" i="12"/>
  <c r="G24" i="12"/>
  <c r="G23" i="12"/>
  <c r="G22" i="12"/>
  <c r="G21" i="12"/>
  <c r="G20" i="12"/>
  <c r="B17" i="12"/>
  <c r="B16" i="12"/>
  <c r="G14" i="12"/>
  <c r="G13" i="12"/>
  <c r="G12" i="12"/>
  <c r="G11" i="12"/>
  <c r="G10" i="12"/>
  <c r="G9" i="12"/>
  <c r="G8" i="12"/>
  <c r="B8" i="12"/>
  <c r="G7" i="12"/>
  <c r="B7" i="12"/>
  <c r="C42" i="12" l="1"/>
  <c r="C40" i="12"/>
  <c r="C51" i="12"/>
  <c r="C39" i="12"/>
  <c r="C50" i="12"/>
  <c r="C47" i="12"/>
  <c r="C49" i="12"/>
  <c r="C48" i="12"/>
  <c r="C46" i="12"/>
  <c r="C45" i="12"/>
  <c r="C43" i="12"/>
  <c r="C44" i="12"/>
  <c r="C52" i="12"/>
  <c r="C41" i="12"/>
  <c r="B34" i="12"/>
  <c r="B26" i="12"/>
  <c r="B9" i="12"/>
  <c r="B18" i="12"/>
  <c r="B37" i="12" l="1"/>
</calcChain>
</file>

<file path=xl/sharedStrings.xml><?xml version="1.0" encoding="utf-8"?>
<sst xmlns="http://schemas.openxmlformats.org/spreadsheetml/2006/main" count="5883" uniqueCount="415">
  <si>
    <t>Cust_No</t>
  </si>
  <si>
    <t>Gender</t>
  </si>
  <si>
    <t>Age_Driver</t>
  </si>
  <si>
    <t>State</t>
  </si>
  <si>
    <t>Area</t>
  </si>
  <si>
    <t>NCBR</t>
  </si>
  <si>
    <t>Val_Method</t>
  </si>
  <si>
    <t>Veh_Type</t>
  </si>
  <si>
    <t>Broker</t>
  </si>
  <si>
    <t>Insurer</t>
  </si>
  <si>
    <t>Customer_Sat</t>
  </si>
  <si>
    <t>Savings</t>
  </si>
  <si>
    <t>Male</t>
  </si>
  <si>
    <t>Queensland</t>
  </si>
  <si>
    <t>Rural</t>
  </si>
  <si>
    <t>Silver</t>
  </si>
  <si>
    <t>Agreed Value</t>
  </si>
  <si>
    <t>4WD</t>
  </si>
  <si>
    <t>Yes</t>
  </si>
  <si>
    <t>None</t>
  </si>
  <si>
    <t>iChoose</t>
  </si>
  <si>
    <t>GIO</t>
  </si>
  <si>
    <t>Very Satisfied</t>
  </si>
  <si>
    <t>Female</t>
  </si>
  <si>
    <t>Tasmania</t>
  </si>
  <si>
    <t>Urban</t>
  </si>
  <si>
    <t>Gold</t>
  </si>
  <si>
    <t>Market Value</t>
  </si>
  <si>
    <t>Family</t>
  </si>
  <si>
    <t>yChoose</t>
  </si>
  <si>
    <t>Youi</t>
  </si>
  <si>
    <t>New South Wales</t>
  </si>
  <si>
    <t>Diamond</t>
  </si>
  <si>
    <t>uChoose</t>
  </si>
  <si>
    <t>Coles</t>
  </si>
  <si>
    <t>Dissatisfied</t>
  </si>
  <si>
    <t>Victoria</t>
  </si>
  <si>
    <t>Platinum</t>
  </si>
  <si>
    <t>vChoose</t>
  </si>
  <si>
    <t>RACV</t>
  </si>
  <si>
    <t>Very Dissatisfied</t>
  </si>
  <si>
    <t>Sapphire</t>
  </si>
  <si>
    <t>Allianze</t>
  </si>
  <si>
    <t>No</t>
  </si>
  <si>
    <t>Satisfied</t>
  </si>
  <si>
    <t>Luxury</t>
  </si>
  <si>
    <t>AAMI</t>
  </si>
  <si>
    <t>NRMA</t>
  </si>
  <si>
    <t>Western Australia</t>
  </si>
  <si>
    <t>Sports</t>
  </si>
  <si>
    <t>Australian Capital Territory</t>
  </si>
  <si>
    <t>South Australia</t>
  </si>
  <si>
    <t>Northern Territory</t>
  </si>
  <si>
    <t>Ruby</t>
  </si>
  <si>
    <t>Variable Name</t>
  </si>
  <si>
    <t>Description</t>
  </si>
  <si>
    <t>Age of the Driver</t>
  </si>
  <si>
    <t>Annual saving on car insurance premium in dollars</t>
  </si>
  <si>
    <t>Customers were asked a range of questions about brokerage services they used and related car insurance policy details.</t>
  </si>
  <si>
    <t>Gender of the respondent {Male; Female}</t>
  </si>
  <si>
    <t>Area classification {Urban; Rural}</t>
  </si>
  <si>
    <t>Random Sample of 400 Car Insurance Brokerage Customers</t>
  </si>
  <si>
    <t>No claim bonus rating {None; Silver; Gold; Platinum; Ruby; Sapphire; Diamond}</t>
  </si>
  <si>
    <t>State where customer resides {NSW; VIC; QLD; SA; WA; TAS; NT; ACT}</t>
  </si>
  <si>
    <t>Valuation Method {Agreed Value; Market Value}</t>
  </si>
  <si>
    <t>Vehicle Type {4WD; Family; Luxury; Sports}</t>
  </si>
  <si>
    <t>Car Insurance Broker {yChoose; iChoose; uChoose; vChoose}</t>
  </si>
  <si>
    <t>Approched current insurance provider for a better deal before contacting broker{ Yes; No}</t>
  </si>
  <si>
    <t>Approched_Insurer</t>
  </si>
  <si>
    <t>Level of satisfaction with Insurance Broker {Very Satisfied; Satisfied; Dissatisfied; Very Dissatisfied}</t>
  </si>
  <si>
    <t>Insurance Policy Provider {AAMI; Allianze; Coles; GIO; NRMA; RACV; Youi}</t>
  </si>
  <si>
    <t>Mean</t>
  </si>
  <si>
    <t>Median</t>
  </si>
  <si>
    <t>Range</t>
  </si>
  <si>
    <t>Variance</t>
  </si>
  <si>
    <t>Standard deviation</t>
  </si>
  <si>
    <t>Kurtosis</t>
  </si>
  <si>
    <t>Skewness</t>
  </si>
  <si>
    <t>Sum</t>
  </si>
  <si>
    <t>Count</t>
  </si>
  <si>
    <t>Agreed value</t>
  </si>
  <si>
    <t>Market value</t>
  </si>
  <si>
    <t>Vehicle</t>
  </si>
  <si>
    <t>Pie chart</t>
  </si>
  <si>
    <t>Bar chart</t>
  </si>
  <si>
    <t>Variable</t>
  </si>
  <si>
    <t>Chart</t>
  </si>
  <si>
    <t>Frequency</t>
  </si>
  <si>
    <t>Total</t>
  </si>
  <si>
    <t>Frequency (%)</t>
  </si>
  <si>
    <t>Valuaton method</t>
  </si>
  <si>
    <t>Vehicle Type</t>
  </si>
  <si>
    <t>Approaced insurer</t>
  </si>
  <si>
    <t>Customer satisfaction</t>
  </si>
  <si>
    <t>Age Driver</t>
  </si>
  <si>
    <t>Minimum</t>
  </si>
  <si>
    <t>Maximum</t>
  </si>
  <si>
    <t>From what I can gather from your notes, iChoose was able to save their customers more money than other brokers. Can I now conclude that iChoose, on average, can save more on insurance premiums than uChoose?</t>
  </si>
  <si>
    <t>Level of significance</t>
  </si>
  <si>
    <r>
      <t xml:space="preserve">Hypothesis Test for </t>
    </r>
    <r>
      <rPr>
        <b/>
        <sz val="10"/>
        <rFont val="Calibri"/>
        <family val="2"/>
      </rPr>
      <t>µ1 - µ2 (independent, unequal variances)</t>
    </r>
  </si>
  <si>
    <t>Hypotheses</t>
  </si>
  <si>
    <t>Null Hypothesis</t>
  </si>
  <si>
    <r>
      <t>µ</t>
    </r>
    <r>
      <rPr>
        <vertAlign val="subscript"/>
        <sz val="10"/>
        <rFont val="Arial"/>
        <family val="2"/>
      </rPr>
      <t>1</t>
    </r>
    <r>
      <rPr>
        <sz val="10"/>
        <rFont val="Arial"/>
        <family val="2"/>
      </rPr>
      <t xml:space="preserve"> - µ</t>
    </r>
    <r>
      <rPr>
        <vertAlign val="subscript"/>
        <sz val="10"/>
        <rFont val="Arial"/>
        <family val="2"/>
      </rPr>
      <t>2</t>
    </r>
  </si>
  <si>
    <t>Alternative Hypothesis</t>
  </si>
  <si>
    <t>&gt;</t>
  </si>
  <si>
    <t>Test Type</t>
  </si>
  <si>
    <t>α</t>
  </si>
  <si>
    <t>Critical Region</t>
  </si>
  <si>
    <t>Degrees of Freedom</t>
  </si>
  <si>
    <t>Sample Results</t>
  </si>
  <si>
    <t>Sample Standard Deviation</t>
  </si>
  <si>
    <t>Sample Mean</t>
  </si>
  <si>
    <t>Sample Size</t>
  </si>
  <si>
    <t>Standard Error of the Mean</t>
  </si>
  <si>
    <r>
      <t>t</t>
    </r>
    <r>
      <rPr>
        <sz val="10"/>
        <rFont val="Arial"/>
        <family val="2"/>
      </rPr>
      <t xml:space="preserve"> Sample Statistic</t>
    </r>
  </si>
  <si>
    <t>p-value</t>
  </si>
  <si>
    <t>Decision</t>
  </si>
  <si>
    <t>≤</t>
  </si>
  <si>
    <t>&lt;</t>
  </si>
  <si>
    <t>≥</t>
  </si>
  <si>
    <t>≠</t>
  </si>
  <si>
    <t>=</t>
  </si>
  <si>
    <t>Your analysis of 400 customers showed that the proportion of dissatisfied (i.e. either ‘Dissatisfied’ or ‘Very Dissatisfied’) urban customers is smaller than the proportion of dissatisfied rural customers. Can we argue that this difference would hold across all urban and rural customers?</t>
  </si>
  <si>
    <t>Customer Satisfaction</t>
  </si>
  <si>
    <t>Proportion</t>
  </si>
  <si>
    <t>Total Customers</t>
  </si>
  <si>
    <r>
      <t xml:space="preserve">Hypothesis Test for </t>
    </r>
    <r>
      <rPr>
        <b/>
        <sz val="10"/>
        <rFont val="Calibri"/>
        <family val="2"/>
      </rPr>
      <t>π1 - π2</t>
    </r>
  </si>
  <si>
    <r>
      <t>π</t>
    </r>
    <r>
      <rPr>
        <vertAlign val="subscript"/>
        <sz val="10"/>
        <rFont val="Arial"/>
        <family val="2"/>
      </rPr>
      <t>1</t>
    </r>
    <r>
      <rPr>
        <sz val="10"/>
        <rFont val="Arial"/>
        <family val="2"/>
      </rPr>
      <t xml:space="preserve"> - π</t>
    </r>
    <r>
      <rPr>
        <vertAlign val="subscript"/>
        <sz val="10"/>
        <rFont val="Arial"/>
        <family val="2"/>
      </rPr>
      <t>2</t>
    </r>
  </si>
  <si>
    <t>Sample Data</t>
  </si>
  <si>
    <t>Count of 'Successes'</t>
  </si>
  <si>
    <r>
      <t>Sample proportion, p</t>
    </r>
    <r>
      <rPr>
        <vertAlign val="subscript"/>
        <sz val="10"/>
        <rFont val="Arial"/>
        <family val="2"/>
      </rPr>
      <t>1</t>
    </r>
  </si>
  <si>
    <r>
      <t>Sample proportion, p</t>
    </r>
    <r>
      <rPr>
        <vertAlign val="subscript"/>
        <sz val="10"/>
        <rFont val="Arial"/>
        <family val="2"/>
      </rPr>
      <t>2</t>
    </r>
  </si>
  <si>
    <t>Pooled estimate of proportion</t>
  </si>
  <si>
    <t>Standard Error</t>
  </si>
  <si>
    <r>
      <t>z</t>
    </r>
    <r>
      <rPr>
        <sz val="10"/>
        <rFont val="Arial"/>
        <family val="2"/>
      </rPr>
      <t xml:space="preserve"> Sample Statistic</t>
    </r>
  </si>
  <si>
    <t>Question 1:</t>
  </si>
  <si>
    <t>Assumptions:</t>
  </si>
  <si>
    <t>Samples are randomly and independelty selected from population.</t>
  </si>
  <si>
    <t>Since n &gt; 30 for both the samples, we can consider that samples follow normal distribution as per Central Limit Theorem.</t>
  </si>
  <si>
    <r>
      <t xml:space="preserve">For equality of population variances, i.e. </t>
    </r>
    <r>
      <rPr>
        <sz val="11"/>
        <color theme="1"/>
        <rFont val="Calibri"/>
        <family val="2"/>
      </rPr>
      <t>σ</t>
    </r>
    <r>
      <rPr>
        <vertAlign val="subscript"/>
        <sz val="11"/>
        <color theme="1"/>
        <rFont val="Calibri"/>
        <family val="2"/>
      </rPr>
      <t>1</t>
    </r>
    <r>
      <rPr>
        <sz val="11"/>
        <color theme="1"/>
        <rFont val="Calibri"/>
        <family val="2"/>
      </rPr>
      <t xml:space="preserve"> = σ</t>
    </r>
    <r>
      <rPr>
        <vertAlign val="subscript"/>
        <sz val="11"/>
        <color theme="1"/>
        <rFont val="Calibri"/>
        <family val="2"/>
      </rPr>
      <t xml:space="preserve">2, </t>
    </r>
    <r>
      <rPr>
        <sz val="11"/>
        <color theme="1"/>
        <rFont val="Calibri"/>
        <family val="2"/>
      </rPr>
      <t>I have used F Test with 0.05 level of significance</t>
    </r>
  </si>
  <si>
    <r>
      <t>I need to conclude if Broker iChoose on an average save more on insurance premium than uChoose.  To validate this claim, I need to use H-testing with two samples. Sample 1 = iChoose and Sample 2 = uChoose, thus µ</t>
    </r>
    <r>
      <rPr>
        <vertAlign val="subscript"/>
        <sz val="11"/>
        <color theme="1"/>
        <rFont val="Calibri"/>
        <family val="2"/>
        <scheme val="minor"/>
      </rPr>
      <t>1</t>
    </r>
    <r>
      <rPr>
        <sz val="11"/>
        <color theme="1"/>
        <rFont val="Calibri"/>
        <family val="2"/>
        <scheme val="minor"/>
      </rPr>
      <t xml:space="preserve"> =  iChoose and µ</t>
    </r>
    <r>
      <rPr>
        <vertAlign val="subscript"/>
        <sz val="11"/>
        <color theme="1"/>
        <rFont val="Calibri"/>
        <family val="2"/>
        <scheme val="minor"/>
      </rPr>
      <t>2</t>
    </r>
    <r>
      <rPr>
        <sz val="11"/>
        <color theme="1"/>
        <rFont val="Calibri"/>
        <family val="2"/>
        <scheme val="minor"/>
      </rPr>
      <t xml:space="preserve"> = uChoose</t>
    </r>
  </si>
  <si>
    <t>F Upper with degree of freedom in numerator is 189 and in denominator is 71.</t>
  </si>
  <si>
    <t>Therefore,</t>
  </si>
  <si>
    <t xml:space="preserve">F Upper = </t>
  </si>
  <si>
    <t xml:space="preserve">F Lower = </t>
  </si>
  <si>
    <r>
      <t>H</t>
    </r>
    <r>
      <rPr>
        <b/>
        <vertAlign val="subscript"/>
        <sz val="11"/>
        <color theme="1"/>
        <rFont val="Calibri"/>
        <family val="2"/>
        <scheme val="minor"/>
      </rPr>
      <t>0</t>
    </r>
  </si>
  <si>
    <r>
      <t>σ</t>
    </r>
    <r>
      <rPr>
        <b/>
        <vertAlign val="subscript"/>
        <sz val="11"/>
        <color theme="1"/>
        <rFont val="Calibri"/>
        <family val="2"/>
        <scheme val="minor"/>
      </rPr>
      <t>1</t>
    </r>
    <r>
      <rPr>
        <b/>
        <sz val="11"/>
        <color theme="1"/>
        <rFont val="Calibri"/>
        <family val="2"/>
        <scheme val="minor"/>
      </rPr>
      <t xml:space="preserve"> - σ</t>
    </r>
    <r>
      <rPr>
        <b/>
        <vertAlign val="subscript"/>
        <sz val="11"/>
        <color theme="1"/>
        <rFont val="Calibri"/>
        <family val="2"/>
        <scheme val="minor"/>
      </rPr>
      <t>2</t>
    </r>
    <r>
      <rPr>
        <b/>
        <sz val="11"/>
        <color theme="1"/>
        <rFont val="Calibri"/>
        <family val="2"/>
        <scheme val="minor"/>
      </rPr>
      <t xml:space="preserve"> = 0</t>
    </r>
  </si>
  <si>
    <r>
      <t>H</t>
    </r>
    <r>
      <rPr>
        <b/>
        <vertAlign val="subscript"/>
        <sz val="11"/>
        <color theme="1"/>
        <rFont val="Calibri"/>
        <family val="2"/>
        <scheme val="minor"/>
      </rPr>
      <t>1</t>
    </r>
  </si>
  <si>
    <r>
      <t>σ</t>
    </r>
    <r>
      <rPr>
        <b/>
        <vertAlign val="subscript"/>
        <sz val="11"/>
        <color theme="1"/>
        <rFont val="Calibri"/>
        <family val="2"/>
        <scheme val="minor"/>
      </rPr>
      <t>1</t>
    </r>
    <r>
      <rPr>
        <b/>
        <sz val="11"/>
        <color theme="1"/>
        <rFont val="Calibri"/>
        <family val="2"/>
        <scheme val="minor"/>
      </rPr>
      <t xml:space="preserve"> - σ</t>
    </r>
    <r>
      <rPr>
        <b/>
        <vertAlign val="subscript"/>
        <sz val="11"/>
        <color theme="1"/>
        <rFont val="Calibri"/>
        <family val="2"/>
        <scheme val="minor"/>
      </rPr>
      <t>2</t>
    </r>
    <r>
      <rPr>
        <b/>
        <sz val="11"/>
        <color theme="1"/>
        <rFont val="Calibri"/>
        <family val="2"/>
        <scheme val="minor"/>
      </rPr>
      <t xml:space="preserve"> ≠ 0</t>
    </r>
  </si>
  <si>
    <t xml:space="preserve">F  = </t>
  </si>
  <si>
    <r>
      <t xml:space="preserve">Hypothesis Test for </t>
    </r>
    <r>
      <rPr>
        <b/>
        <sz val="10"/>
        <rFont val="Calibri"/>
        <family val="2"/>
      </rPr>
      <t>µ1 - µ2 (independent, equal variances)</t>
    </r>
  </si>
  <si>
    <t>Pooled Variance</t>
  </si>
  <si>
    <t>Variance of savings on insurance premiums for iChoose and uChoose is equal</t>
  </si>
  <si>
    <t>Variance of savings on insurance premiums for iChoose and uChoose is not equal</t>
  </si>
  <si>
    <t>Pooled-Variance t Test:</t>
  </si>
  <si>
    <r>
      <t>µ</t>
    </r>
    <r>
      <rPr>
        <b/>
        <vertAlign val="subscript"/>
        <sz val="11"/>
        <color theme="1"/>
        <rFont val="Calibri"/>
        <family val="2"/>
        <scheme val="minor"/>
      </rPr>
      <t>1</t>
    </r>
    <r>
      <rPr>
        <b/>
        <sz val="11"/>
        <color theme="1"/>
        <rFont val="Calibri"/>
        <family val="2"/>
        <scheme val="minor"/>
      </rPr>
      <t xml:space="preserve"> - µ</t>
    </r>
    <r>
      <rPr>
        <b/>
        <vertAlign val="subscript"/>
        <sz val="11"/>
        <color theme="1"/>
        <rFont val="Calibri"/>
        <family val="2"/>
        <scheme val="minor"/>
      </rPr>
      <t>2</t>
    </r>
    <r>
      <rPr>
        <b/>
        <sz val="11"/>
        <color theme="1"/>
        <rFont val="Calibri"/>
        <family val="2"/>
        <scheme val="minor"/>
      </rPr>
      <t xml:space="preserve"> ≤ 0</t>
    </r>
  </si>
  <si>
    <r>
      <t>µ</t>
    </r>
    <r>
      <rPr>
        <b/>
        <vertAlign val="subscript"/>
        <sz val="11"/>
        <color theme="1"/>
        <rFont val="Calibri"/>
        <family val="2"/>
        <scheme val="minor"/>
      </rPr>
      <t>1</t>
    </r>
    <r>
      <rPr>
        <b/>
        <sz val="11"/>
        <color theme="1"/>
        <rFont val="Calibri"/>
        <family val="2"/>
        <scheme val="minor"/>
      </rPr>
      <t xml:space="preserve"> - µ</t>
    </r>
    <r>
      <rPr>
        <b/>
        <vertAlign val="subscript"/>
        <sz val="11"/>
        <color theme="1"/>
        <rFont val="Calibri"/>
        <family val="2"/>
        <scheme val="minor"/>
      </rPr>
      <t>2</t>
    </r>
    <r>
      <rPr>
        <b/>
        <sz val="11"/>
        <color theme="1"/>
        <rFont val="Calibri"/>
        <family val="2"/>
        <scheme val="minor"/>
      </rPr>
      <t xml:space="preserve"> &gt; 0</t>
    </r>
  </si>
  <si>
    <t xml:space="preserve">On an average, broker iChoose saves more on insurance premium than broker uCHoose. </t>
  </si>
  <si>
    <r>
      <t xml:space="preserve">Decision Rule: </t>
    </r>
    <r>
      <rPr>
        <sz val="11"/>
        <color theme="1"/>
        <rFont val="Calibri"/>
        <family val="2"/>
        <scheme val="minor"/>
      </rPr>
      <t>Reject H</t>
    </r>
    <r>
      <rPr>
        <vertAlign val="subscript"/>
        <sz val="11"/>
        <color theme="1"/>
        <rFont val="Calibri"/>
        <family val="2"/>
        <scheme val="minor"/>
      </rPr>
      <t xml:space="preserve">0 </t>
    </r>
    <r>
      <rPr>
        <sz val="11"/>
        <color theme="1"/>
        <rFont val="Calibri"/>
        <family val="2"/>
        <scheme val="minor"/>
      </rPr>
      <t xml:space="preserve"> if F &gt; F Upper or F &lt; F Lower</t>
    </r>
  </si>
  <si>
    <r>
      <rPr>
        <b/>
        <sz val="11"/>
        <color theme="1"/>
        <rFont val="Calibri"/>
        <family val="2"/>
        <scheme val="minor"/>
      </rPr>
      <t>Level of significance:</t>
    </r>
    <r>
      <rPr>
        <sz val="11"/>
        <color theme="1"/>
        <rFont val="Calibri"/>
        <family val="2"/>
        <scheme val="minor"/>
      </rPr>
      <t xml:space="preserve"> α = 5% as mentioned in the problem.</t>
    </r>
  </si>
  <si>
    <r>
      <t xml:space="preserve">Decision Rule: </t>
    </r>
    <r>
      <rPr>
        <sz val="11"/>
        <color theme="1"/>
        <rFont val="Calibri"/>
        <family val="2"/>
        <scheme val="minor"/>
      </rPr>
      <t>If t Sample Statistic  &gt; t critical value at</t>
    </r>
    <r>
      <rPr>
        <b/>
        <sz val="11"/>
        <color theme="1"/>
        <rFont val="Calibri"/>
        <family val="2"/>
        <scheme val="minor"/>
      </rPr>
      <t xml:space="preserve"> </t>
    </r>
    <r>
      <rPr>
        <sz val="11"/>
        <color theme="1"/>
        <rFont val="Calibri"/>
        <family val="2"/>
        <scheme val="minor"/>
      </rPr>
      <t>α = 5% and degree of freedom = 260, then reject null hypothesis.</t>
    </r>
  </si>
  <si>
    <t xml:space="preserve">           If t Sample Statistic  &lt; t critical value at α = 5% and degree of freedom = 260, then do not reject null hypothesis.</t>
  </si>
  <si>
    <r>
      <t xml:space="preserve">Conclusion: </t>
    </r>
    <r>
      <rPr>
        <sz val="11"/>
        <color theme="1"/>
        <rFont val="Calibri"/>
        <family val="2"/>
        <scheme val="minor"/>
      </rPr>
      <t>Since F</t>
    </r>
    <r>
      <rPr>
        <vertAlign val="subscript"/>
        <sz val="11"/>
        <color theme="1"/>
        <rFont val="Calibri"/>
        <family val="2"/>
        <scheme val="minor"/>
      </rPr>
      <t xml:space="preserve">L </t>
    </r>
    <r>
      <rPr>
        <sz val="11"/>
        <color theme="1"/>
        <rFont val="Calibri"/>
        <family val="2"/>
        <scheme val="minor"/>
      </rPr>
      <t xml:space="preserve"> = 0.67 &lt; F = 1.31 &lt; F</t>
    </r>
    <r>
      <rPr>
        <vertAlign val="subscript"/>
        <sz val="11"/>
        <color theme="1"/>
        <rFont val="Calibri"/>
        <family val="2"/>
        <scheme val="minor"/>
      </rPr>
      <t xml:space="preserve">U </t>
    </r>
    <r>
      <rPr>
        <sz val="11"/>
        <color theme="1"/>
        <rFont val="Calibri"/>
        <family val="2"/>
        <scheme val="minor"/>
      </rPr>
      <t>= 1.50, we do not reject H</t>
    </r>
    <r>
      <rPr>
        <vertAlign val="subscript"/>
        <sz val="11"/>
        <color theme="1"/>
        <rFont val="Calibri"/>
        <family val="2"/>
        <scheme val="minor"/>
      </rPr>
      <t>0</t>
    </r>
    <r>
      <rPr>
        <sz val="11"/>
        <color theme="1"/>
        <rFont val="Calibri"/>
        <family val="2"/>
        <scheme val="minor"/>
      </rPr>
      <t>. At 5% level of significance we conclude that there is no significant difference in the variability of savings on insurance premiums data for brokers iChoose and uChoose. This is also evident from F ratio, where uChoose σ</t>
    </r>
    <r>
      <rPr>
        <vertAlign val="subscript"/>
        <sz val="11"/>
        <color theme="1"/>
        <rFont val="Calibri"/>
        <family val="2"/>
        <scheme val="minor"/>
      </rPr>
      <t>2</t>
    </r>
    <r>
      <rPr>
        <sz val="11"/>
        <color theme="1"/>
        <rFont val="Calibri"/>
        <family val="2"/>
        <scheme val="minor"/>
      </rPr>
      <t xml:space="preserve"> is less than twice of iChoose σ</t>
    </r>
    <r>
      <rPr>
        <vertAlign val="subscript"/>
        <sz val="11"/>
        <color theme="1"/>
        <rFont val="Calibri"/>
        <family val="2"/>
        <scheme val="minor"/>
      </rPr>
      <t>1</t>
    </r>
    <r>
      <rPr>
        <sz val="11"/>
        <color theme="1"/>
        <rFont val="Calibri"/>
        <family val="2"/>
        <scheme val="minor"/>
      </rPr>
      <t>. Thus, I have used Pooled-Variance t Test for this question.</t>
    </r>
  </si>
  <si>
    <t>Question 2:</t>
  </si>
  <si>
    <t>n * p</t>
  </si>
  <si>
    <t>n(1-p)</t>
  </si>
  <si>
    <t>Variables</t>
  </si>
  <si>
    <t>Values of n * p and n(1-p) is greater than 5, thus we can use Z test statistic as sample sizes large enough for standardised normal distribution.</t>
  </si>
  <si>
    <r>
      <t>π</t>
    </r>
    <r>
      <rPr>
        <b/>
        <vertAlign val="subscript"/>
        <sz val="11"/>
        <color theme="1"/>
        <rFont val="Calibri"/>
        <family val="2"/>
        <scheme val="minor"/>
      </rPr>
      <t>1</t>
    </r>
    <r>
      <rPr>
        <b/>
        <sz val="11"/>
        <color theme="1"/>
        <rFont val="Calibri"/>
        <family val="2"/>
        <scheme val="minor"/>
      </rPr>
      <t xml:space="preserve"> - π</t>
    </r>
    <r>
      <rPr>
        <b/>
        <vertAlign val="subscript"/>
        <sz val="11"/>
        <color theme="1"/>
        <rFont val="Calibri"/>
        <family val="2"/>
        <scheme val="minor"/>
      </rPr>
      <t>2</t>
    </r>
    <r>
      <rPr>
        <b/>
        <sz val="11"/>
        <color theme="1"/>
        <rFont val="Calibri"/>
        <family val="2"/>
        <scheme val="minor"/>
      </rPr>
      <t xml:space="preserve"> ≤ 0</t>
    </r>
  </si>
  <si>
    <r>
      <t>π</t>
    </r>
    <r>
      <rPr>
        <b/>
        <vertAlign val="subscript"/>
        <sz val="11"/>
        <color theme="1"/>
        <rFont val="Calibri"/>
        <family val="2"/>
        <scheme val="minor"/>
      </rPr>
      <t>1</t>
    </r>
    <r>
      <rPr>
        <b/>
        <sz val="11"/>
        <color theme="1"/>
        <rFont val="Calibri"/>
        <family val="2"/>
        <scheme val="minor"/>
      </rPr>
      <t xml:space="preserve"> - π</t>
    </r>
    <r>
      <rPr>
        <b/>
        <vertAlign val="subscript"/>
        <sz val="11"/>
        <color theme="1"/>
        <rFont val="Calibri"/>
        <family val="2"/>
        <scheme val="minor"/>
      </rPr>
      <t>2</t>
    </r>
    <r>
      <rPr>
        <b/>
        <sz val="11"/>
        <color theme="1"/>
        <rFont val="Calibri"/>
        <family val="2"/>
        <scheme val="minor"/>
      </rPr>
      <t xml:space="preserve"> &gt; 0</t>
    </r>
  </si>
  <si>
    <r>
      <t>Sample 1 = Urban and Sample 2 = Rural. Thus, π</t>
    </r>
    <r>
      <rPr>
        <vertAlign val="subscript"/>
        <sz val="11"/>
        <color theme="1"/>
        <rFont val="Calibri"/>
        <family val="2"/>
        <scheme val="minor"/>
      </rPr>
      <t>1</t>
    </r>
    <r>
      <rPr>
        <sz val="11"/>
        <color theme="1"/>
        <rFont val="Calibri"/>
        <family val="2"/>
        <scheme val="minor"/>
      </rPr>
      <t xml:space="preserve"> = Urban and π</t>
    </r>
    <r>
      <rPr>
        <vertAlign val="subscript"/>
        <sz val="11"/>
        <color theme="1"/>
        <rFont val="Calibri"/>
        <family val="2"/>
        <scheme val="minor"/>
      </rPr>
      <t>2</t>
    </r>
    <r>
      <rPr>
        <sz val="11"/>
        <color theme="1"/>
        <rFont val="Calibri"/>
        <family val="2"/>
        <scheme val="minor"/>
      </rPr>
      <t xml:space="preserve"> = Rural</t>
    </r>
  </si>
  <si>
    <r>
      <t>π</t>
    </r>
    <r>
      <rPr>
        <b/>
        <vertAlign val="subscript"/>
        <sz val="11"/>
        <color theme="1"/>
        <rFont val="Calibri"/>
        <family val="2"/>
        <scheme val="minor"/>
      </rPr>
      <t>1</t>
    </r>
    <r>
      <rPr>
        <b/>
        <sz val="11"/>
        <color theme="1"/>
        <rFont val="Calibri"/>
        <family val="2"/>
        <scheme val="minor"/>
      </rPr>
      <t xml:space="preserve"> - π</t>
    </r>
    <r>
      <rPr>
        <b/>
        <vertAlign val="subscript"/>
        <sz val="11"/>
        <color theme="1"/>
        <rFont val="Calibri"/>
        <family val="2"/>
        <scheme val="minor"/>
      </rPr>
      <t>2</t>
    </r>
    <r>
      <rPr>
        <b/>
        <sz val="11"/>
        <color theme="1"/>
        <rFont val="Calibri"/>
        <family val="2"/>
        <scheme val="minor"/>
      </rPr>
      <t xml:space="preserve"> &lt; 0</t>
    </r>
  </si>
  <si>
    <r>
      <t>π</t>
    </r>
    <r>
      <rPr>
        <b/>
        <vertAlign val="subscript"/>
        <sz val="11"/>
        <color theme="1"/>
        <rFont val="Calibri"/>
        <family val="2"/>
        <scheme val="minor"/>
      </rPr>
      <t>1</t>
    </r>
    <r>
      <rPr>
        <b/>
        <sz val="11"/>
        <color theme="1"/>
        <rFont val="Calibri"/>
        <family val="2"/>
        <scheme val="minor"/>
      </rPr>
      <t xml:space="preserve"> - π</t>
    </r>
    <r>
      <rPr>
        <b/>
        <vertAlign val="subscript"/>
        <sz val="11"/>
        <color theme="1"/>
        <rFont val="Calibri"/>
        <family val="2"/>
        <scheme val="minor"/>
      </rPr>
      <t>2</t>
    </r>
    <r>
      <rPr>
        <b/>
        <sz val="11"/>
        <color theme="1"/>
        <rFont val="Calibri"/>
        <family val="2"/>
        <scheme val="minor"/>
      </rPr>
      <t xml:space="preserve"> ≥ 0</t>
    </r>
  </si>
  <si>
    <t>Proportion of dissatisfied urban customers is smaller than the proportion of dissatisfied rural customers.</t>
  </si>
  <si>
    <r>
      <t xml:space="preserve">Direction of the test: </t>
    </r>
    <r>
      <rPr>
        <sz val="11"/>
        <color theme="1"/>
        <rFont val="Calibri"/>
        <family val="2"/>
        <scheme val="minor"/>
      </rPr>
      <t>Since, alternative hypothesis states that proportion of dissatisfied urban customers is smaller than proportion of dissatisfied rural customers, thus Lower tail test.</t>
    </r>
  </si>
  <si>
    <t>Question 3.a:</t>
  </si>
  <si>
    <t>The average savings on insurance premiums differ between rural and urban customers.</t>
  </si>
  <si>
    <t>Mean savings on insurance premiums</t>
  </si>
  <si>
    <r>
      <t>I need to conclude if average savings on insurance premiums differ between rural and urban customers.  To validate this claim, I need to use H-testing with two samples. Sample 1 = Urban and Sample 2 = Rural, thus µ</t>
    </r>
    <r>
      <rPr>
        <vertAlign val="subscript"/>
        <sz val="11"/>
        <color theme="1"/>
        <rFont val="Calibri"/>
        <family val="2"/>
        <scheme val="minor"/>
      </rPr>
      <t>1</t>
    </r>
    <r>
      <rPr>
        <sz val="11"/>
        <color theme="1"/>
        <rFont val="Calibri"/>
        <family val="2"/>
        <scheme val="minor"/>
      </rPr>
      <t xml:space="preserve"> =  Urban and µ</t>
    </r>
    <r>
      <rPr>
        <vertAlign val="subscript"/>
        <sz val="11"/>
        <color theme="1"/>
        <rFont val="Calibri"/>
        <family val="2"/>
        <scheme val="minor"/>
      </rPr>
      <t>2</t>
    </r>
    <r>
      <rPr>
        <sz val="11"/>
        <color theme="1"/>
        <rFont val="Calibri"/>
        <family val="2"/>
        <scheme val="minor"/>
      </rPr>
      <t xml:space="preserve"> = Rural</t>
    </r>
  </si>
  <si>
    <t>Variance of savings on insurance premiums for Urban and Rural customers is equal</t>
  </si>
  <si>
    <t>Variance of savings on insurance premiums for Urban and Rural customers is not equal</t>
  </si>
  <si>
    <r>
      <t xml:space="preserve">Conclusion: </t>
    </r>
    <r>
      <rPr>
        <sz val="11"/>
        <color theme="1"/>
        <rFont val="Calibri"/>
        <family val="2"/>
        <scheme val="minor"/>
      </rPr>
      <t>Since F</t>
    </r>
    <r>
      <rPr>
        <vertAlign val="subscript"/>
        <sz val="11"/>
        <color theme="1"/>
        <rFont val="Calibri"/>
        <family val="2"/>
        <scheme val="minor"/>
      </rPr>
      <t xml:space="preserve">L </t>
    </r>
    <r>
      <rPr>
        <sz val="11"/>
        <color theme="1"/>
        <rFont val="Calibri"/>
        <family val="2"/>
        <scheme val="minor"/>
      </rPr>
      <t xml:space="preserve"> = 0.67 &lt; F</t>
    </r>
    <r>
      <rPr>
        <vertAlign val="subscript"/>
        <sz val="11"/>
        <color theme="1"/>
        <rFont val="Calibri"/>
        <family val="2"/>
        <scheme val="minor"/>
      </rPr>
      <t xml:space="preserve">U </t>
    </r>
    <r>
      <rPr>
        <sz val="11"/>
        <color theme="1"/>
        <rFont val="Calibri"/>
        <family val="2"/>
        <scheme val="minor"/>
      </rPr>
      <t>= 1.409 &lt; F = 1.46, we reject H</t>
    </r>
    <r>
      <rPr>
        <vertAlign val="subscript"/>
        <sz val="11"/>
        <color theme="1"/>
        <rFont val="Calibri"/>
        <family val="2"/>
        <scheme val="minor"/>
      </rPr>
      <t>0</t>
    </r>
    <r>
      <rPr>
        <sz val="11"/>
        <color theme="1"/>
        <rFont val="Calibri"/>
        <family val="2"/>
        <scheme val="minor"/>
      </rPr>
      <t>. At 5% level of significance we conclude that there is  significant difference in the variability of savings on insurance premiums data for Urban and Rural customers. However, as a rule thumb of larger standard deviation being twice of smaller sample standard deviation supports null hypothesis. But, I have rejected null hypothesis as suggested by F test and used Separate-Variance Test.</t>
    </r>
  </si>
  <si>
    <t>Separate-Variance Test</t>
  </si>
  <si>
    <r>
      <t>µ</t>
    </r>
    <r>
      <rPr>
        <b/>
        <vertAlign val="subscript"/>
        <sz val="11"/>
        <color theme="1"/>
        <rFont val="Calibri"/>
        <family val="2"/>
        <scheme val="minor"/>
      </rPr>
      <t>1</t>
    </r>
    <r>
      <rPr>
        <b/>
        <sz val="11"/>
        <color theme="1"/>
        <rFont val="Calibri"/>
        <family val="2"/>
        <scheme val="minor"/>
      </rPr>
      <t xml:space="preserve"> - µ</t>
    </r>
    <r>
      <rPr>
        <b/>
        <vertAlign val="subscript"/>
        <sz val="11"/>
        <color theme="1"/>
        <rFont val="Calibri"/>
        <family val="2"/>
        <scheme val="minor"/>
      </rPr>
      <t>2</t>
    </r>
    <r>
      <rPr>
        <b/>
        <sz val="11"/>
        <color theme="1"/>
        <rFont val="Calibri"/>
        <family val="2"/>
        <scheme val="minor"/>
      </rPr>
      <t xml:space="preserve"> = 0</t>
    </r>
  </si>
  <si>
    <r>
      <t>µ</t>
    </r>
    <r>
      <rPr>
        <b/>
        <vertAlign val="subscript"/>
        <sz val="11"/>
        <color theme="1"/>
        <rFont val="Calibri"/>
        <family val="2"/>
        <scheme val="minor"/>
      </rPr>
      <t>1</t>
    </r>
    <r>
      <rPr>
        <b/>
        <sz val="11"/>
        <color theme="1"/>
        <rFont val="Calibri"/>
        <family val="2"/>
        <scheme val="minor"/>
      </rPr>
      <t xml:space="preserve"> - µ</t>
    </r>
    <r>
      <rPr>
        <b/>
        <vertAlign val="subscript"/>
        <sz val="11"/>
        <color theme="1"/>
        <rFont val="Calibri"/>
        <family val="2"/>
        <scheme val="minor"/>
      </rPr>
      <t>2</t>
    </r>
    <r>
      <rPr>
        <b/>
        <sz val="11"/>
        <color theme="1"/>
        <rFont val="Calibri"/>
        <family val="2"/>
        <scheme val="minor"/>
      </rPr>
      <t xml:space="preserve"> ≠ 0</t>
    </r>
  </si>
  <si>
    <t>Average savings on insurance premiums is equal for urban and rural customers</t>
  </si>
  <si>
    <t>Average savings on insurance premiums is not equal for urban and rural customers</t>
  </si>
  <si>
    <r>
      <t xml:space="preserve">Direction of the test: </t>
    </r>
    <r>
      <rPr>
        <sz val="11"/>
        <color theme="1"/>
        <rFont val="Calibri"/>
        <family val="2"/>
        <scheme val="minor"/>
      </rPr>
      <t>Since, alternative hypothesis is difference between mean savings of insurance premiums for urban and rural customers, thus Two tail test.</t>
    </r>
  </si>
  <si>
    <r>
      <t xml:space="preserve">Direction of the test: </t>
    </r>
    <r>
      <rPr>
        <sz val="11"/>
        <color theme="1"/>
        <rFont val="Calibri"/>
        <family val="2"/>
        <scheme val="minor"/>
      </rPr>
      <t>Since, alternative hypothesis is difference between mean savings of on insurance premiums provided by iChoose and uChoose is greater than zero, thus Upper tail test.</t>
    </r>
  </si>
  <si>
    <r>
      <t xml:space="preserve">Decision Rule: </t>
    </r>
    <r>
      <rPr>
        <sz val="11"/>
        <color theme="1"/>
        <rFont val="Calibri"/>
        <family val="2"/>
        <scheme val="minor"/>
      </rPr>
      <t>If |t Sample Statistic|  &gt; t critical value at</t>
    </r>
    <r>
      <rPr>
        <b/>
        <sz val="11"/>
        <color theme="1"/>
        <rFont val="Calibri"/>
        <family val="2"/>
        <scheme val="minor"/>
      </rPr>
      <t xml:space="preserve"> </t>
    </r>
    <r>
      <rPr>
        <sz val="11"/>
        <color theme="1"/>
        <rFont val="Calibri"/>
        <family val="2"/>
        <scheme val="minor"/>
      </rPr>
      <t>α = 5% and degree of freedom = 187, then reject null hypothesis.</t>
    </r>
  </si>
  <si>
    <t>Question 3.b:</t>
  </si>
  <si>
    <t>On average, customers with ‘Agreed Value’ policy saved more on their insurance premiums than the customers with ‘Market Value’ policy;</t>
  </si>
  <si>
    <t>Valuation method</t>
  </si>
  <si>
    <r>
      <t>I need to conclude if average savings on insurance premiums for customer with 'Agreed Value' is greater than the customers with 'Market Value'. To validate this claim, I need to use H-testing with two samples. Sample 1 = Agreed value and Sample 2 = Market Value, thus µ</t>
    </r>
    <r>
      <rPr>
        <vertAlign val="subscript"/>
        <sz val="11"/>
        <color theme="1"/>
        <rFont val="Calibri"/>
        <family val="2"/>
        <scheme val="minor"/>
      </rPr>
      <t>1</t>
    </r>
    <r>
      <rPr>
        <sz val="11"/>
        <color theme="1"/>
        <rFont val="Calibri"/>
        <family val="2"/>
        <scheme val="minor"/>
      </rPr>
      <t xml:space="preserve"> =  Agreed value and µ</t>
    </r>
    <r>
      <rPr>
        <vertAlign val="subscript"/>
        <sz val="11"/>
        <color theme="1"/>
        <rFont val="Calibri"/>
        <family val="2"/>
        <scheme val="minor"/>
      </rPr>
      <t>2</t>
    </r>
    <r>
      <rPr>
        <sz val="11"/>
        <color theme="1"/>
        <rFont val="Calibri"/>
        <family val="2"/>
        <scheme val="minor"/>
      </rPr>
      <t xml:space="preserve"> = Market value</t>
    </r>
  </si>
  <si>
    <t>Variance of savings on insurance premiums for customers with Agreed value and Market value is equal</t>
  </si>
  <si>
    <t>Variance of savings on insurance premiums for customers with Agreed value and Market value is not equal</t>
  </si>
  <si>
    <r>
      <t xml:space="preserve">Conclusion: </t>
    </r>
    <r>
      <rPr>
        <sz val="11"/>
        <color theme="1"/>
        <rFont val="Calibri"/>
        <family val="2"/>
        <scheme val="minor"/>
      </rPr>
      <t>Since F</t>
    </r>
    <r>
      <rPr>
        <vertAlign val="subscript"/>
        <sz val="11"/>
        <color theme="1"/>
        <rFont val="Calibri"/>
        <family val="2"/>
        <scheme val="minor"/>
      </rPr>
      <t xml:space="preserve">L </t>
    </r>
    <r>
      <rPr>
        <sz val="11"/>
        <color theme="1"/>
        <rFont val="Calibri"/>
        <family val="2"/>
        <scheme val="minor"/>
      </rPr>
      <t xml:space="preserve"> = 0.66 &lt; F</t>
    </r>
    <r>
      <rPr>
        <vertAlign val="subscript"/>
        <sz val="11"/>
        <color theme="1"/>
        <rFont val="Calibri"/>
        <family val="2"/>
        <scheme val="minor"/>
      </rPr>
      <t xml:space="preserve">U </t>
    </r>
    <r>
      <rPr>
        <sz val="11"/>
        <color theme="1"/>
        <rFont val="Calibri"/>
        <family val="2"/>
        <scheme val="minor"/>
      </rPr>
      <t>= 1.510 &lt; F = 1.91, we reject H</t>
    </r>
    <r>
      <rPr>
        <vertAlign val="subscript"/>
        <sz val="11"/>
        <color theme="1"/>
        <rFont val="Calibri"/>
        <family val="2"/>
        <scheme val="minor"/>
      </rPr>
      <t>0</t>
    </r>
    <r>
      <rPr>
        <sz val="11"/>
        <color theme="1"/>
        <rFont val="Calibri"/>
        <family val="2"/>
        <scheme val="minor"/>
      </rPr>
      <t>. At 5% level of significance we conclude that there is  significant difference in the variability of savings on insurance premiums data for customers with Agreed value and Market value. However, as a rule thumb of larger standard deviation being twice of smaller sample standard deviation supports null hypothesis. But, I have rejected null hypothesis as suggested by F test and used Separate-Variance Test.</t>
    </r>
  </si>
  <si>
    <r>
      <t xml:space="preserve">Direction of the test: </t>
    </r>
    <r>
      <rPr>
        <sz val="11"/>
        <color theme="1"/>
        <rFont val="Calibri"/>
        <family val="2"/>
        <scheme val="minor"/>
      </rPr>
      <t>Since, alternative hypothesis is difference between mean savings of on insurance premiums for customers with Agreed value and Market value is greater than zero, thus Upper tail test.</t>
    </r>
  </si>
  <si>
    <r>
      <t xml:space="preserve">Decision Rule: </t>
    </r>
    <r>
      <rPr>
        <sz val="11"/>
        <color theme="1"/>
        <rFont val="Calibri"/>
        <family val="2"/>
        <scheme val="minor"/>
      </rPr>
      <t>If t Sample Statistic  &gt; t critical value at</t>
    </r>
    <r>
      <rPr>
        <b/>
        <sz val="11"/>
        <color theme="1"/>
        <rFont val="Calibri"/>
        <family val="2"/>
        <scheme val="minor"/>
      </rPr>
      <t xml:space="preserve"> </t>
    </r>
    <r>
      <rPr>
        <sz val="11"/>
        <color theme="1"/>
        <rFont val="Calibri"/>
        <family val="2"/>
        <scheme val="minor"/>
      </rPr>
      <t>α = 5% and degree of freedom = 48, then reject null hypothesis.</t>
    </r>
  </si>
  <si>
    <t xml:space="preserve">       If t Sample Statistic  &lt; t critical value at α = 5% and degree of freedom = 48, then do not reject null hypothesis.</t>
  </si>
  <si>
    <t xml:space="preserve">On an average, broker iChoose saves insurance premium less or equal to that of broker uCHoose. </t>
  </si>
  <si>
    <t>Proportion of dissatisfied urban customers is greater than or equal to the proportion of dissatisfied rural customers.</t>
  </si>
  <si>
    <t>Average savings on insurance premiums for customers with 'Agreed Value' policy is less than or equal to for the customers with 'Market Value' policy.</t>
  </si>
  <si>
    <t>Average savings on insurance premiums for customers with 'Agreed Value' policy is greater than the customer with 'Market Value' policy.</t>
  </si>
  <si>
    <t>Question 3.c:</t>
  </si>
  <si>
    <t>The proportion of female customers with a diamond level no claim bonus rating (NCBR) is less than male customers with a diamond level no claim bonus rating (NCBR);</t>
  </si>
  <si>
    <t>With diamond level</t>
  </si>
  <si>
    <r>
      <t>Sample 1 = Male and Sample 2 = Female. Thus, π</t>
    </r>
    <r>
      <rPr>
        <vertAlign val="subscript"/>
        <sz val="11"/>
        <color theme="1"/>
        <rFont val="Calibri"/>
        <family val="2"/>
        <scheme val="minor"/>
      </rPr>
      <t>1</t>
    </r>
    <r>
      <rPr>
        <sz val="11"/>
        <color theme="1"/>
        <rFont val="Calibri"/>
        <family val="2"/>
        <scheme val="minor"/>
      </rPr>
      <t xml:space="preserve"> = Male and π</t>
    </r>
    <r>
      <rPr>
        <vertAlign val="subscript"/>
        <sz val="11"/>
        <color theme="1"/>
        <rFont val="Calibri"/>
        <family val="2"/>
        <scheme val="minor"/>
      </rPr>
      <t>2</t>
    </r>
    <r>
      <rPr>
        <sz val="11"/>
        <color theme="1"/>
        <rFont val="Calibri"/>
        <family val="2"/>
        <scheme val="minor"/>
      </rPr>
      <t xml:space="preserve"> = Female</t>
    </r>
  </si>
  <si>
    <t>Proportion of male customers with diamond level NCBR is less than or equal to proportion of females with diamond level NCBR.</t>
  </si>
  <si>
    <t>Proportion of male customers with diamond level NCBR is greater than the proportion of females with diamond level NCBR.</t>
  </si>
  <si>
    <r>
      <t xml:space="preserve">Direction of the test: </t>
    </r>
    <r>
      <rPr>
        <sz val="11"/>
        <color theme="1"/>
        <rFont val="Calibri"/>
        <family val="2"/>
        <scheme val="minor"/>
      </rPr>
      <t>Since, alternative hypothesis states that Proportion of male customers with diamond level NCBR is greater than the proportion of females with diamond level NCBR., thus Upper tail test.</t>
    </r>
  </si>
  <si>
    <r>
      <t xml:space="preserve">Decision Rule: </t>
    </r>
    <r>
      <rPr>
        <sz val="11"/>
        <color theme="1"/>
        <rFont val="Calibri"/>
        <family val="2"/>
        <scheme val="minor"/>
      </rPr>
      <t>If Z Sample Statistic  &gt; Z critical value at</t>
    </r>
    <r>
      <rPr>
        <b/>
        <sz val="11"/>
        <color theme="1"/>
        <rFont val="Calibri"/>
        <family val="2"/>
        <scheme val="minor"/>
      </rPr>
      <t xml:space="preserve"> </t>
    </r>
    <r>
      <rPr>
        <sz val="11"/>
        <color theme="1"/>
        <rFont val="Calibri"/>
        <family val="2"/>
        <scheme val="minor"/>
      </rPr>
      <t xml:space="preserve">α = 5% i.e. -1.6449 then reject null hypothesis. </t>
    </r>
  </si>
  <si>
    <t xml:space="preserve">     If Z Sample Statistic  &lt; Z critical value at α = 5% i.e. -1.6449, then do not reject null hypothesis.</t>
  </si>
  <si>
    <r>
      <t xml:space="preserve">Decision Rule: </t>
    </r>
    <r>
      <rPr>
        <sz val="11"/>
        <color theme="1"/>
        <rFont val="Calibri"/>
        <family val="2"/>
        <scheme val="minor"/>
      </rPr>
      <t>If Z Sample Statistic  &gt; Z critical value at</t>
    </r>
    <r>
      <rPr>
        <b/>
        <sz val="11"/>
        <color theme="1"/>
        <rFont val="Calibri"/>
        <family val="2"/>
        <scheme val="minor"/>
      </rPr>
      <t xml:space="preserve"> </t>
    </r>
    <r>
      <rPr>
        <sz val="11"/>
        <color theme="1"/>
        <rFont val="Calibri"/>
        <family val="2"/>
        <scheme val="minor"/>
      </rPr>
      <t xml:space="preserve">α = 5% i.e. 1.6449 then reject null hypothesis. </t>
    </r>
  </si>
  <si>
    <t xml:space="preserve">       If Z Sample Statistic  &lt; Z critical value at α = 5% i.e. 1.6449, then do not reject null hypothesis.</t>
  </si>
  <si>
    <t>Question 4.a:</t>
  </si>
  <si>
    <t>The average savings on insurance premiums significantly differ between Victoria, NSW and Queensland</t>
  </si>
  <si>
    <t>NSW</t>
  </si>
  <si>
    <t>State wise savings</t>
  </si>
  <si>
    <r>
      <t>H</t>
    </r>
    <r>
      <rPr>
        <b/>
        <vertAlign val="subscript"/>
        <sz val="11"/>
        <color theme="1"/>
        <rFont val="Calibri"/>
        <family val="2"/>
        <scheme val="minor"/>
      </rPr>
      <t>0</t>
    </r>
    <r>
      <rPr>
        <b/>
        <sz val="11"/>
        <color theme="1"/>
        <rFont val="Calibri"/>
        <family val="2"/>
        <scheme val="minor"/>
      </rPr>
      <t>:</t>
    </r>
  </si>
  <si>
    <r>
      <t>H</t>
    </r>
    <r>
      <rPr>
        <b/>
        <vertAlign val="subscript"/>
        <sz val="11"/>
        <color theme="1"/>
        <rFont val="Calibri"/>
        <family val="2"/>
        <scheme val="minor"/>
      </rPr>
      <t>1</t>
    </r>
    <r>
      <rPr>
        <b/>
        <sz val="11"/>
        <color theme="1"/>
        <rFont val="Calibri"/>
        <family val="2"/>
        <scheme val="minor"/>
      </rPr>
      <t>:</t>
    </r>
  </si>
  <si>
    <r>
      <t>µ</t>
    </r>
    <r>
      <rPr>
        <vertAlign val="subscript"/>
        <sz val="11"/>
        <color theme="1"/>
        <rFont val="Calibri"/>
        <family val="2"/>
        <scheme val="minor"/>
      </rPr>
      <t>1</t>
    </r>
    <r>
      <rPr>
        <sz val="11"/>
        <color theme="1"/>
        <rFont val="Calibri"/>
        <family val="2"/>
        <scheme val="minor"/>
      </rPr>
      <t xml:space="preserve"> = µ</t>
    </r>
    <r>
      <rPr>
        <vertAlign val="subscript"/>
        <sz val="11"/>
        <color theme="1"/>
        <rFont val="Calibri"/>
        <family val="2"/>
        <scheme val="minor"/>
      </rPr>
      <t>2</t>
    </r>
    <r>
      <rPr>
        <sz val="11"/>
        <color theme="1"/>
        <rFont val="Calibri"/>
        <family val="2"/>
        <scheme val="minor"/>
      </rPr>
      <t xml:space="preserve"> = µ</t>
    </r>
    <r>
      <rPr>
        <vertAlign val="subscript"/>
        <sz val="11"/>
        <color theme="1"/>
        <rFont val="Calibri"/>
        <family val="2"/>
        <scheme val="minor"/>
      </rPr>
      <t>3</t>
    </r>
  </si>
  <si>
    <t>Not all µj are equal</t>
  </si>
  <si>
    <t>where; j = 1,2,3</t>
  </si>
  <si>
    <t>One way ANOVA is suitable to solve this question as we need to compare differences of more than two means and there is one factor variable "State" with three levels in question.</t>
  </si>
  <si>
    <t>Anova: Single Factor</t>
  </si>
  <si>
    <t>SUMMARY</t>
  </si>
  <si>
    <t>Groups</t>
  </si>
  <si>
    <t>Average</t>
  </si>
  <si>
    <t>ANOVA</t>
  </si>
  <si>
    <t>Source of Variation</t>
  </si>
  <si>
    <t>SS</t>
  </si>
  <si>
    <t>df</t>
  </si>
  <si>
    <t>MS</t>
  </si>
  <si>
    <t>F</t>
  </si>
  <si>
    <t>P-value</t>
  </si>
  <si>
    <t>F crit</t>
  </si>
  <si>
    <t>Between Groups</t>
  </si>
  <si>
    <t>Within Groups</t>
  </si>
  <si>
    <t>Tukey Kramer Multiple Comparisons</t>
  </si>
  <si>
    <t>Sample</t>
  </si>
  <si>
    <t>Group</t>
  </si>
  <si>
    <t>Size</t>
  </si>
  <si>
    <t>Since there are three levels of factor variable State, with formula n(n-1)/2 gives 3 pairs of means</t>
  </si>
  <si>
    <t>Other Data</t>
  </si>
  <si>
    <t>Numerator d.f.</t>
  </si>
  <si>
    <t>Denominator d.f.</t>
  </si>
  <si>
    <t>MSW</t>
  </si>
  <si>
    <t>Q Statistic</t>
  </si>
  <si>
    <t>Comparison</t>
  </si>
  <si>
    <t>Absolute Difference</t>
  </si>
  <si>
    <t>Std. Error of Difference</t>
  </si>
  <si>
    <t>Critical Range</t>
  </si>
  <si>
    <t>Victoria vs NSW</t>
  </si>
  <si>
    <t>Victoria vs Queensland</t>
  </si>
  <si>
    <t>NSW vs Queensland</t>
  </si>
  <si>
    <t>Assumptions of ANOVA:</t>
  </si>
  <si>
    <t>1. Samples are independent and selected randomly</t>
  </si>
  <si>
    <t>2. Since sample size for all thre levels is &gt; 30, thus normality assumption is satisfied as per CLT.</t>
  </si>
  <si>
    <t>3. Homogeneity of variance - Based on Levene Test for Homogeneity of Variance</t>
  </si>
  <si>
    <t>Levene Test for Homogeneity of Variance:</t>
  </si>
  <si>
    <r>
      <t>Not all σ</t>
    </r>
    <r>
      <rPr>
        <b/>
        <vertAlign val="subscript"/>
        <sz val="11"/>
        <color theme="1"/>
        <rFont val="Calibri"/>
        <family val="2"/>
        <scheme val="minor"/>
      </rPr>
      <t>j</t>
    </r>
    <r>
      <rPr>
        <b/>
        <sz val="11"/>
        <color theme="1"/>
        <rFont val="Calibri"/>
        <family val="2"/>
        <scheme val="minor"/>
      </rPr>
      <t xml:space="preserve"> are equal</t>
    </r>
  </si>
  <si>
    <r>
      <t>σ</t>
    </r>
    <r>
      <rPr>
        <b/>
        <vertAlign val="superscript"/>
        <sz val="11"/>
        <color theme="1"/>
        <rFont val="Calibri"/>
        <family val="2"/>
        <scheme val="minor"/>
      </rPr>
      <t>2</t>
    </r>
    <r>
      <rPr>
        <b/>
        <vertAlign val="subscript"/>
        <sz val="11"/>
        <color theme="1"/>
        <rFont val="Calibri"/>
        <family val="2"/>
        <scheme val="minor"/>
      </rPr>
      <t>1</t>
    </r>
    <r>
      <rPr>
        <b/>
        <sz val="11"/>
        <color theme="1"/>
        <rFont val="Calibri"/>
        <family val="2"/>
        <scheme val="minor"/>
      </rPr>
      <t xml:space="preserve"> = σ</t>
    </r>
    <r>
      <rPr>
        <b/>
        <vertAlign val="superscript"/>
        <sz val="11"/>
        <color theme="1"/>
        <rFont val="Calibri"/>
        <family val="2"/>
        <scheme val="minor"/>
      </rPr>
      <t>2</t>
    </r>
    <r>
      <rPr>
        <b/>
        <vertAlign val="subscript"/>
        <sz val="11"/>
        <color theme="1"/>
        <rFont val="Calibri"/>
        <family val="2"/>
        <scheme val="minor"/>
      </rPr>
      <t>2</t>
    </r>
    <r>
      <rPr>
        <b/>
        <sz val="11"/>
        <color theme="1"/>
        <rFont val="Calibri"/>
        <family val="2"/>
        <scheme val="minor"/>
      </rPr>
      <t xml:space="preserve"> = σ</t>
    </r>
    <r>
      <rPr>
        <b/>
        <vertAlign val="superscript"/>
        <sz val="11"/>
        <color theme="1"/>
        <rFont val="Calibri"/>
        <family val="2"/>
        <scheme val="minor"/>
      </rPr>
      <t>2</t>
    </r>
    <r>
      <rPr>
        <b/>
        <vertAlign val="subscript"/>
        <sz val="11"/>
        <color theme="1"/>
        <rFont val="Calibri"/>
        <family val="2"/>
        <scheme val="minor"/>
      </rPr>
      <t>3</t>
    </r>
  </si>
  <si>
    <t>where; 1 = Victoria, 2 = NSW, and 3 = Queensland</t>
  </si>
  <si>
    <t>State wise absolute median deviation</t>
  </si>
  <si>
    <t>ANOVA test for difference in mean savings on premiums</t>
  </si>
  <si>
    <t>Question 4.b:</t>
  </si>
  <si>
    <t>The average savings on insurance premiums significantly differ between 4WD, Luxury and Sports car.</t>
  </si>
  <si>
    <t>Sports car</t>
  </si>
  <si>
    <t>Vehicle type wise savings</t>
  </si>
  <si>
    <t>Vehcile type wise absolute median deviation</t>
  </si>
  <si>
    <t>One way ANOVA is suitable to solve this question as we need to compare differences of more than two means and there is one factor variable "Vehicle Type" with three levels in question.</t>
  </si>
  <si>
    <r>
      <rPr>
        <b/>
        <sz val="11"/>
        <color theme="1"/>
        <rFont val="Calibri"/>
        <family val="2"/>
        <scheme val="minor"/>
      </rPr>
      <t xml:space="preserve">Conclusion: </t>
    </r>
    <r>
      <rPr>
        <sz val="11"/>
        <color theme="1"/>
        <rFont val="Calibri"/>
        <family val="2"/>
        <scheme val="minor"/>
      </rPr>
      <t>Since p-value = 0.7406 &gt; 0.05, thus we do not reject null hypothesis. There is no evidence of a significant difference between the variation of three variances, i.e. assumption of homogeneity is satisfied.</t>
    </r>
  </si>
  <si>
    <t>where; 1 = 4WD, 2 = Luxury, and 3 = Sports car</t>
  </si>
  <si>
    <r>
      <t xml:space="preserve">Decision rule: </t>
    </r>
    <r>
      <rPr>
        <sz val="11"/>
        <color theme="1"/>
        <rFont val="Calibri"/>
        <family val="2"/>
        <scheme val="minor"/>
      </rPr>
      <t>If p-value &lt; 0.05, we reject H</t>
    </r>
    <r>
      <rPr>
        <vertAlign val="subscript"/>
        <sz val="11"/>
        <color theme="1"/>
        <rFont val="Calibri"/>
        <family val="2"/>
        <scheme val="minor"/>
      </rPr>
      <t>0</t>
    </r>
    <r>
      <rPr>
        <sz val="11"/>
        <color theme="1"/>
        <rFont val="Calibri"/>
        <family val="2"/>
        <scheme val="minor"/>
      </rPr>
      <t xml:space="preserve"> to conclude that mean savings on insurance premiums of at least one state differ from other two states.</t>
    </r>
  </si>
  <si>
    <r>
      <t>Decision rule:</t>
    </r>
    <r>
      <rPr>
        <sz val="11"/>
        <color theme="1"/>
        <rFont val="Calibri"/>
        <family val="2"/>
        <scheme val="minor"/>
      </rPr>
      <t xml:space="preserve"> If p-value &lt; 0.05, we reject H</t>
    </r>
    <r>
      <rPr>
        <vertAlign val="subscript"/>
        <sz val="11"/>
        <color theme="1"/>
        <rFont val="Calibri"/>
        <family val="2"/>
        <scheme val="minor"/>
      </rPr>
      <t>0</t>
    </r>
    <r>
      <rPr>
        <sz val="11"/>
        <color theme="1"/>
        <rFont val="Calibri"/>
        <family val="2"/>
        <scheme val="minor"/>
      </rPr>
      <t xml:space="preserve"> to conclude that mean savings on insurance premiums of at least one vehicle type differ from other two vehicle types.</t>
    </r>
  </si>
  <si>
    <t>4WD vs Luxury</t>
  </si>
  <si>
    <t>4WD vs Sports car</t>
  </si>
  <si>
    <t>Luxury vs Sports car</t>
  </si>
  <si>
    <t>Since there are three levels of factor variable Vehicle type, with formula n(n-1)/2 gives 3 pairs of means</t>
  </si>
  <si>
    <r>
      <rPr>
        <b/>
        <sz val="11"/>
        <color theme="1"/>
        <rFont val="Calibri"/>
        <family val="2"/>
        <scheme val="minor"/>
      </rPr>
      <t>Conclusion:</t>
    </r>
    <r>
      <rPr>
        <sz val="11"/>
        <color theme="1"/>
        <rFont val="Calibri"/>
        <family val="2"/>
        <scheme val="minor"/>
      </rPr>
      <t xml:space="preserve"> Average savings on insurance premium is different for each vehicle type (4WD, Luxury, and Sports Car)</t>
    </r>
  </si>
  <si>
    <t>Question 5:</t>
  </si>
  <si>
    <t>Does the proportion of customers who approached their insurance provider before reaching out to a broker differ between the insurance providers?</t>
  </si>
  <si>
    <t>Approached insurer</t>
  </si>
  <si>
    <t>Insurance providers - Observed frequencies</t>
  </si>
  <si>
    <t>Insurance providers - Expected frequencies</t>
  </si>
  <si>
    <r>
      <t>f</t>
    </r>
    <r>
      <rPr>
        <b/>
        <vertAlign val="subscript"/>
        <sz val="11"/>
        <color theme="1"/>
        <rFont val="Calibri"/>
        <family val="2"/>
        <scheme val="minor"/>
      </rPr>
      <t>o</t>
    </r>
  </si>
  <si>
    <r>
      <t>f</t>
    </r>
    <r>
      <rPr>
        <b/>
        <vertAlign val="subscript"/>
        <sz val="11"/>
        <color theme="1"/>
        <rFont val="Calibri"/>
        <family val="2"/>
        <scheme val="minor"/>
      </rPr>
      <t>e</t>
    </r>
  </si>
  <si>
    <r>
      <t>(f</t>
    </r>
    <r>
      <rPr>
        <b/>
        <vertAlign val="subscript"/>
        <sz val="11"/>
        <color theme="1"/>
        <rFont val="Calibri"/>
        <family val="2"/>
        <scheme val="minor"/>
      </rPr>
      <t>o</t>
    </r>
    <r>
      <rPr>
        <b/>
        <sz val="11"/>
        <color theme="1"/>
        <rFont val="Calibri"/>
        <family val="2"/>
        <scheme val="minor"/>
      </rPr>
      <t xml:space="preserve"> - f</t>
    </r>
    <r>
      <rPr>
        <b/>
        <vertAlign val="subscript"/>
        <sz val="11"/>
        <color theme="1"/>
        <rFont val="Calibri"/>
        <family val="2"/>
        <scheme val="minor"/>
      </rPr>
      <t>e</t>
    </r>
    <r>
      <rPr>
        <b/>
        <sz val="11"/>
        <color theme="1"/>
        <rFont val="Calibri"/>
        <family val="2"/>
        <scheme val="minor"/>
      </rPr>
      <t>)</t>
    </r>
  </si>
  <si>
    <r>
      <t>(f</t>
    </r>
    <r>
      <rPr>
        <b/>
        <vertAlign val="subscript"/>
        <sz val="11"/>
        <color theme="1"/>
        <rFont val="Calibri"/>
        <family val="2"/>
        <scheme val="minor"/>
      </rPr>
      <t>o</t>
    </r>
    <r>
      <rPr>
        <b/>
        <sz val="11"/>
        <color theme="1"/>
        <rFont val="Calibri"/>
        <family val="2"/>
        <scheme val="minor"/>
      </rPr>
      <t xml:space="preserve"> - f</t>
    </r>
    <r>
      <rPr>
        <b/>
        <vertAlign val="subscript"/>
        <sz val="11"/>
        <color theme="1"/>
        <rFont val="Calibri"/>
        <family val="2"/>
        <scheme val="minor"/>
      </rPr>
      <t>e</t>
    </r>
    <r>
      <rPr>
        <b/>
        <sz val="11"/>
        <color theme="1"/>
        <rFont val="Calibri"/>
        <family val="2"/>
        <scheme val="minor"/>
      </rPr>
      <t>)</t>
    </r>
    <r>
      <rPr>
        <b/>
        <vertAlign val="superscript"/>
        <sz val="11"/>
        <color theme="1"/>
        <rFont val="Calibri"/>
        <family val="2"/>
        <scheme val="minor"/>
      </rPr>
      <t>2</t>
    </r>
  </si>
  <si>
    <r>
      <t>(f</t>
    </r>
    <r>
      <rPr>
        <b/>
        <vertAlign val="subscript"/>
        <sz val="11"/>
        <color theme="1"/>
        <rFont val="Calibri"/>
        <family val="2"/>
        <scheme val="minor"/>
      </rPr>
      <t>o</t>
    </r>
    <r>
      <rPr>
        <b/>
        <sz val="11"/>
        <color theme="1"/>
        <rFont val="Calibri"/>
        <family val="2"/>
        <scheme val="minor"/>
      </rPr>
      <t xml:space="preserve"> - f</t>
    </r>
    <r>
      <rPr>
        <b/>
        <vertAlign val="subscript"/>
        <sz val="11"/>
        <color theme="1"/>
        <rFont val="Calibri"/>
        <family val="2"/>
        <scheme val="minor"/>
      </rPr>
      <t>e</t>
    </r>
    <r>
      <rPr>
        <b/>
        <sz val="11"/>
        <color theme="1"/>
        <rFont val="Calibri"/>
        <family val="2"/>
        <scheme val="minor"/>
      </rPr>
      <t>)</t>
    </r>
    <r>
      <rPr>
        <b/>
        <vertAlign val="superscript"/>
        <sz val="11"/>
        <color theme="1"/>
        <rFont val="Calibri"/>
        <family val="2"/>
        <scheme val="minor"/>
      </rPr>
      <t>2</t>
    </r>
    <r>
      <rPr>
        <b/>
        <sz val="11"/>
        <color theme="1"/>
        <rFont val="Calibri"/>
        <family val="2"/>
        <scheme val="minor"/>
      </rPr>
      <t xml:space="preserve"> / f</t>
    </r>
    <r>
      <rPr>
        <b/>
        <vertAlign val="subscript"/>
        <sz val="11"/>
        <color theme="1"/>
        <rFont val="Calibri"/>
        <family val="2"/>
        <scheme val="minor"/>
      </rPr>
      <t>e</t>
    </r>
  </si>
  <si>
    <r>
      <t>χ</t>
    </r>
    <r>
      <rPr>
        <b/>
        <vertAlign val="superscript"/>
        <sz val="11"/>
        <color theme="1"/>
        <rFont val="Calibri"/>
        <family val="2"/>
      </rPr>
      <t>2</t>
    </r>
    <r>
      <rPr>
        <b/>
        <sz val="11"/>
        <color theme="1"/>
        <rFont val="Calibri"/>
        <family val="2"/>
      </rPr>
      <t xml:space="preserve"> test statistics calculation</t>
    </r>
  </si>
  <si>
    <t>χ2 test statistics</t>
  </si>
  <si>
    <t>Data</t>
  </si>
  <si>
    <t>Level of Significance</t>
  </si>
  <si>
    <t>Number of Rows</t>
  </si>
  <si>
    <t>Number of Columns</t>
  </si>
  <si>
    <t>Results</t>
  </si>
  <si>
    <t>Critical Value</t>
  </si>
  <si>
    <t>Chi-Square Test Statistic</t>
  </si>
  <si>
    <r>
      <t>p</t>
    </r>
    <r>
      <rPr>
        <sz val="11"/>
        <rFont val="Calibri"/>
        <family val="2"/>
      </rPr>
      <t>-Value</t>
    </r>
  </si>
  <si>
    <r>
      <t>π</t>
    </r>
    <r>
      <rPr>
        <vertAlign val="subscript"/>
        <sz val="11"/>
        <color theme="1"/>
        <rFont val="Calibri"/>
        <family val="2"/>
        <scheme val="minor"/>
      </rPr>
      <t>1</t>
    </r>
    <r>
      <rPr>
        <sz val="11"/>
        <color theme="1"/>
        <rFont val="Calibri"/>
        <family val="2"/>
        <scheme val="minor"/>
      </rPr>
      <t xml:space="preserve"> = π</t>
    </r>
    <r>
      <rPr>
        <vertAlign val="subscript"/>
        <sz val="11"/>
        <color theme="1"/>
        <rFont val="Calibri"/>
        <family val="2"/>
        <scheme val="minor"/>
      </rPr>
      <t>2</t>
    </r>
    <r>
      <rPr>
        <sz val="11"/>
        <color theme="1"/>
        <rFont val="Calibri"/>
        <family val="2"/>
        <scheme val="minor"/>
      </rPr>
      <t xml:space="preserve"> = π</t>
    </r>
    <r>
      <rPr>
        <vertAlign val="subscript"/>
        <sz val="11"/>
        <color theme="1"/>
        <rFont val="Calibri"/>
        <family val="2"/>
        <scheme val="minor"/>
      </rPr>
      <t>3</t>
    </r>
    <r>
      <rPr>
        <sz val="11"/>
        <color theme="1"/>
        <rFont val="Calibri"/>
        <family val="2"/>
        <scheme val="minor"/>
      </rPr>
      <t xml:space="preserve"> = π</t>
    </r>
    <r>
      <rPr>
        <vertAlign val="subscript"/>
        <sz val="11"/>
        <color theme="1"/>
        <rFont val="Calibri"/>
        <family val="2"/>
        <scheme val="minor"/>
      </rPr>
      <t>4</t>
    </r>
    <r>
      <rPr>
        <sz val="11"/>
        <color theme="1"/>
        <rFont val="Calibri"/>
        <family val="2"/>
        <scheme val="minor"/>
      </rPr>
      <t xml:space="preserve"> = π</t>
    </r>
    <r>
      <rPr>
        <vertAlign val="subscript"/>
        <sz val="11"/>
        <color theme="1"/>
        <rFont val="Calibri"/>
        <family val="2"/>
        <scheme val="minor"/>
      </rPr>
      <t>5</t>
    </r>
    <r>
      <rPr>
        <sz val="11"/>
        <color theme="1"/>
        <rFont val="Calibri"/>
        <family val="2"/>
        <scheme val="minor"/>
      </rPr>
      <t xml:space="preserve"> = π</t>
    </r>
    <r>
      <rPr>
        <vertAlign val="subscript"/>
        <sz val="11"/>
        <color theme="1"/>
        <rFont val="Calibri"/>
        <family val="2"/>
        <scheme val="minor"/>
      </rPr>
      <t>6</t>
    </r>
    <r>
      <rPr>
        <sz val="11"/>
        <color theme="1"/>
        <rFont val="Calibri"/>
        <family val="2"/>
        <scheme val="minor"/>
      </rPr>
      <t xml:space="preserve"> = π</t>
    </r>
    <r>
      <rPr>
        <vertAlign val="subscript"/>
        <sz val="11"/>
        <color theme="1"/>
        <rFont val="Calibri"/>
        <family val="2"/>
        <scheme val="minor"/>
      </rPr>
      <t>7</t>
    </r>
  </si>
  <si>
    <r>
      <t>Not al π</t>
    </r>
    <r>
      <rPr>
        <vertAlign val="subscript"/>
        <sz val="11"/>
        <color theme="1"/>
        <rFont val="Calibri"/>
        <family val="2"/>
        <scheme val="minor"/>
      </rPr>
      <t>j</t>
    </r>
    <r>
      <rPr>
        <sz val="11"/>
        <color theme="1"/>
        <rFont val="Calibri"/>
        <family val="2"/>
        <scheme val="minor"/>
      </rPr>
      <t xml:space="preserve"> are equal</t>
    </r>
  </si>
  <si>
    <t>where; j = 1, 2, 3, 4, 5, 6, 7</t>
  </si>
  <si>
    <t>where; 1 = AAMI, 2 = Allianze, 3 = Coles, 4 = GIO, 5 = NRMA, 6 = RACV, 7 = Youi</t>
  </si>
  <si>
    <r>
      <t xml:space="preserve">Direction of the test: </t>
    </r>
    <r>
      <rPr>
        <sz val="11"/>
        <color theme="1"/>
        <rFont val="Calibri"/>
        <family val="2"/>
        <scheme val="minor"/>
      </rPr>
      <t>This test follows upper-tail of χ</t>
    </r>
    <r>
      <rPr>
        <vertAlign val="superscript"/>
        <sz val="11"/>
        <color theme="1"/>
        <rFont val="Calibri"/>
        <family val="2"/>
        <scheme val="minor"/>
      </rPr>
      <t>2</t>
    </r>
    <r>
      <rPr>
        <sz val="11"/>
        <color theme="1"/>
        <rFont val="Calibri"/>
        <family val="2"/>
        <scheme val="minor"/>
      </rPr>
      <t xml:space="preserve"> distribution</t>
    </r>
  </si>
  <si>
    <r>
      <t xml:space="preserve">Decision Rule: </t>
    </r>
    <r>
      <rPr>
        <sz val="11"/>
        <color theme="1"/>
        <rFont val="Calibri"/>
        <family val="2"/>
        <scheme val="minor"/>
      </rPr>
      <t>Reject H</t>
    </r>
    <r>
      <rPr>
        <vertAlign val="subscript"/>
        <sz val="11"/>
        <color theme="1"/>
        <rFont val="Calibri"/>
        <family val="2"/>
        <scheme val="minor"/>
      </rPr>
      <t xml:space="preserve">0 </t>
    </r>
    <r>
      <rPr>
        <sz val="11"/>
        <color theme="1"/>
        <rFont val="Calibri"/>
        <family val="2"/>
        <scheme val="minor"/>
      </rPr>
      <t>if χ</t>
    </r>
    <r>
      <rPr>
        <vertAlign val="superscript"/>
        <sz val="11"/>
        <color theme="1"/>
        <rFont val="Calibri"/>
        <family val="2"/>
        <scheme val="minor"/>
      </rPr>
      <t>2</t>
    </r>
    <r>
      <rPr>
        <sz val="11"/>
        <color theme="1"/>
        <rFont val="Calibri"/>
        <family val="2"/>
        <scheme val="minor"/>
      </rPr>
      <t xml:space="preserve"> </t>
    </r>
    <r>
      <rPr>
        <b/>
        <sz val="11"/>
        <color theme="1"/>
        <rFont val="Calibri"/>
        <family val="2"/>
        <scheme val="minor"/>
      </rPr>
      <t xml:space="preserve">&gt; </t>
    </r>
    <r>
      <rPr>
        <sz val="11"/>
        <color theme="1"/>
        <rFont val="Calibri"/>
        <family val="2"/>
        <scheme val="minor"/>
      </rPr>
      <t>χ</t>
    </r>
    <r>
      <rPr>
        <vertAlign val="superscript"/>
        <sz val="11"/>
        <color theme="1"/>
        <rFont val="Calibri"/>
        <family val="2"/>
        <scheme val="minor"/>
      </rPr>
      <t>2</t>
    </r>
    <r>
      <rPr>
        <vertAlign val="subscript"/>
        <sz val="11"/>
        <color theme="1"/>
        <rFont val="Calibri"/>
        <family val="2"/>
        <scheme val="minor"/>
      </rPr>
      <t>U</t>
    </r>
    <r>
      <rPr>
        <sz val="11"/>
        <color theme="1"/>
        <rFont val="Calibri"/>
        <family val="2"/>
        <scheme val="minor"/>
      </rPr>
      <t>; otherwise, do not reject H</t>
    </r>
    <r>
      <rPr>
        <vertAlign val="subscript"/>
        <sz val="11"/>
        <color theme="1"/>
        <rFont val="Calibri"/>
        <family val="2"/>
        <scheme val="minor"/>
      </rPr>
      <t>0</t>
    </r>
  </si>
  <si>
    <t>Marascuilo Procedure:</t>
  </si>
  <si>
    <t>Using formula c(c-1)/2 gives us 21 pairs</t>
  </si>
  <si>
    <t>Square Root of Critical Value</t>
  </si>
  <si>
    <r>
      <t>Group Sample Proportions (X</t>
    </r>
    <r>
      <rPr>
        <b/>
        <vertAlign val="subscript"/>
        <sz val="11"/>
        <rFont val="Calibri"/>
        <family val="2"/>
        <scheme val="minor"/>
      </rPr>
      <t>i</t>
    </r>
    <r>
      <rPr>
        <b/>
        <sz val="11"/>
        <rFont val="Calibri"/>
        <family val="2"/>
        <scheme val="minor"/>
      </rPr>
      <t xml:space="preserve"> / n</t>
    </r>
    <r>
      <rPr>
        <b/>
        <vertAlign val="subscript"/>
        <sz val="11"/>
        <rFont val="Calibri"/>
        <family val="2"/>
        <scheme val="minor"/>
      </rPr>
      <t>j</t>
    </r>
    <r>
      <rPr>
        <b/>
        <sz val="11"/>
        <rFont val="Calibri"/>
        <family val="2"/>
        <scheme val="minor"/>
      </rPr>
      <t>)</t>
    </r>
  </si>
  <si>
    <t>MARASCUILO TABLE</t>
  </si>
  <si>
    <t>Absolute Differences</t>
  </si>
  <si>
    <t>Group 1</t>
  </si>
  <si>
    <t>Group 2</t>
  </si>
  <si>
    <t>Sample size</t>
  </si>
  <si>
    <t>Result</t>
  </si>
  <si>
    <t>Sr.No.</t>
  </si>
  <si>
    <t>Question 6:</t>
  </si>
  <si>
    <t>Experiment to see the effects of the valuation method and the vehicle type on savings on insurance premiums</t>
  </si>
  <si>
    <t>Descriptive Statistics</t>
  </si>
  <si>
    <t>COUNT</t>
  </si>
  <si>
    <t>MEAN</t>
  </si>
  <si>
    <t>VARIANCE</t>
  </si>
  <si>
    <t>Two Factor Anova (via Regression)</t>
  </si>
  <si>
    <t>Alpha</t>
  </si>
  <si>
    <t>sig</t>
  </si>
  <si>
    <t>Rows</t>
  </si>
  <si>
    <t>Columns</t>
  </si>
  <si>
    <t>Inter</t>
  </si>
  <si>
    <t>Within</t>
  </si>
  <si>
    <r>
      <t>µ</t>
    </r>
    <r>
      <rPr>
        <vertAlign val="subscript"/>
        <sz val="11"/>
        <color theme="1"/>
        <rFont val="Calibri"/>
        <family val="2"/>
        <scheme val="minor"/>
      </rPr>
      <t>1</t>
    </r>
    <r>
      <rPr>
        <sz val="11"/>
        <color theme="1"/>
        <rFont val="Calibri"/>
        <family val="2"/>
        <scheme val="minor"/>
      </rPr>
      <t xml:space="preserve"> = µ</t>
    </r>
    <r>
      <rPr>
        <vertAlign val="subscript"/>
        <sz val="11"/>
        <color theme="1"/>
        <rFont val="Calibri"/>
        <family val="2"/>
        <scheme val="minor"/>
      </rPr>
      <t>2</t>
    </r>
  </si>
  <si>
    <t>Decision Rule:</t>
  </si>
  <si>
    <t>If p-value &lt;0.05, then reject null hypothesis, otherwise don't reject null hypothesis</t>
  </si>
  <si>
    <t>Conclusion:</t>
  </si>
  <si>
    <t>Hypothesis test of no difference due to factor Vehicle Type:</t>
  </si>
  <si>
    <r>
      <t>µ</t>
    </r>
    <r>
      <rPr>
        <vertAlign val="subscript"/>
        <sz val="11"/>
        <color theme="1"/>
        <rFont val="Calibri"/>
        <family val="2"/>
        <scheme val="minor"/>
      </rPr>
      <t>1</t>
    </r>
    <r>
      <rPr>
        <sz val="11"/>
        <color theme="1"/>
        <rFont val="Calibri"/>
        <family val="2"/>
        <scheme val="minor"/>
      </rPr>
      <t xml:space="preserve"> = µ</t>
    </r>
    <r>
      <rPr>
        <vertAlign val="subscript"/>
        <sz val="11"/>
        <color theme="1"/>
        <rFont val="Calibri"/>
        <family val="2"/>
        <scheme val="minor"/>
      </rPr>
      <t>2</t>
    </r>
    <r>
      <rPr>
        <sz val="11"/>
        <color theme="1"/>
        <rFont val="Calibri"/>
        <family val="2"/>
        <scheme val="minor"/>
      </rPr>
      <t xml:space="preserve"> = µ</t>
    </r>
    <r>
      <rPr>
        <vertAlign val="subscript"/>
        <sz val="11"/>
        <color theme="1"/>
        <rFont val="Calibri"/>
        <family val="2"/>
        <scheme val="minor"/>
      </rPr>
      <t>3</t>
    </r>
    <r>
      <rPr>
        <sz val="11"/>
        <color theme="1"/>
        <rFont val="Calibri"/>
        <family val="2"/>
        <scheme val="minor"/>
      </rPr>
      <t xml:space="preserve"> = µ</t>
    </r>
    <r>
      <rPr>
        <vertAlign val="subscript"/>
        <sz val="11"/>
        <color theme="1"/>
        <rFont val="Calibri"/>
        <family val="2"/>
        <scheme val="minor"/>
      </rPr>
      <t>4</t>
    </r>
  </si>
  <si>
    <t>where; j = 1, 2, 3, 4</t>
  </si>
  <si>
    <t>The interaction of A and B is equal to zero</t>
  </si>
  <si>
    <t>The interaction of A and B is not equal to zero</t>
  </si>
  <si>
    <t>Simple Effect Analysis:</t>
  </si>
  <si>
    <t>where; 1 = 4WD &amp; Agreed value, 2 = Family &amp; Agreed value, 3 = Luxury &amp; Agreed value, 4 = Sports &amp; Agreed value</t>
  </si>
  <si>
    <t>Not all µj of Agreed Value in 4 Vehicle types are equal</t>
  </si>
  <si>
    <t>Not all µj of Market Value in 4 Vehicle types are equal</t>
  </si>
  <si>
    <t>where; 1 = 4WD &amp; Market value, 2 = Family &amp; Market value, 3 = Luxury &amp; Market value, 4 = Sports &amp; Market value</t>
  </si>
  <si>
    <t>Univariate Tests</t>
  </si>
  <si>
    <t xml:space="preserve">Dependent Variable: </t>
  </si>
  <si>
    <t>Sum of Squares</t>
  </si>
  <si>
    <t>Mean Square</t>
  </si>
  <si>
    <t>Sig.</t>
  </si>
  <si>
    <t>Contrast</t>
  </si>
  <si>
    <t>Error</t>
  </si>
  <si>
    <t>Pairwise Comparisons</t>
  </si>
  <si>
    <t>Mean Difference (I-J)</t>
  </si>
  <si>
    <t>Std. Error</t>
  </si>
  <si>
    <t>Lower Bound</t>
  </si>
  <si>
    <t>Upper Bound</t>
  </si>
  <si>
    <t>(I) Veh_Type</t>
  </si>
  <si>
    <t>(J) Veh_Type</t>
  </si>
  <si>
    <t>Sig</t>
  </si>
  <si>
    <t>95% Confidence Interval for Difference</t>
  </si>
  <si>
    <r>
      <t>µ</t>
    </r>
    <r>
      <rPr>
        <vertAlign val="subscript"/>
        <sz val="11"/>
        <color theme="1"/>
        <rFont val="Calibri"/>
        <family val="2"/>
        <scheme val="minor"/>
      </rPr>
      <t>1</t>
    </r>
    <r>
      <rPr>
        <sz val="11"/>
        <color theme="1"/>
        <rFont val="Calibri"/>
        <family val="2"/>
        <scheme val="minor"/>
      </rPr>
      <t xml:space="preserve"> ≠ µ</t>
    </r>
    <r>
      <rPr>
        <vertAlign val="subscript"/>
        <sz val="11"/>
        <color theme="1"/>
        <rFont val="Calibri"/>
        <family val="2"/>
        <scheme val="minor"/>
      </rPr>
      <t>2</t>
    </r>
  </si>
  <si>
    <t>where; 1 = Agreed value, 2 = Market Value</t>
  </si>
  <si>
    <t>Average savings on insurance premium for customers owning 4WD car is equal for Agreed and Market Value</t>
  </si>
  <si>
    <t>Average savings on insurance premium for customers owning Family car is equal for Agreed and Market Value</t>
  </si>
  <si>
    <t>Average savings on insurance premium for customers owning Luxury car is equal for Agreed and Market Value</t>
  </si>
  <si>
    <t>Average savings on insurance premium for customers owning Sports car is equal for Agreed and Market Value</t>
  </si>
  <si>
    <t>At 5% level of significance we conclude that there is sufficient evidence of interaction between Valuation method and Vehicle type, i.e. average savings of a customer opting for Agreed valuation method or Market Valuation method differs as per the vehicle type.</t>
  </si>
  <si>
    <t>Since there is significant interaction effect between Valuation type and Vehicle type. We can need to perform pairwise comparison of average savings on insurance premiums for Valuation type and each levels of Vehicle type. Similarly, we can detail this analysis for Vehicle type and each levels of Valuation type. This test is performed using SPSS tool.</t>
  </si>
  <si>
    <r>
      <t>1. H</t>
    </r>
    <r>
      <rPr>
        <b/>
        <vertAlign val="subscript"/>
        <sz val="11"/>
        <color theme="1"/>
        <rFont val="Calibri"/>
        <family val="2"/>
        <scheme val="minor"/>
      </rPr>
      <t>0</t>
    </r>
    <r>
      <rPr>
        <b/>
        <sz val="11"/>
        <color theme="1"/>
        <rFont val="Calibri"/>
        <family val="2"/>
        <scheme val="minor"/>
      </rPr>
      <t>:</t>
    </r>
  </si>
  <si>
    <r>
      <t>2. H</t>
    </r>
    <r>
      <rPr>
        <b/>
        <vertAlign val="subscript"/>
        <sz val="11"/>
        <color theme="1"/>
        <rFont val="Calibri"/>
        <family val="2"/>
        <scheme val="minor"/>
      </rPr>
      <t>0</t>
    </r>
    <r>
      <rPr>
        <b/>
        <sz val="11"/>
        <color theme="1"/>
        <rFont val="Calibri"/>
        <family val="2"/>
        <scheme val="minor"/>
      </rPr>
      <t>:</t>
    </r>
  </si>
  <si>
    <r>
      <t>3. H</t>
    </r>
    <r>
      <rPr>
        <b/>
        <vertAlign val="subscript"/>
        <sz val="11"/>
        <color theme="1"/>
        <rFont val="Calibri"/>
        <family val="2"/>
        <scheme val="minor"/>
      </rPr>
      <t>0</t>
    </r>
    <r>
      <rPr>
        <b/>
        <sz val="11"/>
        <color theme="1"/>
        <rFont val="Calibri"/>
        <family val="2"/>
        <scheme val="minor"/>
      </rPr>
      <t>:</t>
    </r>
  </si>
  <si>
    <r>
      <t>4. H</t>
    </r>
    <r>
      <rPr>
        <b/>
        <vertAlign val="subscript"/>
        <sz val="11"/>
        <color theme="1"/>
        <rFont val="Calibri"/>
        <family val="2"/>
        <scheme val="minor"/>
      </rPr>
      <t>0</t>
    </r>
    <r>
      <rPr>
        <b/>
        <sz val="11"/>
        <color theme="1"/>
        <rFont val="Calibri"/>
        <family val="2"/>
        <scheme val="minor"/>
      </rPr>
      <t>:</t>
    </r>
  </si>
  <si>
    <r>
      <t>5. H</t>
    </r>
    <r>
      <rPr>
        <b/>
        <vertAlign val="subscript"/>
        <sz val="11"/>
        <color theme="1"/>
        <rFont val="Calibri"/>
        <family val="2"/>
        <scheme val="minor"/>
      </rPr>
      <t>0</t>
    </r>
    <r>
      <rPr>
        <b/>
        <sz val="11"/>
        <color theme="1"/>
        <rFont val="Calibri"/>
        <family val="2"/>
        <scheme val="minor"/>
      </rPr>
      <t>:</t>
    </r>
  </si>
  <si>
    <r>
      <t>6. H</t>
    </r>
    <r>
      <rPr>
        <b/>
        <vertAlign val="subscript"/>
        <sz val="11"/>
        <color theme="1"/>
        <rFont val="Calibri"/>
        <family val="2"/>
        <scheme val="minor"/>
      </rPr>
      <t>0</t>
    </r>
    <r>
      <rPr>
        <b/>
        <sz val="11"/>
        <color theme="1"/>
        <rFont val="Calibri"/>
        <family val="2"/>
        <scheme val="minor"/>
      </rPr>
      <t>:</t>
    </r>
  </si>
  <si>
    <r>
      <rPr>
        <b/>
        <sz val="11"/>
        <color theme="1"/>
        <rFont val="Calibri"/>
        <family val="2"/>
        <scheme val="minor"/>
      </rPr>
      <t>Conclusion:</t>
    </r>
    <r>
      <rPr>
        <sz val="11"/>
        <color theme="1"/>
        <rFont val="Calibri"/>
        <family val="2"/>
        <scheme val="minor"/>
      </rPr>
      <t xml:space="preserve"> Since p value &lt; 0.05 for both Agreed Value and Market Value. Thus, at 5% level of confidence we conclude that average savings on insurance premiums for Agreed Value and Market Value is significantly different for each Vehicle Type (4WD, Family, Luxury, Sports car) and reject first and second null hypothesis.</t>
    </r>
  </si>
  <si>
    <t>I have used two-way ANOVA method to analyse effects of the valuation method and vehicle type on savings on insurance premiums. Here savings on insurance premiums is a continuous dependent variable; valuation method and vehicle type are independent variable which are factor variable with treatment levels 2 and 4 respectively. Since, sample size of each cell is unbalanced, I have used Real Statistics Data Analysis Tool for twow-way factorial ANOVA.</t>
  </si>
  <si>
    <t>Percentage</t>
  </si>
  <si>
    <t>Age</t>
  </si>
  <si>
    <t>Bins</t>
  </si>
  <si>
    <t>Frequency%</t>
  </si>
  <si>
    <t>Savings ($)</t>
  </si>
  <si>
    <t>Frequency %</t>
  </si>
  <si>
    <t>Average Savings</t>
  </si>
  <si>
    <t>Average savings</t>
  </si>
  <si>
    <t>Vehicle type</t>
  </si>
  <si>
    <t>Standard Deviation</t>
  </si>
  <si>
    <t>Q1</t>
  </si>
  <si>
    <t>Q3</t>
  </si>
  <si>
    <t>IQR</t>
  </si>
  <si>
    <r>
      <rPr>
        <b/>
        <sz val="11"/>
        <rFont val="Calibri"/>
        <family val="2"/>
        <scheme val="minor"/>
      </rPr>
      <t>Conclusion for Agreed Value:</t>
    </r>
    <r>
      <rPr>
        <sz val="11"/>
        <rFont val="Calibri"/>
        <family val="2"/>
        <scheme val="minor"/>
      </rPr>
      <t xml:space="preserve"> As per Pairwise Comparison table, for Agreed value average savings on insurance premiums is significantly different for pair of Vehicle type except for the pair of 4WD and Luxury cars. This is visible in chart where line for 4WD and Luxury cars are parallel.
</t>
    </r>
    <r>
      <rPr>
        <b/>
        <sz val="11"/>
        <rFont val="Calibri"/>
        <family val="2"/>
        <scheme val="minor"/>
      </rPr>
      <t>Conclusion for Market Value:</t>
    </r>
    <r>
      <rPr>
        <sz val="11"/>
        <rFont val="Calibri"/>
        <family val="2"/>
        <scheme val="minor"/>
      </rPr>
      <t xml:space="preserve"> As per Pairwise Comparison table, for Market value average savings on insurance premiums is significantly different for pair of all Vehicle types.
</t>
    </r>
  </si>
  <si>
    <r>
      <rPr>
        <b/>
        <sz val="11"/>
        <color theme="1"/>
        <rFont val="Calibri"/>
        <family val="2"/>
        <scheme val="minor"/>
      </rPr>
      <t>Conclusion:</t>
    </r>
    <r>
      <rPr>
        <sz val="11"/>
        <color theme="1"/>
        <rFont val="Calibri"/>
        <family val="2"/>
        <scheme val="minor"/>
      </rPr>
      <t xml:space="preserve"> Since p value &lt; 0.05 for  vehicles 4WD and Sports car, at 5% level of significance we conclude that average savings on insurance premium for 4WD and Sports car is not significantly different for customer opting for Agreed value or Market value. This can be seen in chart. Thus, we reject third and sixth null hypothesis.
However, since p value &gt; 0.05 for vehicles Family and Luxury car, at 5% level of significance we conclude that average savings on insurance premium for Family and Luxury cars is significantly different for customers opting for Agreed value and Market Value. This can be seen in chart. Thus, we do not reject second and third null hypothesis.
</t>
    </r>
  </si>
  <si>
    <r>
      <rPr>
        <b/>
        <sz val="11"/>
        <color theme="1"/>
        <rFont val="Calibri"/>
        <family val="2"/>
        <scheme val="minor"/>
      </rPr>
      <t xml:space="preserve">Conclusion: </t>
    </r>
    <r>
      <rPr>
        <sz val="11"/>
        <color theme="1"/>
        <rFont val="Calibri"/>
        <family val="2"/>
        <scheme val="minor"/>
      </rPr>
      <t>Since t Sample Statistic = 0.66 &lt; t critical value = 1.6507, we do not reject null hypothesis. At 5% level of significance we conclude that there is insufficient evidence that mean savings on insurance premiums provided by broker iChoose is greater than broker uChoose.</t>
    </r>
  </si>
  <si>
    <r>
      <t xml:space="preserve">Confidence Interval for </t>
    </r>
    <r>
      <rPr>
        <b/>
        <sz val="10"/>
        <rFont val="Calibri"/>
        <family val="2"/>
      </rPr>
      <t>π1 - π2</t>
    </r>
  </si>
  <si>
    <t>Level of Confidence</t>
  </si>
  <si>
    <t>Intermediate Calculations</t>
  </si>
  <si>
    <r>
      <t>z</t>
    </r>
    <r>
      <rPr>
        <sz val="10"/>
        <rFont val="Arial"/>
        <family val="2"/>
      </rPr>
      <t xml:space="preserve"> value</t>
    </r>
  </si>
  <si>
    <t>Confidence Interval for µ1 - µ2</t>
  </si>
  <si>
    <t>Interval Lower Limit</t>
  </si>
  <si>
    <t>Interval Upper Limit</t>
  </si>
  <si>
    <r>
      <t xml:space="preserve">Conclusion: </t>
    </r>
    <r>
      <rPr>
        <sz val="11"/>
        <color theme="1"/>
        <rFont val="Calibri"/>
        <family val="2"/>
        <scheme val="minor"/>
      </rPr>
      <t>Since Z Sample Statistic = -3.113 &lt; Z critical value = -1.6449, we reject null hypothesis. At 5% level of significance we conclude that there is sufficient evidence to conclude that the proportion of dissatisfied urban customers is less than the proportion of dissatisfied rural customers.</t>
    </r>
  </si>
  <si>
    <t>Since, null hypothesis is rejected, we need to build confidence interval for the difference between the two means.</t>
  </si>
  <si>
    <t>Since, null hypothesis is rejected, we need to build confidence interval for the difference between the two proportions.</t>
  </si>
  <si>
    <r>
      <t xml:space="preserve">Confidence Interval for </t>
    </r>
    <r>
      <rPr>
        <b/>
        <sz val="10"/>
        <rFont val="Calibri"/>
        <family val="2"/>
      </rPr>
      <t>µ1 - µ2 (independent, unequal variances)</t>
    </r>
  </si>
  <si>
    <r>
      <t>t</t>
    </r>
    <r>
      <rPr>
        <sz val="10"/>
        <rFont val="Arial"/>
        <family val="2"/>
      </rPr>
      <t xml:space="preserve"> value</t>
    </r>
  </si>
  <si>
    <r>
      <rPr>
        <b/>
        <sz val="11"/>
        <color theme="1"/>
        <rFont val="Calibri"/>
        <family val="2"/>
        <scheme val="minor"/>
      </rPr>
      <t>Conclusion:</t>
    </r>
    <r>
      <rPr>
        <sz val="11"/>
        <color theme="1"/>
        <rFont val="Calibri"/>
        <family val="2"/>
        <scheme val="minor"/>
      </rPr>
      <t xml:space="preserve"> We are 95% confident that the average savings on insurance premiums for customers with 'Agreed Value' policy is between $16 and $278 greater than the customers with 'Market Value' policy.</t>
    </r>
  </si>
  <si>
    <r>
      <rPr>
        <b/>
        <sz val="11"/>
        <color theme="1"/>
        <rFont val="Calibri"/>
        <family val="2"/>
        <scheme val="minor"/>
      </rPr>
      <t>Conclusion:</t>
    </r>
    <r>
      <rPr>
        <sz val="11"/>
        <color theme="1"/>
        <rFont val="Calibri"/>
        <family val="2"/>
        <scheme val="minor"/>
      </rPr>
      <t xml:space="preserve"> Since t Sample Statistic = 2.2603 &gt; t critical value = 1.6772, we reject null hypothesis. At 5% level of significance we conclude that there is sufficient evidence that average savings on insurance premiums for customers with 'Agreed Value' policy is greater than the customers with 'Market Value' policy. Thus, the claim of on average customers with 'Agreed Value' policy saved more on their insurance premiums than the customers with 'Market Value' policy is true.</t>
    </r>
  </si>
  <si>
    <r>
      <rPr>
        <b/>
        <sz val="11"/>
        <color theme="1"/>
        <rFont val="Calibri"/>
        <family val="2"/>
        <scheme val="minor"/>
      </rPr>
      <t>Conclusion:</t>
    </r>
    <r>
      <rPr>
        <sz val="11"/>
        <color theme="1"/>
        <rFont val="Calibri"/>
        <family val="2"/>
        <scheme val="minor"/>
      </rPr>
      <t xml:space="preserve"> Since t Sample Statistic = 1.3983 &lt; t critical value = 1.9727, we do not reject null hypothesis. At 5% level of significance we conclude that there is insufficient evidence that the mean savings on insurance premiums for rural and urban customers is significantly different. Thus, the claim of the average savings on insurance premiums differ between rural and urban customers is not true.</t>
    </r>
  </si>
  <si>
    <r>
      <t xml:space="preserve">Conclusion: </t>
    </r>
    <r>
      <rPr>
        <sz val="11"/>
        <color theme="1"/>
        <rFont val="Calibri"/>
        <family val="2"/>
        <scheme val="minor"/>
      </rPr>
      <t>Since Z Sample Statistic = 3.5107 &gt; Z critical value = 1.6449, we reject null hypothesis. At 5% level of significance we conclude that there is sufficient evidence that proportion of male customers with diamond level NCBR is greater than the proportion of females with diamond level NCBR.</t>
    </r>
  </si>
  <si>
    <r>
      <rPr>
        <b/>
        <sz val="11"/>
        <color theme="1"/>
        <rFont val="Calibri"/>
        <family val="2"/>
        <scheme val="minor"/>
      </rPr>
      <t>Conclusion:</t>
    </r>
    <r>
      <rPr>
        <sz val="11"/>
        <color theme="1"/>
        <rFont val="Calibri"/>
        <family val="2"/>
        <scheme val="minor"/>
      </rPr>
      <t xml:space="preserve"> We are 95% confidence, that the difference between the proportion of dissatisfied urban customers and dissatisfied rural customers is between -25.08% and -5.70%. Thus, we can conclude that the proportion of proportion of dissatisfied urban customers is less than the proportion of dissatisfied rural customers</t>
    </r>
  </si>
  <si>
    <r>
      <rPr>
        <b/>
        <sz val="11"/>
        <color theme="1"/>
        <rFont val="Calibri"/>
        <family val="2"/>
        <scheme val="minor"/>
      </rPr>
      <t>Conclusion:</t>
    </r>
    <r>
      <rPr>
        <sz val="11"/>
        <color theme="1"/>
        <rFont val="Calibri"/>
        <family val="2"/>
        <scheme val="minor"/>
      </rPr>
      <t xml:space="preserve"> We are 95% confident that the proportion of male customers with Diamond level NCBR is between 6.96% to 24.55% greater than the proportion of female customers with Diamond level NCBR.</t>
    </r>
  </si>
  <si>
    <r>
      <t xml:space="preserve">Conclusion: </t>
    </r>
    <r>
      <rPr>
        <sz val="11"/>
        <color theme="1"/>
        <rFont val="Calibri"/>
        <family val="2"/>
        <scheme val="minor"/>
      </rPr>
      <t>Since the p-value &gt; 0.05, we do not reject null hypothesis. At 5% level of significance there is insufficient evidence to conlcude that the mean savings on insurance premiums of States Victoria, NSW, and Queensland is significantly different. This can be cross-checked by using Tukey Kramer Multiple Comparisons as mentioned below.</t>
    </r>
  </si>
  <si>
    <r>
      <rPr>
        <b/>
        <sz val="11"/>
        <color theme="1"/>
        <rFont val="Calibri"/>
        <family val="2"/>
        <scheme val="minor"/>
      </rPr>
      <t xml:space="preserve">Conclusion: </t>
    </r>
    <r>
      <rPr>
        <sz val="11"/>
        <color theme="1"/>
        <rFont val="Calibri"/>
        <family val="2"/>
        <scheme val="minor"/>
      </rPr>
      <t>Since p-value = 0.000716 &lt; 0.05, thus we reject null hypothesis. There is evidence of a significant difference between the variation of three variances, i.e. assumption of homogeneity is not satisfied.</t>
    </r>
  </si>
  <si>
    <r>
      <t xml:space="preserve">Conclusion: </t>
    </r>
    <r>
      <rPr>
        <sz val="11"/>
        <color theme="1"/>
        <rFont val="Calibri"/>
        <family val="2"/>
        <scheme val="minor"/>
      </rPr>
      <t>Since the p-value &lt; 0.05, we reject null hypothesis. At 5% level of significance there is sufficient evidence to conlcude that the mean savings on insurance premiums of vehicle types 4WD, Luxury, and Sports car are significantly different. Which vehicle type's mean is different w.r.t other vehicle type's mean is checked using Tukey Kramer Multiple Comparisons as mentioned below.</t>
    </r>
  </si>
  <si>
    <r>
      <rPr>
        <b/>
        <sz val="11"/>
        <color theme="1"/>
        <rFont val="Calibri"/>
        <family val="2"/>
        <scheme val="minor"/>
      </rPr>
      <t>Conclusion:</t>
    </r>
    <r>
      <rPr>
        <sz val="11"/>
        <color theme="1"/>
        <rFont val="Calibri"/>
        <family val="2"/>
        <scheme val="minor"/>
      </rPr>
      <t xml:space="preserve"> Since p-value = 0.14 &lt; 0.05, we do not reject null hypothesis. Thus,at the 5% level of significance there is insufficient evidence to conclude that, the proportion of customers who approached their insurer before reaching out to a broker does not differ significantly across the insurance providers. This can be also cross-checked by below Marascuilo Procedure.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</si>
</sst>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
    <numFmt numFmtId="165" formatCode="0.0000"/>
    <numFmt numFmtId="166" formatCode="0.00000000"/>
    <numFmt numFmtId="167" formatCode="0.000"/>
    <numFmt numFmtId="168" formatCode="0.0"/>
    <numFmt numFmtId="169" formatCode="0.0%"/>
    <numFmt numFmtId="170" formatCode="###0.000"/>
    <numFmt numFmtId="171" formatCode="###0"/>
  </numFmts>
  <fonts count="28" x14ac:knownFonts="1">
    <font>
      <sz val="11"/>
      <color theme="1"/>
      <name val="Calibri"/>
      <family val="2"/>
      <scheme val="minor"/>
    </font>
    <font>
      <b/>
      <sz val="11"/>
      <name val="Calibri"/>
      <family val="2"/>
      <scheme val="minor"/>
    </font>
    <font>
      <sz val="11"/>
      <name val="Calibri"/>
      <family val="2"/>
      <scheme val="minor"/>
    </font>
    <font>
      <sz val="10"/>
      <name val="Arial"/>
      <family val="2"/>
    </font>
    <font>
      <sz val="10"/>
      <name val="Arial"/>
      <family val="2"/>
    </font>
    <font>
      <b/>
      <sz val="11"/>
      <color theme="1"/>
      <name val="Calibri"/>
      <family val="2"/>
      <scheme val="minor"/>
    </font>
    <font>
      <sz val="11"/>
      <color theme="1"/>
      <name val="Calibri"/>
      <family val="2"/>
      <scheme val="minor"/>
    </font>
    <font>
      <b/>
      <u/>
      <sz val="11"/>
      <color theme="1"/>
      <name val="Calibri"/>
      <family val="2"/>
      <scheme val="minor"/>
    </font>
    <font>
      <b/>
      <sz val="10"/>
      <name val="Arial"/>
      <family val="2"/>
    </font>
    <font>
      <b/>
      <sz val="10"/>
      <name val="Calibri"/>
      <family val="2"/>
    </font>
    <font>
      <vertAlign val="subscript"/>
      <sz val="10"/>
      <name val="Arial"/>
      <family val="2"/>
    </font>
    <font>
      <sz val="10"/>
      <name val="Calibri"/>
      <family val="2"/>
    </font>
    <font>
      <i/>
      <sz val="10"/>
      <name val="Arial"/>
      <family val="2"/>
    </font>
    <font>
      <sz val="11"/>
      <color theme="1"/>
      <name val="Calibri"/>
      <family val="2"/>
    </font>
    <font>
      <vertAlign val="subscript"/>
      <sz val="11"/>
      <color theme="1"/>
      <name val="Calibri"/>
      <family val="2"/>
    </font>
    <font>
      <vertAlign val="subscript"/>
      <sz val="11"/>
      <color theme="1"/>
      <name val="Calibri"/>
      <family val="2"/>
      <scheme val="minor"/>
    </font>
    <font>
      <b/>
      <vertAlign val="subscript"/>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1"/>
      <color theme="1"/>
      <name val="Calibri"/>
      <family val="2"/>
    </font>
    <font>
      <b/>
      <vertAlign val="superscript"/>
      <sz val="11"/>
      <color theme="1"/>
      <name val="Calibri"/>
      <family val="2"/>
    </font>
    <font>
      <i/>
      <sz val="11"/>
      <name val="Calibri"/>
      <family val="2"/>
      <scheme val="minor"/>
    </font>
    <font>
      <sz val="11"/>
      <name val="Calibri"/>
      <family val="2"/>
    </font>
    <font>
      <b/>
      <vertAlign val="subscript"/>
      <sz val="11"/>
      <name val="Calibri"/>
      <family val="2"/>
      <scheme val="minor"/>
    </font>
    <font>
      <b/>
      <sz val="11"/>
      <color indexed="60"/>
      <name val="Arial Bold"/>
    </font>
    <font>
      <sz val="9"/>
      <color indexed="60"/>
      <name val="Arial"/>
      <family val="2"/>
    </font>
    <font>
      <sz val="9"/>
      <color indexed="62"/>
      <name val="Arial"/>
      <family val="2"/>
    </font>
  </fonts>
  <fills count="1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bgColor indexed="64"/>
      </patternFill>
    </fill>
    <fill>
      <patternFill patternType="solid">
        <fgColor indexed="41"/>
        <bgColor indexed="64"/>
      </patternFill>
    </fill>
    <fill>
      <patternFill patternType="solid">
        <fgColor indexed="9"/>
        <bgColor indexed="64"/>
      </patternFill>
    </fill>
    <fill>
      <patternFill patternType="solid">
        <fgColor indexed="31"/>
        <bgColor indexed="64"/>
      </patternFill>
    </fill>
    <fill>
      <patternFill patternType="solid">
        <fgColor theme="6" tint="0.7999816888943144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double">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3" fillId="0" borderId="0"/>
    <xf numFmtId="9" fontId="3" fillId="0" borderId="0" applyFont="0" applyFill="0" applyBorder="0" applyAlignment="0" applyProtection="0"/>
    <xf numFmtId="0" fontId="4" fillId="0" borderId="0"/>
    <xf numFmtId="9" fontId="6" fillId="0" borderId="0" applyFont="0" applyFill="0" applyBorder="0" applyAlignment="0" applyProtection="0"/>
    <xf numFmtId="0" fontId="3" fillId="0" borderId="0"/>
  </cellStyleXfs>
  <cellXfs count="312">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xf numFmtId="0" fontId="1" fillId="0" borderId="0" xfId="0" applyFont="1"/>
    <xf numFmtId="1" fontId="2" fillId="0" borderId="0" xfId="0" applyNumberFormat="1" applyFont="1"/>
    <xf numFmtId="164" fontId="2" fillId="0" borderId="0" xfId="0" applyNumberFormat="1" applyFont="1"/>
    <xf numFmtId="0" fontId="2" fillId="0" borderId="0" xfId="0" applyFont="1" applyFill="1" applyAlignment="1">
      <alignment horizontal="left"/>
    </xf>
    <xf numFmtId="0" fontId="1"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1" fontId="2" fillId="0" borderId="0" xfId="0" applyNumberFormat="1" applyFont="1" applyAlignment="1">
      <alignment horizontal="center"/>
    </xf>
    <xf numFmtId="0" fontId="5" fillId="0" borderId="0" xfId="0" applyFont="1"/>
    <xf numFmtId="0" fontId="0" fillId="0" borderId="0" xfId="0" applyAlignment="1">
      <alignment horizontal="center"/>
    </xf>
    <xf numFmtId="0" fontId="5" fillId="0" borderId="1" xfId="0" applyFont="1" applyBorder="1"/>
    <xf numFmtId="0" fontId="5" fillId="0" borderId="1" xfId="0" applyFont="1" applyBorder="1" applyAlignment="1">
      <alignment horizontal="center"/>
    </xf>
    <xf numFmtId="0" fontId="0" fillId="0" borderId="1" xfId="0" applyBorder="1" applyAlignment="1">
      <alignment horizontal="center"/>
    </xf>
    <xf numFmtId="0" fontId="5" fillId="2" borderId="1" xfId="0" applyFont="1" applyFill="1" applyBorder="1" applyAlignment="1">
      <alignment horizontal="center"/>
    </xf>
    <xf numFmtId="0" fontId="0" fillId="0" borderId="1" xfId="0" applyBorder="1"/>
    <xf numFmtId="0" fontId="2" fillId="0" borderId="1" xfId="0" applyFont="1" applyBorder="1"/>
    <xf numFmtId="0" fontId="2" fillId="0" borderId="1" xfId="0" applyFont="1" applyBorder="1" applyAlignment="1">
      <alignment horizontal="center"/>
    </xf>
    <xf numFmtId="2" fontId="0" fillId="0" borderId="1" xfId="0" applyNumberFormat="1" applyBorder="1" applyAlignment="1">
      <alignment horizontal="center"/>
    </xf>
    <xf numFmtId="0" fontId="1" fillId="2" borderId="1" xfId="0" applyFont="1" applyFill="1" applyBorder="1" applyAlignment="1">
      <alignment horizontal="center"/>
    </xf>
    <xf numFmtId="0" fontId="5" fillId="0" borderId="0" xfId="0" applyFont="1" applyFill="1" applyBorder="1" applyAlignment="1">
      <alignment horizontal="center"/>
    </xf>
    <xf numFmtId="9" fontId="0" fillId="0" borderId="1" xfId="4" applyFont="1" applyBorder="1" applyAlignment="1">
      <alignment horizontal="center"/>
    </xf>
    <xf numFmtId="0" fontId="0" fillId="0" borderId="0" xfId="0" applyAlignment="1">
      <alignment horizontal="left"/>
    </xf>
    <xf numFmtId="0" fontId="7" fillId="0" borderId="0" xfId="0" applyFont="1"/>
    <xf numFmtId="0" fontId="3" fillId="0" borderId="10" xfId="3" applyFont="1" applyFill="1" applyBorder="1"/>
    <xf numFmtId="0" fontId="3" fillId="0" borderId="1" xfId="3" applyFont="1" applyFill="1" applyBorder="1" applyAlignment="1">
      <alignment horizontal="center"/>
    </xf>
    <xf numFmtId="0" fontId="8" fillId="0" borderId="11" xfId="3" applyFont="1" applyFill="1" applyBorder="1" applyProtection="1">
      <protection locked="0"/>
    </xf>
    <xf numFmtId="0" fontId="3" fillId="4" borderId="1" xfId="3" applyFont="1" applyFill="1" applyBorder="1" applyAlignment="1">
      <alignment horizontal="center"/>
    </xf>
    <xf numFmtId="0" fontId="8" fillId="4" borderId="11" xfId="3" applyFont="1" applyFill="1" applyBorder="1" applyProtection="1">
      <protection locked="0"/>
    </xf>
    <xf numFmtId="0" fontId="3" fillId="0" borderId="8" xfId="3" applyFont="1" applyFill="1" applyBorder="1" applyAlignment="1"/>
    <xf numFmtId="0" fontId="3" fillId="0" borderId="4" xfId="3" applyFont="1" applyFill="1" applyBorder="1" applyAlignment="1"/>
    <xf numFmtId="0" fontId="3" fillId="5" borderId="11" xfId="3" applyFont="1" applyFill="1" applyBorder="1" applyAlignment="1">
      <alignment horizontal="right"/>
    </xf>
    <xf numFmtId="0" fontId="4" fillId="0" borderId="12" xfId="3" applyBorder="1"/>
    <xf numFmtId="0" fontId="4" fillId="0" borderId="0" xfId="3" applyBorder="1"/>
    <xf numFmtId="0" fontId="11" fillId="0" borderId="1" xfId="3" applyFont="1" applyFill="1" applyBorder="1" applyAlignment="1">
      <alignment horizontal="center"/>
    </xf>
    <xf numFmtId="2" fontId="8" fillId="4" borderId="11" xfId="3" applyNumberFormat="1" applyFont="1" applyFill="1" applyBorder="1" applyProtection="1">
      <protection locked="0"/>
    </xf>
    <xf numFmtId="0" fontId="3" fillId="0" borderId="9" xfId="3" applyFont="1" applyFill="1" applyBorder="1"/>
    <xf numFmtId="165" fontId="3" fillId="5" borderId="13" xfId="3" applyNumberFormat="1" applyFont="1" applyFill="1" applyBorder="1" applyAlignment="1"/>
    <xf numFmtId="165" fontId="3" fillId="0" borderId="9" xfId="3" applyNumberFormat="1" applyFont="1" applyFill="1" applyBorder="1" applyAlignment="1"/>
    <xf numFmtId="165" fontId="3" fillId="0" borderId="9" xfId="3" applyNumberFormat="1" applyFont="1" applyFill="1" applyBorder="1"/>
    <xf numFmtId="165" fontId="3" fillId="5" borderId="9" xfId="3" applyNumberFormat="1" applyFont="1" applyFill="1" applyBorder="1"/>
    <xf numFmtId="0" fontId="3" fillId="0" borderId="0" xfId="3" applyFont="1"/>
    <xf numFmtId="0" fontId="11" fillId="0" borderId="0" xfId="3" applyFont="1"/>
    <xf numFmtId="0" fontId="4" fillId="0" borderId="0" xfId="3"/>
    <xf numFmtId="0" fontId="3" fillId="0" borderId="0" xfId="3" quotePrefix="1" applyFont="1"/>
    <xf numFmtId="0" fontId="5" fillId="2" borderId="1" xfId="0" applyFont="1" applyFill="1" applyBorder="1" applyAlignment="1">
      <alignment horizontal="center" vertical="center"/>
    </xf>
    <xf numFmtId="0" fontId="5" fillId="2" borderId="21" xfId="0" applyFont="1" applyFill="1" applyBorder="1" applyAlignment="1">
      <alignment horizontal="center"/>
    </xf>
    <xf numFmtId="0" fontId="5" fillId="2" borderId="14" xfId="0" applyFont="1" applyFill="1" applyBorder="1" applyAlignment="1">
      <alignment horizontal="center"/>
    </xf>
    <xf numFmtId="0" fontId="5" fillId="0" borderId="0" xfId="0" applyFont="1" applyBorder="1" applyAlignment="1">
      <alignment horizontal="center"/>
    </xf>
    <xf numFmtId="0" fontId="5" fillId="0" borderId="0" xfId="0" applyFont="1" applyBorder="1"/>
    <xf numFmtId="9" fontId="8" fillId="0" borderId="11" xfId="2" applyFont="1" applyFill="1" applyBorder="1"/>
    <xf numFmtId="9" fontId="8" fillId="4" borderId="11" xfId="2" applyFont="1" applyFill="1" applyBorder="1"/>
    <xf numFmtId="0" fontId="3" fillId="5" borderId="1" xfId="3" applyFont="1" applyFill="1" applyBorder="1" applyAlignment="1">
      <alignment horizontal="right"/>
    </xf>
    <xf numFmtId="10" fontId="8" fillId="0" borderId="11" xfId="2" applyNumberFormat="1" applyFont="1" applyFill="1" applyBorder="1"/>
    <xf numFmtId="0" fontId="8" fillId="0" borderId="8" xfId="3" applyFont="1" applyFill="1" applyBorder="1" applyAlignment="1"/>
    <xf numFmtId="0" fontId="8" fillId="0" borderId="4" xfId="3" applyFont="1" applyFill="1" applyBorder="1" applyAlignment="1"/>
    <xf numFmtId="0" fontId="8" fillId="0" borderId="9" xfId="3" applyFont="1" applyFill="1" applyBorder="1" applyAlignment="1"/>
    <xf numFmtId="0" fontId="0" fillId="0" borderId="0" xfId="0" applyFont="1"/>
    <xf numFmtId="2" fontId="0" fillId="0" borderId="0" xfId="0" applyNumberFormat="1"/>
    <xf numFmtId="2" fontId="0" fillId="0" borderId="0" xfId="0" applyNumberFormat="1" applyAlignment="1">
      <alignment horizontal="center"/>
    </xf>
    <xf numFmtId="167" fontId="0" fillId="0" borderId="0" xfId="0" applyNumberFormat="1" applyAlignment="1">
      <alignment horizontal="center"/>
    </xf>
    <xf numFmtId="0" fontId="0" fillId="0" borderId="0" xfId="0" applyAlignment="1">
      <alignment horizontal="right"/>
    </xf>
    <xf numFmtId="0" fontId="5" fillId="0" borderId="0" xfId="0" applyFont="1" applyAlignment="1">
      <alignment horizontal="right"/>
    </xf>
    <xf numFmtId="0" fontId="0" fillId="0" borderId="0" xfId="0" applyAlignment="1">
      <alignment vertical="center"/>
    </xf>
    <xf numFmtId="0" fontId="5" fillId="0" borderId="0" xfId="0" applyFont="1" applyAlignment="1">
      <alignment horizontal="left"/>
    </xf>
    <xf numFmtId="2" fontId="5" fillId="0" borderId="0" xfId="0" applyNumberFormat="1" applyFont="1" applyAlignment="1">
      <alignment horizontal="left"/>
    </xf>
    <xf numFmtId="0" fontId="5" fillId="0" borderId="0" xfId="0" applyFont="1" applyAlignment="1">
      <alignment horizontal="left" wrapText="1"/>
    </xf>
    <xf numFmtId="0" fontId="5" fillId="0" borderId="0" xfId="0" applyFont="1" applyAlignment="1">
      <alignment wrapText="1"/>
    </xf>
    <xf numFmtId="0" fontId="11" fillId="4" borderId="1" xfId="3" applyFont="1" applyFill="1" applyBorder="1" applyAlignment="1">
      <alignment horizontal="center"/>
    </xf>
    <xf numFmtId="2" fontId="3" fillId="0" borderId="9" xfId="3" applyNumberFormat="1" applyFont="1" applyFill="1" applyBorder="1" applyProtection="1">
      <protection locked="0"/>
    </xf>
    <xf numFmtId="2" fontId="3" fillId="5" borderId="9" xfId="3" applyNumberFormat="1" applyFont="1" applyFill="1" applyBorder="1"/>
    <xf numFmtId="10" fontId="5" fillId="0" borderId="1" xfId="4" applyNumberFormat="1" applyFont="1" applyBorder="1" applyAlignment="1">
      <alignment horizontal="center"/>
    </xf>
    <xf numFmtId="168" fontId="3" fillId="0" borderId="9" xfId="3" applyNumberFormat="1" applyFont="1" applyFill="1" applyBorder="1"/>
    <xf numFmtId="164" fontId="0" fillId="0" borderId="0" xfId="0" applyNumberFormat="1"/>
    <xf numFmtId="10" fontId="0" fillId="0" borderId="1" xfId="4" applyNumberFormat="1" applyFont="1" applyBorder="1" applyAlignment="1">
      <alignment horizontal="center"/>
    </xf>
    <xf numFmtId="164" fontId="2" fillId="0" borderId="1" xfId="0" applyNumberFormat="1" applyFont="1" applyBorder="1"/>
    <xf numFmtId="164" fontId="2" fillId="0" borderId="21" xfId="0" applyNumberFormat="1" applyFont="1" applyBorder="1"/>
    <xf numFmtId="164" fontId="2" fillId="0" borderId="14" xfId="0" applyNumberFormat="1" applyFont="1" applyBorder="1"/>
    <xf numFmtId="0" fontId="0" fillId="0" borderId="14" xfId="0" applyBorder="1"/>
    <xf numFmtId="0" fontId="0" fillId="6" borderId="0" xfId="0" applyFont="1" applyFill="1" applyBorder="1" applyAlignment="1">
      <alignment horizontal="left"/>
    </xf>
    <xf numFmtId="0" fontId="0" fillId="0" borderId="0" xfId="0" applyFill="1" applyBorder="1" applyAlignment="1"/>
    <xf numFmtId="0" fontId="0" fillId="0" borderId="27" xfId="0" applyFill="1" applyBorder="1" applyAlignment="1"/>
    <xf numFmtId="0" fontId="17" fillId="0" borderId="5" xfId="0" applyFont="1" applyFill="1" applyBorder="1" applyAlignment="1">
      <alignment horizontal="center"/>
    </xf>
    <xf numFmtId="0" fontId="8" fillId="0" borderId="0" xfId="0" applyFont="1"/>
    <xf numFmtId="0" fontId="8" fillId="7" borderId="29" xfId="0" applyFont="1" applyFill="1" applyBorder="1" applyAlignment="1">
      <alignment horizontal="center"/>
    </xf>
    <xf numFmtId="0" fontId="8" fillId="7" borderId="30" xfId="0" applyFont="1" applyFill="1" applyBorder="1" applyAlignment="1">
      <alignment horizontal="center"/>
    </xf>
    <xf numFmtId="0" fontId="8" fillId="7" borderId="31" xfId="0" applyFont="1" applyFill="1" applyBorder="1" applyAlignment="1">
      <alignment horizontal="center"/>
    </xf>
    <xf numFmtId="0" fontId="8" fillId="7" borderId="32" xfId="0" applyFont="1" applyFill="1" applyBorder="1" applyAlignment="1">
      <alignment horizontal="center"/>
    </xf>
    <xf numFmtId="0" fontId="8" fillId="7" borderId="1" xfId="0" applyFont="1" applyFill="1" applyBorder="1" applyAlignment="1">
      <alignment horizontal="right"/>
    </xf>
    <xf numFmtId="0" fontId="0" fillId="7" borderId="1" xfId="0" applyFill="1" applyBorder="1"/>
    <xf numFmtId="0" fontId="0" fillId="7" borderId="1" xfId="0" applyFill="1" applyBorder="1" applyProtection="1">
      <protection locked="0"/>
    </xf>
    <xf numFmtId="0" fontId="8" fillId="0" borderId="1" xfId="0" applyFont="1" applyBorder="1"/>
    <xf numFmtId="164" fontId="2" fillId="0" borderId="0" xfId="0" applyNumberFormat="1" applyFont="1" applyBorder="1"/>
    <xf numFmtId="0" fontId="0" fillId="0" borderId="0" xfId="0" applyBorder="1"/>
    <xf numFmtId="0" fontId="0" fillId="0" borderId="0" xfId="0" applyAlignment="1">
      <alignment horizontal="left" wrapText="1"/>
    </xf>
    <xf numFmtId="2" fontId="0" fillId="0" borderId="0" xfId="0" applyNumberFormat="1" applyFill="1" applyBorder="1" applyAlignment="1"/>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10" fontId="5" fillId="0" borderId="1" xfId="4" applyNumberFormat="1" applyFont="1" applyFill="1" applyBorder="1" applyAlignment="1">
      <alignment horizontal="center"/>
    </xf>
    <xf numFmtId="10" fontId="5" fillId="0" borderId="0" xfId="4" applyNumberFormat="1" applyFont="1" applyBorder="1" applyAlignment="1">
      <alignment horizontal="center"/>
    </xf>
    <xf numFmtId="10" fontId="5" fillId="0" borderId="0" xfId="4" applyNumberFormat="1" applyFont="1" applyFill="1" applyBorder="1" applyAlignment="1">
      <alignment horizontal="center"/>
    </xf>
    <xf numFmtId="2" fontId="0" fillId="0" borderId="1" xfId="0" applyNumberFormat="1" applyBorder="1" applyAlignment="1">
      <alignment horizontal="center" vertical="center"/>
    </xf>
    <xf numFmtId="0" fontId="20" fillId="0" borderId="0" xfId="0" applyFont="1" applyBorder="1" applyAlignment="1">
      <alignment horizontal="left"/>
    </xf>
    <xf numFmtId="2" fontId="0" fillId="0" borderId="1" xfId="0" applyNumberFormat="1" applyFill="1" applyBorder="1" applyAlignment="1">
      <alignment horizontal="center"/>
    </xf>
    <xf numFmtId="2" fontId="2" fillId="0" borderId="1" xfId="0" applyNumberFormat="1" applyFont="1" applyBorder="1" applyAlignment="1">
      <alignment horizontal="center"/>
    </xf>
    <xf numFmtId="0" fontId="2" fillId="6" borderId="1" xfId="0" applyFont="1" applyFill="1" applyBorder="1"/>
    <xf numFmtId="0" fontId="2" fillId="6" borderId="1" xfId="0" applyFont="1" applyFill="1" applyBorder="1" applyAlignment="1" applyProtection="1">
      <alignment horizontal="center"/>
      <protection locked="0"/>
    </xf>
    <xf numFmtId="2" fontId="2" fillId="6" borderId="1" xfId="0" applyNumberFormat="1" applyFont="1" applyFill="1" applyBorder="1" applyAlignment="1">
      <alignment horizontal="center"/>
    </xf>
    <xf numFmtId="0" fontId="22" fillId="6" borderId="1" xfId="0" applyFont="1" applyFill="1" applyBorder="1"/>
    <xf numFmtId="2" fontId="2" fillId="0" borderId="1" xfId="0" applyNumberFormat="1" applyFont="1" applyBorder="1"/>
    <xf numFmtId="0" fontId="1" fillId="2" borderId="1" xfId="0" applyFont="1" applyFill="1" applyBorder="1"/>
    <xf numFmtId="0" fontId="1" fillId="2" borderId="1" xfId="0" applyFont="1" applyFill="1" applyBorder="1" applyAlignment="1">
      <alignment wrapText="1"/>
    </xf>
    <xf numFmtId="0" fontId="0" fillId="6" borderId="1" xfId="0" applyFill="1" applyBorder="1"/>
    <xf numFmtId="166" fontId="2" fillId="6" borderId="1" xfId="0" applyNumberFormat="1" applyFont="1" applyFill="1" applyBorder="1"/>
    <xf numFmtId="0" fontId="5" fillId="2" borderId="1" xfId="0" applyFont="1" applyFill="1" applyBorder="1" applyAlignment="1">
      <alignment horizontal="center" wrapText="1"/>
    </xf>
    <xf numFmtId="165" fontId="2" fillId="6" borderId="1" xfId="0" applyNumberFormat="1" applyFont="1" applyFill="1" applyBorder="1" applyAlignment="1">
      <alignment horizontal="center"/>
    </xf>
    <xf numFmtId="0" fontId="1" fillId="2" borderId="1" xfId="0" applyFont="1" applyFill="1" applyBorder="1" applyAlignment="1">
      <alignment horizontal="center" wrapText="1"/>
    </xf>
    <xf numFmtId="0" fontId="5" fillId="2" borderId="1" xfId="0" applyFont="1" applyFill="1" applyBorder="1" applyAlignment="1">
      <alignment horizontal="center"/>
    </xf>
    <xf numFmtId="0" fontId="0" fillId="0" borderId="0" xfId="0" applyAlignment="1">
      <alignment horizontal="left" wrapText="1"/>
    </xf>
    <xf numFmtId="0" fontId="0" fillId="0" borderId="1" xfId="0" applyBorder="1" applyAlignment="1">
      <alignment horizontal="center"/>
    </xf>
    <xf numFmtId="0" fontId="2" fillId="0" borderId="1" xfId="0" applyFont="1" applyBorder="1" applyAlignment="1">
      <alignment horizontal="center"/>
    </xf>
    <xf numFmtId="0" fontId="1" fillId="2" borderId="1" xfId="0" applyFont="1" applyFill="1" applyBorder="1" applyAlignment="1">
      <alignment horizontal="center"/>
    </xf>
    <xf numFmtId="0" fontId="17" fillId="0" borderId="5" xfId="0" applyFont="1" applyFill="1" applyBorder="1" applyAlignment="1">
      <alignment horizontal="centerContinuous"/>
    </xf>
    <xf numFmtId="169" fontId="0" fillId="0" borderId="1" xfId="4" applyNumberFormat="1" applyFont="1" applyBorder="1" applyAlignment="1">
      <alignment horizontal="center"/>
    </xf>
    <xf numFmtId="2" fontId="0" fillId="0" borderId="1" xfId="0" applyNumberFormat="1" applyBorder="1" applyAlignment="1">
      <alignment horizontal="center"/>
    </xf>
    <xf numFmtId="0" fontId="5" fillId="2" borderId="1"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17" fillId="0" borderId="39" xfId="0" applyFont="1" applyBorder="1" applyAlignment="1">
      <alignment horizontal="center"/>
    </xf>
    <xf numFmtId="0" fontId="0" fillId="0" borderId="3" xfId="0" applyBorder="1"/>
    <xf numFmtId="0" fontId="0" fillId="0" borderId="0" xfId="0" applyAlignment="1"/>
    <xf numFmtId="0" fontId="5" fillId="0" borderId="0" xfId="0" applyFont="1" applyAlignment="1">
      <alignment horizontal="center"/>
    </xf>
    <xf numFmtId="2" fontId="0" fillId="0" borderId="33" xfId="0" applyNumberFormat="1" applyBorder="1" applyAlignment="1">
      <alignment horizontal="center"/>
    </xf>
    <xf numFmtId="2" fontId="0" fillId="0" borderId="34" xfId="0" applyNumberFormat="1" applyBorder="1" applyAlignment="1">
      <alignment horizontal="center"/>
    </xf>
    <xf numFmtId="2" fontId="0" fillId="0" borderId="35" xfId="0" applyNumberFormat="1" applyBorder="1" applyAlignment="1">
      <alignment horizontal="center"/>
    </xf>
    <xf numFmtId="2" fontId="0" fillId="0" borderId="36" xfId="0" applyNumberFormat="1" applyBorder="1" applyAlignment="1">
      <alignment horizontal="center"/>
    </xf>
    <xf numFmtId="2" fontId="0" fillId="0" borderId="37" xfId="0" applyNumberFormat="1" applyBorder="1" applyAlignment="1">
      <alignment horizontal="center"/>
    </xf>
    <xf numFmtId="2" fontId="0" fillId="0" borderId="38" xfId="0" applyNumberFormat="1" applyBorder="1" applyAlignment="1">
      <alignment horizontal="center"/>
    </xf>
    <xf numFmtId="2" fontId="0" fillId="0" borderId="3" xfId="0" applyNumberFormat="1" applyBorder="1"/>
    <xf numFmtId="0" fontId="0" fillId="0" borderId="0" xfId="0" applyAlignment="1">
      <alignment wrapText="1"/>
    </xf>
    <xf numFmtId="167" fontId="0" fillId="0" borderId="0" xfId="0" applyNumberFormat="1"/>
    <xf numFmtId="3" fontId="2" fillId="0" borderId="1" xfId="0" applyNumberFormat="1" applyFont="1" applyBorder="1" applyAlignment="1">
      <alignment horizontal="center"/>
    </xf>
    <xf numFmtId="0" fontId="7" fillId="0" borderId="0" xfId="0" applyFont="1" applyAlignment="1">
      <alignment horizontal="left"/>
    </xf>
    <xf numFmtId="0" fontId="3" fillId="0" borderId="0" xfId="5"/>
    <xf numFmtId="0" fontId="26" fillId="8" borderId="0" xfId="5" applyFont="1" applyFill="1"/>
    <xf numFmtId="0" fontId="26" fillId="0" borderId="0" xfId="5" applyFont="1" applyBorder="1" applyAlignment="1">
      <alignment horizontal="left" vertical="top" wrapText="1"/>
    </xf>
    <xf numFmtId="0" fontId="26" fillId="8" borderId="0" xfId="5" applyFont="1" applyFill="1" applyAlignment="1"/>
    <xf numFmtId="0" fontId="3" fillId="0" borderId="0" xfId="5" applyAlignment="1"/>
    <xf numFmtId="0" fontId="27" fillId="0" borderId="1" xfId="5" applyFont="1" applyBorder="1" applyAlignment="1">
      <alignment horizontal="left" wrapText="1"/>
    </xf>
    <xf numFmtId="0" fontId="27" fillId="0" borderId="1" xfId="5" applyFont="1" applyBorder="1" applyAlignment="1">
      <alignment horizontal="center" wrapText="1"/>
    </xf>
    <xf numFmtId="0" fontId="27" fillId="9" borderId="1" xfId="5" applyFont="1" applyFill="1" applyBorder="1" applyAlignment="1">
      <alignment horizontal="left" vertical="top" wrapText="1"/>
    </xf>
    <xf numFmtId="171" fontId="26" fillId="0" borderId="1" xfId="5" applyNumberFormat="1" applyFont="1" applyBorder="1" applyAlignment="1">
      <alignment horizontal="right" vertical="top"/>
    </xf>
    <xf numFmtId="170" fontId="26" fillId="0" borderId="1" xfId="5" applyNumberFormat="1" applyFont="1" applyBorder="1" applyAlignment="1">
      <alignment horizontal="right" vertical="top"/>
    </xf>
    <xf numFmtId="0" fontId="26" fillId="0" borderId="1" xfId="5" applyFont="1" applyBorder="1" applyAlignment="1">
      <alignment horizontal="left" vertical="top" wrapText="1"/>
    </xf>
    <xf numFmtId="171" fontId="26" fillId="0" borderId="1" xfId="5" applyNumberFormat="1" applyFont="1" applyBorder="1" applyAlignment="1">
      <alignment horizontal="center" vertical="top"/>
    </xf>
    <xf numFmtId="170" fontId="26" fillId="0" borderId="1" xfId="5" applyNumberFormat="1" applyFont="1" applyBorder="1" applyAlignment="1">
      <alignment horizontal="center" vertical="top"/>
    </xf>
    <xf numFmtId="0" fontId="26" fillId="0" borderId="1" xfId="5" applyFont="1" applyBorder="1" applyAlignment="1">
      <alignment horizontal="center" vertical="top" wrapText="1"/>
    </xf>
    <xf numFmtId="0" fontId="26" fillId="0" borderId="1" xfId="5" applyFont="1" applyBorder="1" applyAlignment="1">
      <alignment horizontal="right" vertical="top"/>
    </xf>
    <xf numFmtId="0" fontId="27" fillId="10" borderId="1" xfId="5" applyFont="1" applyFill="1" applyBorder="1" applyAlignment="1">
      <alignment horizontal="left" vertical="top" wrapText="1"/>
    </xf>
    <xf numFmtId="170" fontId="26" fillId="10" borderId="1" xfId="5" applyNumberFormat="1" applyFont="1" applyFill="1" applyBorder="1" applyAlignment="1">
      <alignment horizontal="right" vertical="top"/>
    </xf>
    <xf numFmtId="0" fontId="2" fillId="0" borderId="0" xfId="0" applyFont="1" applyBorder="1" applyAlignment="1">
      <alignment horizontal="center"/>
    </xf>
    <xf numFmtId="3" fontId="2" fillId="0" borderId="0" xfId="0" applyNumberFormat="1" applyFont="1" applyBorder="1" applyAlignment="1">
      <alignment horizontal="center"/>
    </xf>
    <xf numFmtId="170" fontId="26" fillId="0" borderId="21" xfId="5" applyNumberFormat="1" applyFont="1" applyBorder="1" applyAlignment="1">
      <alignment horizontal="right" vertical="top"/>
    </xf>
    <xf numFmtId="0" fontId="0" fillId="0" borderId="0" xfId="0" applyNumberFormat="1" applyFill="1" applyBorder="1" applyAlignment="1"/>
    <xf numFmtId="10" fontId="0" fillId="0" borderId="0" xfId="0" applyNumberFormat="1" applyFill="1" applyBorder="1" applyAlignment="1"/>
    <xf numFmtId="168" fontId="0" fillId="0" borderId="1" xfId="0" applyNumberFormat="1" applyBorder="1" applyAlignment="1">
      <alignment horizontal="center"/>
    </xf>
    <xf numFmtId="10" fontId="0" fillId="0" borderId="1" xfId="4" applyNumberFormat="1" applyFont="1" applyBorder="1"/>
    <xf numFmtId="2" fontId="0" fillId="0" borderId="0" xfId="0" applyNumberFormat="1" applyFill="1" applyBorder="1" applyAlignment="1">
      <alignment horizontal="center"/>
    </xf>
    <xf numFmtId="2" fontId="0" fillId="0" borderId="27" xfId="0" applyNumberFormat="1" applyFill="1" applyBorder="1" applyAlignment="1">
      <alignment horizontal="center"/>
    </xf>
    <xf numFmtId="9" fontId="6" fillId="0" borderId="1" xfId="4" applyFont="1" applyBorder="1" applyAlignment="1">
      <alignment horizontal="center"/>
    </xf>
    <xf numFmtId="9" fontId="0" fillId="0" borderId="1" xfId="4" applyNumberFormat="1" applyFont="1" applyBorder="1" applyAlignment="1">
      <alignment horizontal="center"/>
    </xf>
    <xf numFmtId="165" fontId="8" fillId="0" borderId="9" xfId="3" applyNumberFormat="1" applyFont="1" applyFill="1" applyBorder="1"/>
    <xf numFmtId="10" fontId="8" fillId="5" borderId="11" xfId="2" applyNumberFormat="1" applyFont="1" applyFill="1" applyBorder="1"/>
    <xf numFmtId="0" fontId="3" fillId="0" borderId="26" xfId="3" applyFont="1" applyFill="1" applyBorder="1" applyAlignment="1">
      <alignment horizontal="left"/>
    </xf>
    <xf numFmtId="0" fontId="3" fillId="0" borderId="27" xfId="3" applyFont="1" applyFill="1" applyBorder="1" applyAlignment="1">
      <alignment horizontal="left"/>
    </xf>
    <xf numFmtId="0" fontId="3" fillId="0" borderId="41" xfId="3" applyFont="1" applyFill="1" applyBorder="1" applyAlignment="1">
      <alignment horizontal="left"/>
    </xf>
    <xf numFmtId="10" fontId="8" fillId="5" borderId="42" xfId="2" applyNumberFormat="1" applyFont="1" applyFill="1" applyBorder="1"/>
    <xf numFmtId="2" fontId="8" fillId="5" borderId="11" xfId="3" applyNumberFormat="1" applyFont="1" applyFill="1" applyBorder="1"/>
    <xf numFmtId="2" fontId="8" fillId="5" borderId="42" xfId="3" applyNumberFormat="1" applyFont="1" applyFill="1" applyBorder="1"/>
    <xf numFmtId="0" fontId="1" fillId="0" borderId="0" xfId="0" applyFont="1" applyAlignment="1">
      <alignment horizontal="left" wrapText="1"/>
    </xf>
    <xf numFmtId="0" fontId="1" fillId="0" borderId="0" xfId="0" applyFont="1" applyAlignment="1">
      <alignment horizontal="left"/>
    </xf>
    <xf numFmtId="0" fontId="2" fillId="0" borderId="0" xfId="0" quotePrefix="1" applyFont="1" applyAlignment="1">
      <alignment horizontal="center"/>
    </xf>
    <xf numFmtId="0" fontId="2" fillId="0" borderId="0" xfId="0" applyFont="1" applyAlignment="1">
      <alignment horizontal="center"/>
    </xf>
    <xf numFmtId="0" fontId="5" fillId="0" borderId="0" xfId="0" applyFont="1" applyAlignment="1">
      <alignment horizontal="left"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3" fillId="0" borderId="8" xfId="3" applyFont="1" applyFill="1" applyBorder="1" applyAlignment="1">
      <alignment horizontal="center"/>
    </xf>
    <xf numFmtId="0" fontId="3" fillId="0" borderId="4" xfId="3" applyFont="1" applyFill="1" applyBorder="1" applyAlignment="1">
      <alignment horizontal="center"/>
    </xf>
    <xf numFmtId="0" fontId="3" fillId="0" borderId="9" xfId="3" applyFont="1" applyFill="1" applyBorder="1" applyAlignment="1">
      <alignment horizontal="center"/>
    </xf>
    <xf numFmtId="0" fontId="8" fillId="3" borderId="8" xfId="3" applyFont="1" applyFill="1" applyBorder="1" applyAlignment="1">
      <alignment horizontal="center"/>
    </xf>
    <xf numFmtId="0" fontId="8" fillId="3" borderId="4" xfId="3" applyFont="1" applyFill="1" applyBorder="1" applyAlignment="1">
      <alignment horizontal="center"/>
    </xf>
    <xf numFmtId="0" fontId="8" fillId="3" borderId="9" xfId="3" applyFont="1" applyFill="1" applyBorder="1" applyAlignment="1">
      <alignment horizontal="center"/>
    </xf>
    <xf numFmtId="0" fontId="3" fillId="5" borderId="18" xfId="3" applyFont="1" applyFill="1" applyBorder="1" applyAlignment="1">
      <alignment horizontal="left"/>
    </xf>
    <xf numFmtId="0" fontId="3" fillId="5" borderId="19" xfId="3" applyFont="1" applyFill="1" applyBorder="1" applyAlignment="1">
      <alignment horizontal="left"/>
    </xf>
    <xf numFmtId="0" fontId="3" fillId="5" borderId="20" xfId="3" applyFont="1" applyFill="1" applyBorder="1" applyAlignment="1">
      <alignment horizontal="left"/>
    </xf>
    <xf numFmtId="0" fontId="3" fillId="0" borderId="8" xfId="3" applyFont="1" applyFill="1" applyBorder="1" applyAlignment="1">
      <alignment horizontal="left"/>
    </xf>
    <xf numFmtId="0" fontId="3" fillId="0" borderId="4" xfId="3" applyFont="1" applyFill="1" applyBorder="1" applyAlignment="1">
      <alignment horizontal="left"/>
    </xf>
    <xf numFmtId="0" fontId="3" fillId="0" borderId="14" xfId="3" applyFont="1" applyFill="1" applyBorder="1" applyAlignment="1">
      <alignment horizontal="left"/>
    </xf>
    <xf numFmtId="0" fontId="3" fillId="0" borderId="10" xfId="3" applyFont="1" applyFill="1" applyBorder="1" applyAlignment="1">
      <alignment horizontal="left"/>
    </xf>
    <xf numFmtId="0" fontId="3" fillId="0" borderId="1" xfId="3" applyFont="1" applyFill="1" applyBorder="1" applyAlignment="1">
      <alignment horizontal="left"/>
    </xf>
    <xf numFmtId="0" fontId="12" fillId="0" borderId="10" xfId="3" applyFont="1" applyFill="1" applyBorder="1" applyAlignment="1">
      <alignment horizontal="left"/>
    </xf>
    <xf numFmtId="0" fontId="12" fillId="0" borderId="1" xfId="3" applyFont="1" applyFill="1" applyBorder="1" applyAlignment="1">
      <alignment horizontal="left"/>
    </xf>
    <xf numFmtId="0" fontId="0" fillId="0" borderId="0" xfId="0" applyAlignment="1">
      <alignment horizontal="left" vertical="center" wrapText="1"/>
    </xf>
    <xf numFmtId="0" fontId="8" fillId="3" borderId="6" xfId="3" applyFont="1" applyFill="1" applyBorder="1" applyAlignment="1">
      <alignment horizontal="center"/>
    </xf>
    <xf numFmtId="0" fontId="8" fillId="3" borderId="5" xfId="3" applyFont="1" applyFill="1" applyBorder="1" applyAlignment="1">
      <alignment horizontal="center"/>
    </xf>
    <xf numFmtId="0" fontId="8" fillId="3" borderId="7" xfId="3" applyFont="1" applyFill="1" applyBorder="1" applyAlignment="1">
      <alignment horizontal="center"/>
    </xf>
    <xf numFmtId="0" fontId="8" fillId="0" borderId="8" xfId="3" applyFont="1" applyBorder="1" applyAlignment="1">
      <alignment horizontal="center"/>
    </xf>
    <xf numFmtId="0" fontId="8" fillId="0" borderId="4" xfId="3" applyFont="1" applyBorder="1" applyAlignment="1">
      <alignment horizontal="center"/>
    </xf>
    <xf numFmtId="0" fontId="8" fillId="0" borderId="9" xfId="3" applyFont="1" applyBorder="1" applyAlignment="1">
      <alignment horizontal="center"/>
    </xf>
    <xf numFmtId="0" fontId="3" fillId="0" borderId="15" xfId="3" applyFont="1" applyFill="1" applyBorder="1" applyAlignment="1">
      <alignment horizontal="left"/>
    </xf>
    <xf numFmtId="0" fontId="3" fillId="0" borderId="2" xfId="3" applyFont="1" applyFill="1" applyBorder="1" applyAlignment="1">
      <alignment horizontal="left"/>
    </xf>
    <xf numFmtId="0" fontId="3" fillId="0" borderId="40" xfId="3" applyFont="1" applyFill="1" applyBorder="1" applyAlignment="1">
      <alignment horizontal="left"/>
    </xf>
    <xf numFmtId="0" fontId="8" fillId="0" borderId="8" xfId="3" applyFont="1" applyFill="1" applyBorder="1" applyAlignment="1">
      <alignment horizontal="left"/>
    </xf>
    <xf numFmtId="0" fontId="8" fillId="0" borderId="4" xfId="3" applyFont="1" applyFill="1" applyBorder="1" applyAlignment="1">
      <alignment horizontal="left"/>
    </xf>
    <xf numFmtId="0" fontId="8" fillId="0" borderId="9" xfId="3" applyFont="1" applyFill="1" applyBorder="1" applyAlignment="1">
      <alignment horizontal="left"/>
    </xf>
    <xf numFmtId="0" fontId="4" fillId="0" borderId="8" xfId="3" applyBorder="1" applyAlignment="1">
      <alignment horizontal="left"/>
    </xf>
    <xf numFmtId="0" fontId="4" fillId="0" borderId="4" xfId="3" applyBorder="1" applyAlignment="1">
      <alignment horizontal="left"/>
    </xf>
    <xf numFmtId="0" fontId="4" fillId="0" borderId="14" xfId="3" applyBorder="1" applyAlignment="1">
      <alignment horizontal="left"/>
    </xf>
    <xf numFmtId="0" fontId="3" fillId="0" borderId="9" xfId="3" applyFont="1" applyFill="1" applyBorder="1" applyAlignment="1">
      <alignment horizontal="left"/>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3" fillId="0" borderId="21" xfId="3" applyFont="1" applyFill="1" applyBorder="1" applyAlignment="1">
      <alignment horizontal="left"/>
    </xf>
    <xf numFmtId="0" fontId="5" fillId="2" borderId="1" xfId="0" applyFont="1" applyFill="1" applyBorder="1" applyAlignment="1">
      <alignment horizontal="center" vertical="center"/>
    </xf>
    <xf numFmtId="0" fontId="5" fillId="2" borderId="21" xfId="0" applyFont="1" applyFill="1" applyBorder="1" applyAlignment="1">
      <alignment horizontal="center"/>
    </xf>
    <xf numFmtId="0" fontId="5" fillId="2" borderId="4" xfId="0" applyFont="1" applyFill="1" applyBorder="1" applyAlignment="1">
      <alignment horizontal="center"/>
    </xf>
    <xf numFmtId="0" fontId="5" fillId="2" borderId="14" xfId="0" applyFont="1" applyFill="1" applyBorder="1" applyAlignment="1">
      <alignment horizontal="center"/>
    </xf>
    <xf numFmtId="0" fontId="3" fillId="0" borderId="15" xfId="3" applyFont="1" applyFill="1" applyBorder="1" applyAlignment="1">
      <alignment horizontal="center"/>
    </xf>
    <xf numFmtId="0" fontId="3" fillId="0" borderId="2" xfId="3" applyFont="1" applyFill="1" applyBorder="1" applyAlignment="1">
      <alignment horizontal="center"/>
    </xf>
    <xf numFmtId="0" fontId="3" fillId="0" borderId="13" xfId="3" applyFont="1" applyFill="1" applyBorder="1" applyAlignment="1">
      <alignment horizontal="center"/>
    </xf>
    <xf numFmtId="0" fontId="3" fillId="0" borderId="16" xfId="3" applyFont="1" applyFill="1" applyBorder="1" applyAlignment="1">
      <alignment horizontal="center"/>
    </xf>
    <xf numFmtId="0" fontId="3" fillId="0" borderId="3" xfId="3" applyFont="1" applyFill="1" applyBorder="1" applyAlignment="1">
      <alignment horizontal="center"/>
    </xf>
    <xf numFmtId="0" fontId="3" fillId="0" borderId="17" xfId="3" applyFont="1" applyFill="1" applyBorder="1" applyAlignment="1">
      <alignment horizontal="center"/>
    </xf>
    <xf numFmtId="0" fontId="0" fillId="0" borderId="22"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xf numFmtId="0" fontId="0" fillId="0" borderId="12" xfId="0" applyBorder="1" applyAlignment="1">
      <alignment horizontal="left" wrapText="1"/>
    </xf>
    <xf numFmtId="0" fontId="0" fillId="0" borderId="0" xfId="0" applyBorder="1" applyAlignment="1">
      <alignment horizontal="left" wrapText="1"/>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8" xfId="0" applyBorder="1" applyAlignment="1">
      <alignment horizontal="left" wrapText="1"/>
    </xf>
    <xf numFmtId="0" fontId="5" fillId="2" borderId="1" xfId="0" applyFont="1" applyFill="1" applyBorder="1" applyAlignment="1">
      <alignment horizontal="left"/>
    </xf>
    <xf numFmtId="2" fontId="0" fillId="0" borderId="1" xfId="0" applyNumberFormat="1" applyBorder="1" applyAlignment="1">
      <alignment horizontal="center"/>
    </xf>
    <xf numFmtId="0" fontId="3" fillId="0" borderId="26" xfId="3" applyFont="1" applyFill="1" applyBorder="1" applyAlignment="1">
      <alignment horizontal="left"/>
    </xf>
    <xf numFmtId="0" fontId="3" fillId="0" borderId="27" xfId="3" applyFont="1" applyFill="1" applyBorder="1" applyAlignment="1">
      <alignment horizontal="left"/>
    </xf>
    <xf numFmtId="0" fontId="3" fillId="0" borderId="41" xfId="3" applyFont="1" applyFill="1" applyBorder="1" applyAlignment="1">
      <alignment horizontal="left"/>
    </xf>
    <xf numFmtId="0" fontId="12" fillId="0" borderId="15" xfId="3" applyFont="1" applyFill="1" applyBorder="1" applyAlignment="1">
      <alignment horizontal="center"/>
    </xf>
    <xf numFmtId="0" fontId="12" fillId="0" borderId="2" xfId="3" applyFont="1" applyFill="1" applyBorder="1" applyAlignment="1">
      <alignment horizontal="center"/>
    </xf>
    <xf numFmtId="0" fontId="12" fillId="0" borderId="13" xfId="3" applyFont="1" applyFill="1" applyBorder="1" applyAlignment="1">
      <alignment horizontal="center"/>
    </xf>
    <xf numFmtId="0" fontId="12" fillId="0" borderId="16" xfId="3" applyFont="1" applyFill="1" applyBorder="1" applyAlignment="1">
      <alignment horizontal="center"/>
    </xf>
    <xf numFmtId="0" fontId="12" fillId="0" borderId="3" xfId="3" applyFont="1" applyFill="1" applyBorder="1" applyAlignment="1">
      <alignment horizontal="center"/>
    </xf>
    <xf numFmtId="0" fontId="12" fillId="0" borderId="17" xfId="3" applyFont="1" applyFill="1" applyBorder="1" applyAlignment="1">
      <alignment horizontal="center"/>
    </xf>
    <xf numFmtId="0" fontId="8" fillId="3" borderId="6" xfId="3" applyFont="1" applyFill="1" applyBorder="1" applyAlignment="1">
      <alignment horizontal="left"/>
    </xf>
    <xf numFmtId="0" fontId="8" fillId="3" borderId="5" xfId="3" applyFont="1" applyFill="1" applyBorder="1" applyAlignment="1">
      <alignment horizontal="left"/>
    </xf>
    <xf numFmtId="0" fontId="8" fillId="3" borderId="7" xfId="3" applyFont="1" applyFill="1" applyBorder="1" applyAlignment="1">
      <alignment horizontal="left"/>
    </xf>
    <xf numFmtId="0" fontId="8" fillId="0" borderId="1" xfId="0" applyFont="1" applyBorder="1" applyAlignment="1">
      <alignment horizontal="left"/>
    </xf>
    <xf numFmtId="0" fontId="8" fillId="2" borderId="1" xfId="0" applyFont="1" applyFill="1" applyBorder="1" applyAlignment="1">
      <alignment horizontal="center" vertical="center"/>
    </xf>
    <xf numFmtId="0" fontId="5" fillId="2" borderId="1" xfId="0" applyFont="1" applyFill="1" applyBorder="1" applyAlignment="1">
      <alignment horizontal="center"/>
    </xf>
    <xf numFmtId="0" fontId="8" fillId="7" borderId="30" xfId="0" applyFont="1" applyFill="1" applyBorder="1" applyAlignment="1">
      <alignment horizontal="center" vertical="center"/>
    </xf>
    <xf numFmtId="0" fontId="8" fillId="7" borderId="32" xfId="0" applyFont="1" applyFill="1" applyBorder="1" applyAlignment="1">
      <alignment horizontal="center" vertical="center"/>
    </xf>
    <xf numFmtId="0" fontId="0" fillId="0" borderId="0" xfId="0" applyAlignment="1">
      <alignment horizontal="left" wrapText="1"/>
    </xf>
    <xf numFmtId="0" fontId="5" fillId="0" borderId="1" xfId="0" applyFont="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left" wrapText="1"/>
    </xf>
    <xf numFmtId="0" fontId="0" fillId="0" borderId="1" xfId="0" applyBorder="1" applyAlignment="1">
      <alignment horizontal="center"/>
    </xf>
    <xf numFmtId="0" fontId="1" fillId="2" borderId="21" xfId="0" applyFont="1" applyFill="1" applyBorder="1" applyAlignment="1">
      <alignment horizontal="center"/>
    </xf>
    <xf numFmtId="0" fontId="1" fillId="2" borderId="4"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wrapText="1"/>
    </xf>
    <xf numFmtId="0" fontId="2" fillId="0" borderId="1" xfId="0" applyFont="1" applyBorder="1" applyAlignment="1">
      <alignment horizontal="center"/>
    </xf>
    <xf numFmtId="0" fontId="1" fillId="2" borderId="1" xfId="0" applyFont="1" applyFill="1" applyBorder="1" applyAlignment="1">
      <alignment horizontal="center"/>
    </xf>
    <xf numFmtId="0" fontId="2" fillId="0" borderId="1" xfId="0" applyFont="1" applyBorder="1" applyAlignment="1">
      <alignment horizontal="left"/>
    </xf>
    <xf numFmtId="0" fontId="25" fillId="0" borderId="0" xfId="5" applyFont="1" applyBorder="1" applyAlignment="1">
      <alignment horizontal="center" vertical="center" wrapText="1"/>
    </xf>
    <xf numFmtId="0" fontId="26" fillId="8" borderId="0" xfId="5" applyFont="1" applyFill="1"/>
    <xf numFmtId="0" fontId="3" fillId="0" borderId="0" xfId="5"/>
    <xf numFmtId="0" fontId="26" fillId="0" borderId="0" xfId="5" applyFont="1" applyBorder="1" applyAlignment="1">
      <alignment horizontal="left" vertical="top" wrapText="1"/>
    </xf>
    <xf numFmtId="0" fontId="27" fillId="0" borderId="1" xfId="5" applyFont="1" applyBorder="1" applyAlignment="1">
      <alignment horizontal="center" wrapText="1"/>
    </xf>
    <xf numFmtId="0" fontId="27" fillId="0" borderId="30" xfId="5" applyFont="1" applyBorder="1" applyAlignment="1">
      <alignment horizontal="center" vertical="center" wrapText="1"/>
    </xf>
    <xf numFmtId="0" fontId="27" fillId="0" borderId="32" xfId="5" applyFont="1" applyBorder="1" applyAlignment="1">
      <alignment horizontal="center" vertical="center"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2" xfId="0" applyFont="1" applyBorder="1" applyAlignment="1">
      <alignment horizontal="left" wrapText="1"/>
    </xf>
    <xf numFmtId="0" fontId="2" fillId="0" borderId="0" xfId="0" applyFont="1" applyBorder="1" applyAlignment="1">
      <alignment horizontal="left"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27" xfId="0" applyFont="1" applyBorder="1" applyAlignment="1">
      <alignment horizontal="left" wrapText="1"/>
    </xf>
    <xf numFmtId="0" fontId="2" fillId="0" borderId="28" xfId="0" applyFont="1" applyBorder="1" applyAlignment="1">
      <alignment horizontal="left" wrapText="1"/>
    </xf>
    <xf numFmtId="0" fontId="7" fillId="0" borderId="0" xfId="0" applyFont="1" applyAlignment="1">
      <alignment horizontal="left" wrapText="1"/>
    </xf>
  </cellXfs>
  <cellStyles count="6">
    <cellStyle name="Normal" xfId="0" builtinId="0"/>
    <cellStyle name="Normal 2" xfId="1" xr:uid="{00000000-0005-0000-0000-000001000000}"/>
    <cellStyle name="Normal 3" xfId="3" xr:uid="{00000000-0005-0000-0000-000002000000}"/>
    <cellStyle name="Normal_Q6" xfId="5" xr:uid="{E062DCA5-AEF1-44AE-AAEB-170D763D34CD}"/>
    <cellStyle name="Percent" xfId="4" builtinId="5"/>
    <cellStyle name="Percent 2" xfId="2" xr:uid="{00000000-0005-0000-0000-000003000000}"/>
  </cellStyles>
  <dxfs count="7">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9" defaultPivotStyle="PivotStyleLight16"/>
  <colors>
    <mruColors>
      <color rgb="FF1313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Histogram</a:t>
            </a:r>
          </a:p>
        </c:rich>
      </c:tx>
      <c:overlay val="0"/>
    </c:title>
    <c:autoTitleDeleted val="0"/>
    <c:plotArea>
      <c:layout/>
      <c:barChart>
        <c:barDir val="col"/>
        <c:grouping val="clustered"/>
        <c:varyColors val="0"/>
        <c:ser>
          <c:idx val="0"/>
          <c:order val="0"/>
          <c:tx>
            <c:v>Frequency</c:v>
          </c:tx>
          <c:spPr>
            <a:solidFill>
              <a:schemeClr val="accent1">
                <a:lumMod val="40000"/>
                <a:lumOff val="60000"/>
              </a:schemeClr>
            </a:solidFill>
            <a:ln w="12700">
              <a:solidFill>
                <a:schemeClr val="tx1"/>
              </a:solidFill>
            </a:ln>
          </c:spPr>
          <c:invertIfNegative val="0"/>
          <c:cat>
            <c:numRef>
              <c:f>Sheet2!$A$2:$A$16</c:f>
              <c:numCache>
                <c:formatCode>General</c:formatCode>
                <c:ptCount val="15"/>
                <c:pt idx="0">
                  <c:v>0</c:v>
                </c:pt>
                <c:pt idx="1">
                  <c:v>150</c:v>
                </c:pt>
                <c:pt idx="2">
                  <c:v>300</c:v>
                </c:pt>
                <c:pt idx="3">
                  <c:v>450</c:v>
                </c:pt>
                <c:pt idx="4">
                  <c:v>600</c:v>
                </c:pt>
                <c:pt idx="5">
                  <c:v>750</c:v>
                </c:pt>
                <c:pt idx="6">
                  <c:v>900</c:v>
                </c:pt>
                <c:pt idx="7">
                  <c:v>1050</c:v>
                </c:pt>
                <c:pt idx="8">
                  <c:v>1200</c:v>
                </c:pt>
                <c:pt idx="9">
                  <c:v>1350</c:v>
                </c:pt>
                <c:pt idx="10">
                  <c:v>1500</c:v>
                </c:pt>
                <c:pt idx="11">
                  <c:v>1650</c:v>
                </c:pt>
                <c:pt idx="12">
                  <c:v>1800</c:v>
                </c:pt>
                <c:pt idx="13">
                  <c:v>1950</c:v>
                </c:pt>
                <c:pt idx="14">
                  <c:v>2100</c:v>
                </c:pt>
              </c:numCache>
            </c:numRef>
          </c:cat>
          <c:val>
            <c:numRef>
              <c:f>Sheet2!$C$2:$C$16</c:f>
              <c:numCache>
                <c:formatCode>0.00%</c:formatCode>
                <c:ptCount val="15"/>
                <c:pt idx="0">
                  <c:v>0.24249999999999999</c:v>
                </c:pt>
                <c:pt idx="1">
                  <c:v>0.33250000000000002</c:v>
                </c:pt>
                <c:pt idx="2">
                  <c:v>0.125</c:v>
                </c:pt>
                <c:pt idx="3">
                  <c:v>0.13500000000000001</c:v>
                </c:pt>
                <c:pt idx="4">
                  <c:v>5.2499999999999998E-2</c:v>
                </c:pt>
                <c:pt idx="5">
                  <c:v>4.2500000000000003E-2</c:v>
                </c:pt>
                <c:pt idx="6">
                  <c:v>0.02</c:v>
                </c:pt>
                <c:pt idx="7">
                  <c:v>1.4999999999999999E-2</c:v>
                </c:pt>
                <c:pt idx="8">
                  <c:v>1.4999999999999999E-2</c:v>
                </c:pt>
                <c:pt idx="9">
                  <c:v>0.01</c:v>
                </c:pt>
                <c:pt idx="10">
                  <c:v>0</c:v>
                </c:pt>
                <c:pt idx="11">
                  <c:v>2.5000000000000001E-3</c:v>
                </c:pt>
                <c:pt idx="12">
                  <c:v>5.0000000000000001E-3</c:v>
                </c:pt>
                <c:pt idx="13">
                  <c:v>0</c:v>
                </c:pt>
                <c:pt idx="14">
                  <c:v>2.5000000000000001E-3</c:v>
                </c:pt>
              </c:numCache>
            </c:numRef>
          </c:val>
          <c:extLst>
            <c:ext xmlns:c16="http://schemas.microsoft.com/office/drawing/2014/chart" uri="{C3380CC4-5D6E-409C-BE32-E72D297353CC}">
              <c16:uniqueId val="{00000000-8798-4307-B301-75C1406E9DC2}"/>
            </c:ext>
          </c:extLst>
        </c:ser>
        <c:dLbls>
          <c:showLegendKey val="0"/>
          <c:showVal val="0"/>
          <c:showCatName val="0"/>
          <c:showSerName val="0"/>
          <c:showPercent val="0"/>
          <c:showBubbleSize val="0"/>
        </c:dLbls>
        <c:gapWidth val="0"/>
        <c:axId val="587824784"/>
        <c:axId val="587820192"/>
      </c:barChart>
      <c:catAx>
        <c:axId val="587824784"/>
        <c:scaling>
          <c:orientation val="minMax"/>
        </c:scaling>
        <c:delete val="0"/>
        <c:axPos val="b"/>
        <c:title>
          <c:tx>
            <c:rich>
              <a:bodyPr/>
              <a:lstStyle/>
              <a:p>
                <a:pPr>
                  <a:defRPr/>
                </a:pPr>
                <a:r>
                  <a:rPr lang="en-AU"/>
                  <a:t>Bins</a:t>
                </a:r>
              </a:p>
            </c:rich>
          </c:tx>
          <c:overlay val="0"/>
        </c:title>
        <c:numFmt formatCode="General" sourceLinked="1"/>
        <c:majorTickMark val="out"/>
        <c:minorTickMark val="none"/>
        <c:tickLblPos val="nextTo"/>
        <c:crossAx val="587820192"/>
        <c:crosses val="autoZero"/>
        <c:auto val="1"/>
        <c:lblAlgn val="ctr"/>
        <c:lblOffset val="100"/>
        <c:noMultiLvlLbl val="0"/>
      </c:catAx>
      <c:valAx>
        <c:axId val="587820192"/>
        <c:scaling>
          <c:orientation val="minMax"/>
        </c:scaling>
        <c:delete val="0"/>
        <c:axPos val="l"/>
        <c:title>
          <c:tx>
            <c:rich>
              <a:bodyPr/>
              <a:lstStyle/>
              <a:p>
                <a:pPr>
                  <a:defRPr/>
                </a:pPr>
                <a:r>
                  <a:rPr lang="en-AU"/>
                  <a:t>Frequency</a:t>
                </a:r>
              </a:p>
            </c:rich>
          </c:tx>
          <c:overlay val="0"/>
        </c:title>
        <c:numFmt formatCode="0.00%" sourceLinked="1"/>
        <c:majorTickMark val="out"/>
        <c:minorTickMark val="none"/>
        <c:tickLblPos val="nextTo"/>
        <c:crossAx val="58782478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'Descriptive analysis'!$B$6</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70-4617-8C02-B877C7ACC2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70-4617-8C02-B877C7ACC2D6}"/>
              </c:ext>
            </c:extLst>
          </c:dPt>
          <c:dLbls>
            <c:spPr>
              <a:solidFill>
                <a:sysClr val="window" lastClr="FFFFFF"/>
              </a:solidFill>
              <a:ln>
                <a:solidFill>
                  <a:srgbClr val="131313"/>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'Descriptive analysis'!$A$7:$A$8</c:f>
              <c:strCache>
                <c:ptCount val="2"/>
                <c:pt idx="0">
                  <c:v>Male</c:v>
                </c:pt>
                <c:pt idx="1">
                  <c:v>Female</c:v>
                </c:pt>
              </c:strCache>
            </c:strRef>
          </c:cat>
          <c:val>
            <c:numRef>
              <c:f>'Descriptive analysis'!$B$7:$B$8</c:f>
              <c:numCache>
                <c:formatCode>General</c:formatCode>
                <c:ptCount val="2"/>
                <c:pt idx="0">
                  <c:v>233</c:v>
                </c:pt>
                <c:pt idx="1">
                  <c:v>167</c:v>
                </c:pt>
              </c:numCache>
            </c:numRef>
          </c:val>
          <c:extLst>
            <c:ext xmlns:c16="http://schemas.microsoft.com/office/drawing/2014/chart" uri="{C3380CC4-5D6E-409C-BE32-E72D297353CC}">
              <c16:uniqueId val="{00000004-E670-4617-8C02-B877C7ACC2D6}"/>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Residential State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analysis'!$G$6</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analysis'!$F$7:$F$14</c:f>
              <c:strCache>
                <c:ptCount val="8"/>
                <c:pt idx="0">
                  <c:v>New South Wales</c:v>
                </c:pt>
                <c:pt idx="1">
                  <c:v>Victoria</c:v>
                </c:pt>
                <c:pt idx="2">
                  <c:v>Queensland</c:v>
                </c:pt>
                <c:pt idx="3">
                  <c:v>South Australia</c:v>
                </c:pt>
                <c:pt idx="4">
                  <c:v>Western Australia</c:v>
                </c:pt>
                <c:pt idx="5">
                  <c:v>Northern Territory</c:v>
                </c:pt>
                <c:pt idx="6">
                  <c:v>Tasmania</c:v>
                </c:pt>
                <c:pt idx="7">
                  <c:v>Australian Capital Territory</c:v>
                </c:pt>
              </c:strCache>
            </c:strRef>
          </c:cat>
          <c:val>
            <c:numRef>
              <c:f>'Descriptive analysis'!$G$7:$G$14</c:f>
              <c:numCache>
                <c:formatCode>0%</c:formatCode>
                <c:ptCount val="8"/>
                <c:pt idx="0">
                  <c:v>0.3175</c:v>
                </c:pt>
                <c:pt idx="1">
                  <c:v>0.2225</c:v>
                </c:pt>
                <c:pt idx="2">
                  <c:v>0.1525</c:v>
                </c:pt>
                <c:pt idx="3">
                  <c:v>0.11749999999999999</c:v>
                </c:pt>
                <c:pt idx="4">
                  <c:v>0.09</c:v>
                </c:pt>
                <c:pt idx="5">
                  <c:v>3.7499999999999999E-2</c:v>
                </c:pt>
                <c:pt idx="6">
                  <c:v>3.2500000000000001E-2</c:v>
                </c:pt>
                <c:pt idx="7">
                  <c:v>0.03</c:v>
                </c:pt>
              </c:numCache>
            </c:numRef>
          </c:val>
          <c:extLst>
            <c:ext xmlns:c16="http://schemas.microsoft.com/office/drawing/2014/chart" uri="{C3380CC4-5D6E-409C-BE32-E72D297353CC}">
              <c16:uniqueId val="{00000000-5467-4004-A5E5-016675B161E8}"/>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Frequency</a:t>
                </a:r>
                <a:r>
                  <a:rPr lang="en-AU" baseline="0"/>
                  <a:t> %</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Customers across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'Descriptive analysis'!$B$15</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52-4BE1-870A-46984FBA61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52-4BE1-870A-46984FBA6119}"/>
              </c:ext>
            </c:extLst>
          </c:dPt>
          <c:dLbls>
            <c:dLbl>
              <c:idx val="0"/>
              <c:layout>
                <c:manualLayout>
                  <c:x val="4.5506257110352569E-2"/>
                  <c:y val="5.235602094240837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752-4BE1-870A-46984FBA6119}"/>
                </c:ext>
              </c:extLst>
            </c:dLbl>
            <c:dLbl>
              <c:idx val="1"/>
              <c:layout>
                <c:manualLayout>
                  <c:x val="-2.8441410693970447E-2"/>
                  <c:y val="-0.1657940663176265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752-4BE1-870A-46984FBA6119}"/>
                </c:ext>
              </c:extLst>
            </c:dLbl>
            <c:spPr>
              <a:solidFill>
                <a:sysClr val="window" lastClr="FFFFFF"/>
              </a:solidFill>
              <a:ln>
                <a:solidFill>
                  <a:srgbClr val="131313"/>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'Descriptive analysis'!$A$16:$A$17</c:f>
              <c:strCache>
                <c:ptCount val="2"/>
                <c:pt idx="0">
                  <c:v>Rural</c:v>
                </c:pt>
                <c:pt idx="1">
                  <c:v>Urban</c:v>
                </c:pt>
              </c:strCache>
            </c:strRef>
          </c:cat>
          <c:val>
            <c:numRef>
              <c:f>'Descriptive analysis'!$B$16:$B$17</c:f>
              <c:numCache>
                <c:formatCode>General</c:formatCode>
                <c:ptCount val="2"/>
                <c:pt idx="0">
                  <c:v>95</c:v>
                </c:pt>
                <c:pt idx="1">
                  <c:v>305</c:v>
                </c:pt>
              </c:numCache>
            </c:numRef>
          </c:val>
          <c:extLst>
            <c:ext xmlns:c16="http://schemas.microsoft.com/office/drawing/2014/chart" uri="{C3380CC4-5D6E-409C-BE32-E72D297353CC}">
              <c16:uniqueId val="{00000004-B752-4BE1-870A-46984FBA611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NCBR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analysis'!$G$19</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analysis'!$F$20:$F$26</c:f>
              <c:strCache>
                <c:ptCount val="7"/>
                <c:pt idx="0">
                  <c:v>Diamond</c:v>
                </c:pt>
                <c:pt idx="1">
                  <c:v>Silver</c:v>
                </c:pt>
                <c:pt idx="2">
                  <c:v>Platinum</c:v>
                </c:pt>
                <c:pt idx="3">
                  <c:v>Gold</c:v>
                </c:pt>
                <c:pt idx="4">
                  <c:v>Sapphire</c:v>
                </c:pt>
                <c:pt idx="5">
                  <c:v>Ruby</c:v>
                </c:pt>
                <c:pt idx="6">
                  <c:v>None</c:v>
                </c:pt>
              </c:strCache>
            </c:strRef>
          </c:cat>
          <c:val>
            <c:numRef>
              <c:f>'Descriptive analysis'!$G$20:$G$26</c:f>
              <c:numCache>
                <c:formatCode>0%</c:formatCode>
                <c:ptCount val="7"/>
                <c:pt idx="0">
                  <c:v>0.73250000000000004</c:v>
                </c:pt>
                <c:pt idx="1">
                  <c:v>0.14249999999999999</c:v>
                </c:pt>
                <c:pt idx="2">
                  <c:v>4.4999999999999998E-2</c:v>
                </c:pt>
                <c:pt idx="3">
                  <c:v>2.75E-2</c:v>
                </c:pt>
                <c:pt idx="4">
                  <c:v>2.5000000000000001E-2</c:v>
                </c:pt>
                <c:pt idx="5">
                  <c:v>2.2499999999999999E-2</c:v>
                </c:pt>
                <c:pt idx="6">
                  <c:v>5.0000000000000001E-3</c:v>
                </c:pt>
              </c:numCache>
            </c:numRef>
          </c:val>
          <c:extLst>
            <c:ext xmlns:c16="http://schemas.microsoft.com/office/drawing/2014/chart" uri="{C3380CC4-5D6E-409C-BE32-E72D297353CC}">
              <c16:uniqueId val="{00000000-9EAA-4092-AA73-ECF21425B9FD}"/>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NCBR</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a:t>
                </a:r>
                <a:r>
                  <a:rPr lang="en-AU" baseline="0">
                    <a:solidFill>
                      <a:sysClr val="windowText" lastClr="000000"/>
                    </a:solidFill>
                  </a:rPr>
                  <a:t> %</a:t>
                </a:r>
                <a:endParaRPr lang="en-AU">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Customers</a:t>
            </a:r>
            <a:r>
              <a:rPr lang="en-US" sz="1200" baseline="0">
                <a:solidFill>
                  <a:sysClr val="windowText" lastClr="000000"/>
                </a:solidFill>
              </a:rPr>
              <a:t> acrosss</a:t>
            </a:r>
            <a:r>
              <a:rPr lang="en-US" sz="1200">
                <a:solidFill>
                  <a:sysClr val="windowText" lastClr="000000"/>
                </a:solidFill>
              </a:rPr>
              <a:t>Valuation Method</a:t>
            </a:r>
          </a:p>
        </c:rich>
      </c:tx>
      <c:layout>
        <c:manualLayout>
          <c:xMode val="edge"/>
          <c:yMode val="edge"/>
          <c:x val="0.13290648822480808"/>
          <c:y val="2.6178010471204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'Descriptive analysis'!$B$23</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52-4BE1-870A-46984FBA61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52-4BE1-870A-46984FBA6119}"/>
              </c:ext>
            </c:extLst>
          </c:dPt>
          <c:dLbls>
            <c:dLbl>
              <c:idx val="0"/>
              <c:layout>
                <c:manualLayout>
                  <c:x val="0.15358361774744028"/>
                  <c:y val="0.1570680628272251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752-4BE1-870A-46984FBA6119}"/>
                </c:ext>
              </c:extLst>
            </c:dLbl>
            <c:dLbl>
              <c:idx val="1"/>
              <c:layout>
                <c:manualLayout>
                  <c:x val="-0.13651877133105805"/>
                  <c:y val="-0.2617801047120418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752-4BE1-870A-46984FBA6119}"/>
                </c:ext>
              </c:extLst>
            </c:dLbl>
            <c:spPr>
              <a:solidFill>
                <a:sysClr val="window" lastClr="FFFFFF"/>
              </a:solidFill>
              <a:ln>
                <a:solidFill>
                  <a:srgbClr val="131313"/>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'Descriptive analysis'!$A$24:$A$25</c:f>
              <c:strCache>
                <c:ptCount val="2"/>
                <c:pt idx="0">
                  <c:v>Agreed value</c:v>
                </c:pt>
                <c:pt idx="1">
                  <c:v>Market value</c:v>
                </c:pt>
              </c:strCache>
            </c:strRef>
          </c:cat>
          <c:val>
            <c:numRef>
              <c:f>'Descriptive analysis'!$B$24:$B$25</c:f>
              <c:numCache>
                <c:formatCode>General</c:formatCode>
                <c:ptCount val="2"/>
                <c:pt idx="0">
                  <c:v>44</c:v>
                </c:pt>
                <c:pt idx="1">
                  <c:v>356</c:v>
                </c:pt>
              </c:numCache>
            </c:numRef>
          </c:val>
          <c:extLst>
            <c:ext xmlns:c16="http://schemas.microsoft.com/office/drawing/2014/chart" uri="{C3380CC4-5D6E-409C-BE32-E72D297353CC}">
              <c16:uniqueId val="{00000004-B752-4BE1-870A-46984FBA611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Vehicle type insured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analysis'!$G$31</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analysis'!$F$32:$F$35</c:f>
              <c:strCache>
                <c:ptCount val="4"/>
                <c:pt idx="0">
                  <c:v>Family</c:v>
                </c:pt>
                <c:pt idx="1">
                  <c:v>4WD</c:v>
                </c:pt>
                <c:pt idx="2">
                  <c:v>Luxury</c:v>
                </c:pt>
                <c:pt idx="3">
                  <c:v>Sports</c:v>
                </c:pt>
              </c:strCache>
            </c:strRef>
          </c:cat>
          <c:val>
            <c:numRef>
              <c:f>'Descriptive analysis'!$G$32:$G$35</c:f>
              <c:numCache>
                <c:formatCode>0%</c:formatCode>
                <c:ptCount val="4"/>
                <c:pt idx="0">
                  <c:v>0.5675</c:v>
                </c:pt>
                <c:pt idx="1">
                  <c:v>0.155</c:v>
                </c:pt>
                <c:pt idx="2">
                  <c:v>0.155</c:v>
                </c:pt>
                <c:pt idx="3">
                  <c:v>0.1225</c:v>
                </c:pt>
              </c:numCache>
            </c:numRef>
          </c:val>
          <c:extLst>
            <c:ext xmlns:c16="http://schemas.microsoft.com/office/drawing/2014/chart" uri="{C3380CC4-5D6E-409C-BE32-E72D297353CC}">
              <c16:uniqueId val="{00000000-9EAA-4092-AA73-ECF21425B9FD}"/>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Vehicle Type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Customers across insurance brokers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analysis'!$G$46</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analysis'!$F$47:$F$50</c:f>
              <c:strCache>
                <c:ptCount val="4"/>
                <c:pt idx="0">
                  <c:v>iChoose</c:v>
                </c:pt>
                <c:pt idx="1">
                  <c:v>yChoose</c:v>
                </c:pt>
                <c:pt idx="2">
                  <c:v>uChoose</c:v>
                </c:pt>
                <c:pt idx="3">
                  <c:v>vChoose</c:v>
                </c:pt>
              </c:strCache>
            </c:strRef>
          </c:cat>
          <c:val>
            <c:numRef>
              <c:f>'Descriptive analysis'!$G$47:$G$50</c:f>
              <c:numCache>
                <c:formatCode>0%</c:formatCode>
                <c:ptCount val="4"/>
                <c:pt idx="0">
                  <c:v>0.47499999999999998</c:v>
                </c:pt>
                <c:pt idx="1">
                  <c:v>0.24</c:v>
                </c:pt>
                <c:pt idx="2">
                  <c:v>0.18</c:v>
                </c:pt>
                <c:pt idx="3">
                  <c:v>0.105</c:v>
                </c:pt>
              </c:numCache>
            </c:numRef>
          </c:val>
          <c:extLst>
            <c:ext xmlns:c16="http://schemas.microsoft.com/office/drawing/2014/chart" uri="{C3380CC4-5D6E-409C-BE32-E72D297353CC}">
              <c16:uniqueId val="{00000000-9EAA-4092-AA73-ECF21425B9FD}"/>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Insurance</a:t>
                </a:r>
                <a:r>
                  <a:rPr lang="en-AU" baseline="0">
                    <a:solidFill>
                      <a:sysClr val="windowText" lastClr="000000"/>
                    </a:solidFill>
                  </a:rPr>
                  <a:t> Brokers</a:t>
                </a:r>
                <a:endParaRPr lang="en-AU">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Customer across insurers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analysis'!$G$60</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analysis'!$F$61:$F$67</c:f>
              <c:strCache>
                <c:ptCount val="7"/>
                <c:pt idx="0">
                  <c:v>AAMI</c:v>
                </c:pt>
                <c:pt idx="1">
                  <c:v>Youi</c:v>
                </c:pt>
                <c:pt idx="2">
                  <c:v>RACV</c:v>
                </c:pt>
                <c:pt idx="3">
                  <c:v>NRMA</c:v>
                </c:pt>
                <c:pt idx="4">
                  <c:v>Allianze</c:v>
                </c:pt>
                <c:pt idx="5">
                  <c:v>GIO</c:v>
                </c:pt>
                <c:pt idx="6">
                  <c:v>Coles</c:v>
                </c:pt>
              </c:strCache>
            </c:strRef>
          </c:cat>
          <c:val>
            <c:numRef>
              <c:f>'Descriptive analysis'!$G$61:$G$67</c:f>
              <c:numCache>
                <c:formatCode>0%</c:formatCode>
                <c:ptCount val="7"/>
                <c:pt idx="0">
                  <c:v>0.20749999999999999</c:v>
                </c:pt>
                <c:pt idx="1">
                  <c:v>0.16250000000000001</c:v>
                </c:pt>
                <c:pt idx="2">
                  <c:v>0.14499999999999999</c:v>
                </c:pt>
                <c:pt idx="3">
                  <c:v>0.1275</c:v>
                </c:pt>
                <c:pt idx="4">
                  <c:v>0.125</c:v>
                </c:pt>
                <c:pt idx="5">
                  <c:v>0.11749999999999999</c:v>
                </c:pt>
                <c:pt idx="6">
                  <c:v>0.115</c:v>
                </c:pt>
              </c:numCache>
            </c:numRef>
          </c:val>
          <c:extLst>
            <c:ext xmlns:c16="http://schemas.microsoft.com/office/drawing/2014/chart" uri="{C3380CC4-5D6E-409C-BE32-E72D297353CC}">
              <c16:uniqueId val="{00000000-9EAA-4092-AA73-ECF21425B9FD}"/>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Insurer</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Customers Approached Insurance</a:t>
            </a:r>
            <a:r>
              <a:rPr lang="en-US" sz="1200" baseline="0">
                <a:solidFill>
                  <a:sysClr val="windowText" lastClr="000000"/>
                </a:solidFill>
              </a:rPr>
              <a:t> broker</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'Descriptive analysis'!$B$31</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52-4BE1-870A-46984FBA61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52-4BE1-870A-46984FBA6119}"/>
              </c:ext>
            </c:extLst>
          </c:dPt>
          <c:dLbls>
            <c:dLbl>
              <c:idx val="0"/>
              <c:layout>
                <c:manualLayout>
                  <c:x val="0.13083048919226395"/>
                  <c:y val="-0.2382659301095216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752-4BE1-870A-46984FBA6119}"/>
                </c:ext>
              </c:extLst>
            </c:dLbl>
            <c:dLbl>
              <c:idx val="1"/>
              <c:layout>
                <c:manualLayout>
                  <c:x val="-9.6700796359499436E-2"/>
                  <c:y val="8.80494977394841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752-4BE1-870A-46984FBA6119}"/>
                </c:ext>
              </c:extLst>
            </c:dLbl>
            <c:spPr>
              <a:solidFill>
                <a:sysClr val="window" lastClr="FFFFFF"/>
              </a:solidFill>
              <a:ln>
                <a:solidFill>
                  <a:srgbClr val="131313"/>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'Descriptive analysis'!$A$32:$A$33</c:f>
              <c:strCache>
                <c:ptCount val="2"/>
                <c:pt idx="0">
                  <c:v>No</c:v>
                </c:pt>
                <c:pt idx="1">
                  <c:v>Yes</c:v>
                </c:pt>
              </c:strCache>
            </c:strRef>
          </c:cat>
          <c:val>
            <c:numRef>
              <c:f>'Descriptive analysis'!$B$32:$B$33</c:f>
              <c:numCache>
                <c:formatCode>General</c:formatCode>
                <c:ptCount val="2"/>
                <c:pt idx="0">
                  <c:v>331</c:v>
                </c:pt>
                <c:pt idx="1">
                  <c:v>69</c:v>
                </c:pt>
              </c:numCache>
            </c:numRef>
          </c:val>
          <c:extLst>
            <c:ext xmlns:c16="http://schemas.microsoft.com/office/drawing/2014/chart" uri="{C3380CC4-5D6E-409C-BE32-E72D297353CC}">
              <c16:uniqueId val="{00000004-B752-4BE1-870A-46984FBA611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Customer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analysis'!$G$73</c:f>
              <c:strCache>
                <c:ptCount val="1"/>
                <c:pt idx="0">
                  <c:v>Frequency (%)</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'Descriptive analysis'!$F$74:$F$77</c:f>
              <c:strCache>
                <c:ptCount val="4"/>
                <c:pt idx="0">
                  <c:v>Satisfied</c:v>
                </c:pt>
                <c:pt idx="1">
                  <c:v>Very Satisfied</c:v>
                </c:pt>
                <c:pt idx="2">
                  <c:v>Dissatisfied</c:v>
                </c:pt>
                <c:pt idx="3">
                  <c:v>Very Dissatisfied</c:v>
                </c:pt>
              </c:strCache>
            </c:strRef>
          </c:cat>
          <c:val>
            <c:numRef>
              <c:f>'Descriptive analysis'!$G$74:$G$77</c:f>
              <c:numCache>
                <c:formatCode>0%</c:formatCode>
                <c:ptCount val="4"/>
                <c:pt idx="0">
                  <c:v>0.435</c:v>
                </c:pt>
                <c:pt idx="1">
                  <c:v>0.33500000000000002</c:v>
                </c:pt>
                <c:pt idx="2">
                  <c:v>0.14249999999999999</c:v>
                </c:pt>
                <c:pt idx="3">
                  <c:v>8.7499999999999994E-2</c:v>
                </c:pt>
              </c:numCache>
            </c:numRef>
          </c:val>
          <c:extLst>
            <c:ext xmlns:c16="http://schemas.microsoft.com/office/drawing/2014/chart" uri="{C3380CC4-5D6E-409C-BE32-E72D297353CC}">
              <c16:uniqueId val="{00000000-9EAA-4092-AA73-ECF21425B9FD}"/>
            </c:ext>
          </c:extLst>
        </c:ser>
        <c:dLbls>
          <c:showLegendKey val="0"/>
          <c:showVal val="0"/>
          <c:showCatName val="0"/>
          <c:showSerName val="0"/>
          <c:showPercent val="0"/>
          <c:showBubbleSize val="0"/>
        </c:dLbls>
        <c:gapWidth val="219"/>
        <c:overlap val="-27"/>
        <c:axId val="624483272"/>
        <c:axId val="624481960"/>
      </c:barChart>
      <c:catAx>
        <c:axId val="624483272"/>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1960"/>
        <c:crosses val="autoZero"/>
        <c:auto val="1"/>
        <c:lblAlgn val="ctr"/>
        <c:lblOffset val="100"/>
        <c:noMultiLvlLbl val="0"/>
      </c:catAx>
      <c:valAx>
        <c:axId val="62448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448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Driver's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analysis'!$C$38</c:f>
              <c:strCache>
                <c:ptCount val="1"/>
                <c:pt idx="0">
                  <c:v>Frequency %</c:v>
                </c:pt>
              </c:strCache>
            </c:strRef>
          </c:tx>
          <c:spPr>
            <a:solidFill>
              <a:schemeClr val="accent1"/>
            </a:solidFill>
            <a:ln w="12700">
              <a:solidFill>
                <a:schemeClr val="tx1"/>
              </a:solidFill>
            </a:ln>
            <a:effectLst>
              <a:outerShdw blurRad="114300" dist="38100" dir="2700000" algn="tl" rotWithShape="0">
                <a:prstClr val="black">
                  <a:alpha val="40000"/>
                </a:prstClr>
              </a:outerShdw>
              <a:softEdge rad="12700"/>
            </a:effectLst>
          </c:spPr>
          <c:invertIfNegative val="0"/>
          <c:cat>
            <c:numRef>
              <c:f>'Descriptive analysis'!$A$39:$A$52</c:f>
              <c:numCache>
                <c:formatCode>General</c:formatCode>
                <c:ptCount val="14"/>
                <c:pt idx="0">
                  <c:v>18</c:v>
                </c:pt>
                <c:pt idx="1">
                  <c:v>22</c:v>
                </c:pt>
                <c:pt idx="2">
                  <c:v>26</c:v>
                </c:pt>
                <c:pt idx="3">
                  <c:v>30</c:v>
                </c:pt>
                <c:pt idx="4">
                  <c:v>34</c:v>
                </c:pt>
                <c:pt idx="5">
                  <c:v>38</c:v>
                </c:pt>
                <c:pt idx="6">
                  <c:v>42</c:v>
                </c:pt>
                <c:pt idx="7">
                  <c:v>46</c:v>
                </c:pt>
                <c:pt idx="8">
                  <c:v>50</c:v>
                </c:pt>
                <c:pt idx="9">
                  <c:v>54</c:v>
                </c:pt>
                <c:pt idx="10">
                  <c:v>58</c:v>
                </c:pt>
                <c:pt idx="11">
                  <c:v>62</c:v>
                </c:pt>
                <c:pt idx="12">
                  <c:v>66</c:v>
                </c:pt>
                <c:pt idx="13">
                  <c:v>70</c:v>
                </c:pt>
              </c:numCache>
            </c:numRef>
          </c:cat>
          <c:val>
            <c:numRef>
              <c:f>'Descriptive analysis'!$C$39:$C$52</c:f>
              <c:numCache>
                <c:formatCode>0.0%</c:formatCode>
                <c:ptCount val="14"/>
                <c:pt idx="0">
                  <c:v>2.5000000000000001E-3</c:v>
                </c:pt>
                <c:pt idx="1">
                  <c:v>2.5000000000000001E-2</c:v>
                </c:pt>
                <c:pt idx="2">
                  <c:v>7.4999999999999997E-2</c:v>
                </c:pt>
                <c:pt idx="3">
                  <c:v>0.11749999999999999</c:v>
                </c:pt>
                <c:pt idx="4">
                  <c:v>0.11749999999999999</c:v>
                </c:pt>
                <c:pt idx="5">
                  <c:v>0.14000000000000001</c:v>
                </c:pt>
                <c:pt idx="6">
                  <c:v>0.1575</c:v>
                </c:pt>
                <c:pt idx="7">
                  <c:v>0.09</c:v>
                </c:pt>
                <c:pt idx="8">
                  <c:v>7.4999999999999997E-2</c:v>
                </c:pt>
                <c:pt idx="9">
                  <c:v>6.25E-2</c:v>
                </c:pt>
                <c:pt idx="10">
                  <c:v>5.2499999999999998E-2</c:v>
                </c:pt>
                <c:pt idx="11">
                  <c:v>5.5E-2</c:v>
                </c:pt>
                <c:pt idx="12">
                  <c:v>2.5000000000000001E-2</c:v>
                </c:pt>
                <c:pt idx="13">
                  <c:v>5.0000000000000001E-3</c:v>
                </c:pt>
              </c:numCache>
            </c:numRef>
          </c:val>
          <c:extLst>
            <c:ext xmlns:c16="http://schemas.microsoft.com/office/drawing/2014/chart" uri="{C3380CC4-5D6E-409C-BE32-E72D297353CC}">
              <c16:uniqueId val="{00000000-932C-4467-84C2-5C29283EDB10}"/>
            </c:ext>
          </c:extLst>
        </c:ser>
        <c:dLbls>
          <c:showLegendKey val="0"/>
          <c:showVal val="0"/>
          <c:showCatName val="0"/>
          <c:showSerName val="0"/>
          <c:showPercent val="0"/>
          <c:showBubbleSize val="0"/>
        </c:dLbls>
        <c:gapWidth val="0"/>
        <c:axId val="792165384"/>
        <c:axId val="792155544"/>
      </c:barChart>
      <c:catAx>
        <c:axId val="792165384"/>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Age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2155544"/>
        <c:crosses val="autoZero"/>
        <c:auto val="1"/>
        <c:lblAlgn val="ctr"/>
        <c:lblOffset val="100"/>
        <c:noMultiLvlLbl val="0"/>
      </c:catAx>
      <c:valAx>
        <c:axId val="792155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Frequency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2165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Savings ($)</a:t>
            </a:r>
          </a:p>
        </c:rich>
      </c:tx>
      <c:overlay val="0"/>
    </c:title>
    <c:autoTitleDeleted val="0"/>
    <c:plotArea>
      <c:layout/>
      <c:barChart>
        <c:barDir val="col"/>
        <c:grouping val="clustered"/>
        <c:varyColors val="0"/>
        <c:ser>
          <c:idx val="0"/>
          <c:order val="0"/>
          <c:tx>
            <c:v>Frequency</c:v>
          </c:tx>
          <c:spPr>
            <a:solidFill>
              <a:schemeClr val="accent1">
                <a:lumMod val="40000"/>
                <a:lumOff val="60000"/>
              </a:schemeClr>
            </a:solidFill>
            <a:ln w="12700">
              <a:solidFill>
                <a:schemeClr val="tx1"/>
              </a:solidFill>
            </a:ln>
          </c:spPr>
          <c:invertIfNegative val="0"/>
          <c:cat>
            <c:numRef>
              <c:f>Sheet2!$A$2:$A$16</c:f>
              <c:numCache>
                <c:formatCode>General</c:formatCode>
                <c:ptCount val="15"/>
                <c:pt idx="0">
                  <c:v>0</c:v>
                </c:pt>
                <c:pt idx="1">
                  <c:v>150</c:v>
                </c:pt>
                <c:pt idx="2">
                  <c:v>300</c:v>
                </c:pt>
                <c:pt idx="3">
                  <c:v>450</c:v>
                </c:pt>
                <c:pt idx="4">
                  <c:v>600</c:v>
                </c:pt>
                <c:pt idx="5">
                  <c:v>750</c:v>
                </c:pt>
                <c:pt idx="6">
                  <c:v>900</c:v>
                </c:pt>
                <c:pt idx="7">
                  <c:v>1050</c:v>
                </c:pt>
                <c:pt idx="8">
                  <c:v>1200</c:v>
                </c:pt>
                <c:pt idx="9">
                  <c:v>1350</c:v>
                </c:pt>
                <c:pt idx="10">
                  <c:v>1500</c:v>
                </c:pt>
                <c:pt idx="11">
                  <c:v>1650</c:v>
                </c:pt>
                <c:pt idx="12">
                  <c:v>1800</c:v>
                </c:pt>
                <c:pt idx="13">
                  <c:v>1950</c:v>
                </c:pt>
                <c:pt idx="14">
                  <c:v>2100</c:v>
                </c:pt>
              </c:numCache>
            </c:numRef>
          </c:cat>
          <c:val>
            <c:numRef>
              <c:f>Sheet2!$C$2:$C$16</c:f>
              <c:numCache>
                <c:formatCode>0.00%</c:formatCode>
                <c:ptCount val="15"/>
                <c:pt idx="0">
                  <c:v>0.24249999999999999</c:v>
                </c:pt>
                <c:pt idx="1">
                  <c:v>0.33250000000000002</c:v>
                </c:pt>
                <c:pt idx="2">
                  <c:v>0.125</c:v>
                </c:pt>
                <c:pt idx="3">
                  <c:v>0.13500000000000001</c:v>
                </c:pt>
                <c:pt idx="4">
                  <c:v>5.2499999999999998E-2</c:v>
                </c:pt>
                <c:pt idx="5">
                  <c:v>4.2500000000000003E-2</c:v>
                </c:pt>
                <c:pt idx="6">
                  <c:v>0.02</c:v>
                </c:pt>
                <c:pt idx="7">
                  <c:v>1.4999999999999999E-2</c:v>
                </c:pt>
                <c:pt idx="8">
                  <c:v>1.4999999999999999E-2</c:v>
                </c:pt>
                <c:pt idx="9">
                  <c:v>0.01</c:v>
                </c:pt>
                <c:pt idx="10">
                  <c:v>0</c:v>
                </c:pt>
                <c:pt idx="11">
                  <c:v>2.5000000000000001E-3</c:v>
                </c:pt>
                <c:pt idx="12">
                  <c:v>5.0000000000000001E-3</c:v>
                </c:pt>
                <c:pt idx="13">
                  <c:v>0</c:v>
                </c:pt>
                <c:pt idx="14">
                  <c:v>2.5000000000000001E-3</c:v>
                </c:pt>
              </c:numCache>
            </c:numRef>
          </c:val>
          <c:extLst>
            <c:ext xmlns:c16="http://schemas.microsoft.com/office/drawing/2014/chart" uri="{C3380CC4-5D6E-409C-BE32-E72D297353CC}">
              <c16:uniqueId val="{00000000-B098-4AEF-9937-5A804DBE3EF3}"/>
            </c:ext>
          </c:extLst>
        </c:ser>
        <c:dLbls>
          <c:showLegendKey val="0"/>
          <c:showVal val="0"/>
          <c:showCatName val="0"/>
          <c:showSerName val="0"/>
          <c:showPercent val="0"/>
          <c:showBubbleSize val="0"/>
        </c:dLbls>
        <c:gapWidth val="0"/>
        <c:axId val="587824784"/>
        <c:axId val="587820192"/>
      </c:barChart>
      <c:catAx>
        <c:axId val="587824784"/>
        <c:scaling>
          <c:orientation val="minMax"/>
        </c:scaling>
        <c:delete val="0"/>
        <c:axPos val="b"/>
        <c:title>
          <c:tx>
            <c:rich>
              <a:bodyPr/>
              <a:lstStyle/>
              <a:p>
                <a:pPr>
                  <a:defRPr/>
                </a:pPr>
                <a:r>
                  <a:rPr lang="en-AU"/>
                  <a:t>Amount ($)</a:t>
                </a:r>
              </a:p>
            </c:rich>
          </c:tx>
          <c:overlay val="0"/>
        </c:title>
        <c:numFmt formatCode="General" sourceLinked="1"/>
        <c:majorTickMark val="out"/>
        <c:minorTickMark val="none"/>
        <c:tickLblPos val="nextTo"/>
        <c:crossAx val="587820192"/>
        <c:crosses val="autoZero"/>
        <c:auto val="1"/>
        <c:lblAlgn val="ctr"/>
        <c:lblOffset val="100"/>
        <c:noMultiLvlLbl val="0"/>
      </c:catAx>
      <c:valAx>
        <c:axId val="587820192"/>
        <c:scaling>
          <c:orientation val="minMax"/>
        </c:scaling>
        <c:delete val="0"/>
        <c:axPos val="l"/>
        <c:title>
          <c:tx>
            <c:rich>
              <a:bodyPr/>
              <a:lstStyle/>
              <a:p>
                <a:pPr>
                  <a:defRPr/>
                </a:pPr>
                <a:r>
                  <a:rPr lang="en-AU"/>
                  <a:t>Frequency %</a:t>
                </a:r>
              </a:p>
            </c:rich>
          </c:tx>
          <c:overlay val="0"/>
        </c:title>
        <c:numFmt formatCode="0.00%" sourceLinked="1"/>
        <c:majorTickMark val="out"/>
        <c:minorTickMark val="none"/>
        <c:tickLblPos val="nextTo"/>
        <c:crossAx val="58782478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w="6350"/>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savings across brokers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223671259842519"/>
          <c:y val="0.20537098560354375"/>
          <c:w val="0.6943542213473316"/>
          <c:h val="0.54876352665219175"/>
        </c:manualLayout>
      </c:layout>
      <c:barChart>
        <c:barDir val="col"/>
        <c:grouping val="clustered"/>
        <c:varyColors val="0"/>
        <c:ser>
          <c:idx val="0"/>
          <c:order val="0"/>
          <c:tx>
            <c:strRef>
              <c:f>'Descriptive analysis charts'!$A$2</c:f>
              <c:strCache>
                <c:ptCount val="1"/>
                <c:pt idx="0">
                  <c:v>Average Savings</c:v>
                </c:pt>
              </c:strCache>
            </c:strRef>
          </c:tx>
          <c:spPr>
            <a:solidFill>
              <a:schemeClr val="accent1"/>
            </a:solidFill>
            <a:ln>
              <a:noFill/>
            </a:ln>
            <a:effectLst/>
          </c:spPr>
          <c:invertIfNegative val="0"/>
          <c:cat>
            <c:strRef>
              <c:f>'Descriptive analysis charts'!$B$1:$E$1</c:f>
              <c:strCache>
                <c:ptCount val="4"/>
                <c:pt idx="0">
                  <c:v>iChoose</c:v>
                </c:pt>
                <c:pt idx="1">
                  <c:v>uChoose</c:v>
                </c:pt>
                <c:pt idx="2">
                  <c:v>vChoose</c:v>
                </c:pt>
                <c:pt idx="3">
                  <c:v>yChoose</c:v>
                </c:pt>
              </c:strCache>
            </c:strRef>
          </c:cat>
          <c:val>
            <c:numRef>
              <c:f>'Descriptive analysis charts'!$B$2:$E$2</c:f>
              <c:numCache>
                <c:formatCode>0.00</c:formatCode>
                <c:ptCount val="4"/>
                <c:pt idx="0">
                  <c:v>262.44210526315788</c:v>
                </c:pt>
                <c:pt idx="1">
                  <c:v>230.84722222222223</c:v>
                </c:pt>
                <c:pt idx="2">
                  <c:v>137.38095238095238</c:v>
                </c:pt>
                <c:pt idx="3">
                  <c:v>204.1875</c:v>
                </c:pt>
              </c:numCache>
            </c:numRef>
          </c:val>
          <c:extLst>
            <c:ext xmlns:c16="http://schemas.microsoft.com/office/drawing/2014/chart" uri="{C3380CC4-5D6E-409C-BE32-E72D297353CC}">
              <c16:uniqueId val="{00000000-3E7F-4929-88A8-3AB49341A4EB}"/>
            </c:ext>
          </c:extLst>
        </c:ser>
        <c:dLbls>
          <c:showLegendKey val="0"/>
          <c:showVal val="0"/>
          <c:showCatName val="0"/>
          <c:showSerName val="0"/>
          <c:showPercent val="0"/>
          <c:showBubbleSize val="0"/>
        </c:dLbls>
        <c:gapWidth val="219"/>
        <c:overlap val="-27"/>
        <c:axId val="749445840"/>
        <c:axId val="749447480"/>
      </c:barChart>
      <c:catAx>
        <c:axId val="74944584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Broker</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9447480"/>
        <c:crosses val="autoZero"/>
        <c:auto val="1"/>
        <c:lblAlgn val="ctr"/>
        <c:lblOffset val="100"/>
        <c:noMultiLvlLbl val="0"/>
      </c:catAx>
      <c:valAx>
        <c:axId val="749447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9445840"/>
        <c:crosses val="autoZero"/>
        <c:crossBetween val="between"/>
      </c:valAx>
      <c:spPr>
        <a:noFill/>
        <a:ln>
          <a:noFill/>
        </a:ln>
        <a:effectLst/>
      </c:spPr>
    </c:plotArea>
    <c:legend>
      <c:legendPos val="r"/>
      <c:layout>
        <c:manualLayout>
          <c:xMode val="edge"/>
          <c:yMode val="edge"/>
          <c:x val="5.5896489501312291E-2"/>
          <c:y val="0.87988594448949686"/>
          <c:w val="0.21597984724227812"/>
          <c:h val="9.3439192193999016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Average savings  Area and Customer Satisfaction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charts'!$G$2</c:f>
              <c:strCache>
                <c:ptCount val="1"/>
                <c:pt idx="0">
                  <c:v>Urban</c:v>
                </c:pt>
              </c:strCache>
            </c:strRef>
          </c:tx>
          <c:spPr>
            <a:solidFill>
              <a:schemeClr val="accent1"/>
            </a:solidFill>
            <a:ln>
              <a:noFill/>
            </a:ln>
            <a:effectLst/>
          </c:spPr>
          <c:invertIfNegative val="0"/>
          <c:cat>
            <c:strRef>
              <c:f>'Descriptive analysis charts'!$H$1:$K$1</c:f>
              <c:strCache>
                <c:ptCount val="4"/>
                <c:pt idx="0">
                  <c:v>Very Dissatisfied</c:v>
                </c:pt>
                <c:pt idx="1">
                  <c:v>Dissatisfied</c:v>
                </c:pt>
                <c:pt idx="2">
                  <c:v>Satisfied</c:v>
                </c:pt>
                <c:pt idx="3">
                  <c:v>Very Satisfied</c:v>
                </c:pt>
              </c:strCache>
            </c:strRef>
          </c:cat>
          <c:val>
            <c:numRef>
              <c:f>'Descriptive analysis charts'!$H$2:$K$2</c:f>
              <c:numCache>
                <c:formatCode>0.0</c:formatCode>
                <c:ptCount val="4"/>
                <c:pt idx="0">
                  <c:v>113.08</c:v>
                </c:pt>
                <c:pt idx="1">
                  <c:v>68.32352941176471</c:v>
                </c:pt>
                <c:pt idx="2">
                  <c:v>241.81690140845072</c:v>
                </c:pt>
                <c:pt idx="3">
                  <c:v>326.96153846153845</c:v>
                </c:pt>
              </c:numCache>
            </c:numRef>
          </c:val>
          <c:extLst>
            <c:ext xmlns:c16="http://schemas.microsoft.com/office/drawing/2014/chart" uri="{C3380CC4-5D6E-409C-BE32-E72D297353CC}">
              <c16:uniqueId val="{00000000-80A8-4ECB-8C4A-65A7EFD5DA76}"/>
            </c:ext>
          </c:extLst>
        </c:ser>
        <c:ser>
          <c:idx val="1"/>
          <c:order val="1"/>
          <c:tx>
            <c:strRef>
              <c:f>'Descriptive analysis charts'!$G$3</c:f>
              <c:strCache>
                <c:ptCount val="1"/>
                <c:pt idx="0">
                  <c:v>Rural</c:v>
                </c:pt>
              </c:strCache>
            </c:strRef>
          </c:tx>
          <c:spPr>
            <a:solidFill>
              <a:schemeClr val="accent2"/>
            </a:solidFill>
            <a:ln>
              <a:noFill/>
            </a:ln>
            <a:effectLst/>
          </c:spPr>
          <c:invertIfNegative val="0"/>
          <c:cat>
            <c:strRef>
              <c:f>'Descriptive analysis charts'!$H$1:$K$1</c:f>
              <c:strCache>
                <c:ptCount val="4"/>
                <c:pt idx="0">
                  <c:v>Very Dissatisfied</c:v>
                </c:pt>
                <c:pt idx="1">
                  <c:v>Dissatisfied</c:v>
                </c:pt>
                <c:pt idx="2">
                  <c:v>Satisfied</c:v>
                </c:pt>
                <c:pt idx="3">
                  <c:v>Very Satisfied</c:v>
                </c:pt>
              </c:strCache>
            </c:strRef>
          </c:cat>
          <c:val>
            <c:numRef>
              <c:f>'Descriptive analysis charts'!$H$3:$K$3</c:f>
              <c:numCache>
                <c:formatCode>0.0</c:formatCode>
                <c:ptCount val="4"/>
                <c:pt idx="0">
                  <c:v>80.2</c:v>
                </c:pt>
                <c:pt idx="1">
                  <c:v>38.695652173913047</c:v>
                </c:pt>
                <c:pt idx="2">
                  <c:v>241.6875</c:v>
                </c:pt>
                <c:pt idx="3">
                  <c:v>297.96666666666664</c:v>
                </c:pt>
              </c:numCache>
            </c:numRef>
          </c:val>
          <c:extLst>
            <c:ext xmlns:c16="http://schemas.microsoft.com/office/drawing/2014/chart" uri="{C3380CC4-5D6E-409C-BE32-E72D297353CC}">
              <c16:uniqueId val="{00000001-80A8-4ECB-8C4A-65A7EFD5DA76}"/>
            </c:ext>
          </c:extLst>
        </c:ser>
        <c:dLbls>
          <c:showLegendKey val="0"/>
          <c:showVal val="0"/>
          <c:showCatName val="0"/>
          <c:showSerName val="0"/>
          <c:showPercent val="0"/>
          <c:showBubbleSize val="0"/>
        </c:dLbls>
        <c:gapWidth val="219"/>
        <c:overlap val="-27"/>
        <c:axId val="812391248"/>
        <c:axId val="812393872"/>
      </c:barChart>
      <c:catAx>
        <c:axId val="81239124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Customer satisfaction</a:t>
                </a:r>
                <a:r>
                  <a:rPr lang="en-AU" baseline="0">
                    <a:solidFill>
                      <a:sysClr val="windowText" lastClr="000000"/>
                    </a:solidFill>
                  </a:rPr>
                  <a:t> rating</a:t>
                </a:r>
                <a:endParaRPr lang="en-AU">
                  <a:solidFill>
                    <a:sysClr val="windowText" lastClr="000000"/>
                  </a:solidFill>
                </a:endParaRPr>
              </a:p>
            </c:rich>
          </c:tx>
          <c:layout>
            <c:manualLayout>
              <c:xMode val="edge"/>
              <c:yMode val="edge"/>
              <c:x val="0.33138317387745886"/>
              <c:y val="0.78347666916275249"/>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2393872"/>
        <c:crosses val="autoZero"/>
        <c:auto val="1"/>
        <c:lblAlgn val="ctr"/>
        <c:lblOffset val="100"/>
        <c:noMultiLvlLbl val="0"/>
      </c:catAx>
      <c:valAx>
        <c:axId val="812393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239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Proportion</a:t>
            </a:r>
            <a:r>
              <a:rPr lang="en-AU" baseline="0">
                <a:solidFill>
                  <a:sysClr val="windowText" lastClr="000000"/>
                </a:solidFill>
              </a:rPr>
              <a:t> male and females across NCBR</a:t>
            </a:r>
            <a:endParaRPr lang="en-AU">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charts'!$M$2</c:f>
              <c:strCache>
                <c:ptCount val="1"/>
                <c:pt idx="0">
                  <c:v>Male</c:v>
                </c:pt>
              </c:strCache>
            </c:strRef>
          </c:tx>
          <c:spPr>
            <a:solidFill>
              <a:schemeClr val="accent1"/>
            </a:solidFill>
            <a:ln>
              <a:noFill/>
            </a:ln>
            <a:effectLst/>
          </c:spPr>
          <c:invertIfNegative val="0"/>
          <c:cat>
            <c:strRef>
              <c:f>'Descriptive analysis charts'!$N$1:$T$1</c:f>
              <c:strCache>
                <c:ptCount val="7"/>
                <c:pt idx="0">
                  <c:v>Diamond</c:v>
                </c:pt>
                <c:pt idx="1">
                  <c:v>Gold</c:v>
                </c:pt>
                <c:pt idx="2">
                  <c:v>Platinum</c:v>
                </c:pt>
                <c:pt idx="3">
                  <c:v>Ruby</c:v>
                </c:pt>
                <c:pt idx="4">
                  <c:v>Sapphire</c:v>
                </c:pt>
                <c:pt idx="5">
                  <c:v>Silver</c:v>
                </c:pt>
                <c:pt idx="6">
                  <c:v>None</c:v>
                </c:pt>
              </c:strCache>
            </c:strRef>
          </c:cat>
          <c:val>
            <c:numRef>
              <c:f>'Descriptive analysis charts'!$N$2:$T$2</c:f>
              <c:numCache>
                <c:formatCode>0.00%</c:formatCode>
                <c:ptCount val="7"/>
                <c:pt idx="0">
                  <c:v>0.46500000000000002</c:v>
                </c:pt>
                <c:pt idx="1">
                  <c:v>1.7500000000000002E-2</c:v>
                </c:pt>
                <c:pt idx="2">
                  <c:v>2.2499999999999999E-2</c:v>
                </c:pt>
                <c:pt idx="3">
                  <c:v>1.4999999999999999E-2</c:v>
                </c:pt>
                <c:pt idx="4">
                  <c:v>0.01</c:v>
                </c:pt>
                <c:pt idx="5">
                  <c:v>4.7500000000000001E-2</c:v>
                </c:pt>
                <c:pt idx="6">
                  <c:v>5.0000000000000001E-3</c:v>
                </c:pt>
              </c:numCache>
            </c:numRef>
          </c:val>
          <c:extLst>
            <c:ext xmlns:c16="http://schemas.microsoft.com/office/drawing/2014/chart" uri="{C3380CC4-5D6E-409C-BE32-E72D297353CC}">
              <c16:uniqueId val="{00000000-7734-45DC-9978-9567EC683087}"/>
            </c:ext>
          </c:extLst>
        </c:ser>
        <c:ser>
          <c:idx val="1"/>
          <c:order val="1"/>
          <c:tx>
            <c:strRef>
              <c:f>'Descriptive analysis charts'!$M$3</c:f>
              <c:strCache>
                <c:ptCount val="1"/>
                <c:pt idx="0">
                  <c:v>Female</c:v>
                </c:pt>
              </c:strCache>
            </c:strRef>
          </c:tx>
          <c:spPr>
            <a:solidFill>
              <a:schemeClr val="accent2"/>
            </a:solidFill>
            <a:ln>
              <a:noFill/>
            </a:ln>
            <a:effectLst/>
          </c:spPr>
          <c:invertIfNegative val="0"/>
          <c:cat>
            <c:strRef>
              <c:f>'Descriptive analysis charts'!$N$1:$T$1</c:f>
              <c:strCache>
                <c:ptCount val="7"/>
                <c:pt idx="0">
                  <c:v>Diamond</c:v>
                </c:pt>
                <c:pt idx="1">
                  <c:v>Gold</c:v>
                </c:pt>
                <c:pt idx="2">
                  <c:v>Platinum</c:v>
                </c:pt>
                <c:pt idx="3">
                  <c:v>Ruby</c:v>
                </c:pt>
                <c:pt idx="4">
                  <c:v>Sapphire</c:v>
                </c:pt>
                <c:pt idx="5">
                  <c:v>Silver</c:v>
                </c:pt>
                <c:pt idx="6">
                  <c:v>None</c:v>
                </c:pt>
              </c:strCache>
            </c:strRef>
          </c:cat>
          <c:val>
            <c:numRef>
              <c:f>'Descriptive analysis charts'!$N$3:$T$3</c:f>
              <c:numCache>
                <c:formatCode>0.00%</c:formatCode>
                <c:ptCount val="7"/>
                <c:pt idx="0">
                  <c:v>0.26750000000000002</c:v>
                </c:pt>
                <c:pt idx="1">
                  <c:v>0.01</c:v>
                </c:pt>
                <c:pt idx="2">
                  <c:v>2.2499999999999999E-2</c:v>
                </c:pt>
                <c:pt idx="3">
                  <c:v>7.4999999999999997E-3</c:v>
                </c:pt>
                <c:pt idx="4">
                  <c:v>1.4999999999999999E-2</c:v>
                </c:pt>
                <c:pt idx="5">
                  <c:v>9.5000000000000001E-2</c:v>
                </c:pt>
                <c:pt idx="6">
                  <c:v>0</c:v>
                </c:pt>
              </c:numCache>
            </c:numRef>
          </c:val>
          <c:extLst>
            <c:ext xmlns:c16="http://schemas.microsoft.com/office/drawing/2014/chart" uri="{C3380CC4-5D6E-409C-BE32-E72D297353CC}">
              <c16:uniqueId val="{00000001-7734-45DC-9978-9567EC683087}"/>
            </c:ext>
          </c:extLst>
        </c:ser>
        <c:dLbls>
          <c:showLegendKey val="0"/>
          <c:showVal val="0"/>
          <c:showCatName val="0"/>
          <c:showSerName val="0"/>
          <c:showPercent val="0"/>
          <c:showBubbleSize val="0"/>
        </c:dLbls>
        <c:gapWidth val="219"/>
        <c:overlap val="-27"/>
        <c:axId val="746545528"/>
        <c:axId val="746542576"/>
      </c:barChart>
      <c:catAx>
        <c:axId val="74654552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NCBR</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6542576"/>
        <c:crosses val="autoZero"/>
        <c:auto val="1"/>
        <c:lblAlgn val="ctr"/>
        <c:lblOffset val="100"/>
        <c:noMultiLvlLbl val="0"/>
      </c:catAx>
      <c:valAx>
        <c:axId val="74654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6545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savings across valuation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charts'!$B$18</c:f>
              <c:strCache>
                <c:ptCount val="1"/>
                <c:pt idx="0">
                  <c:v>Average Savings</c:v>
                </c:pt>
              </c:strCache>
            </c:strRef>
          </c:tx>
          <c:spPr>
            <a:solidFill>
              <a:schemeClr val="accent1"/>
            </a:solidFill>
            <a:ln>
              <a:noFill/>
            </a:ln>
            <a:effectLst/>
          </c:spPr>
          <c:invertIfNegative val="0"/>
          <c:cat>
            <c:strRef>
              <c:f>'Descriptive analysis charts'!$A$19:$A$20</c:f>
              <c:strCache>
                <c:ptCount val="2"/>
                <c:pt idx="0">
                  <c:v>Agreed Value</c:v>
                </c:pt>
                <c:pt idx="1">
                  <c:v>Market Value</c:v>
                </c:pt>
              </c:strCache>
            </c:strRef>
          </c:cat>
          <c:val>
            <c:numRef>
              <c:f>'Descriptive analysis charts'!$B$19:$B$20</c:f>
              <c:numCache>
                <c:formatCode>0.00</c:formatCode>
                <c:ptCount val="2"/>
                <c:pt idx="0">
                  <c:v>360.63636363636363</c:v>
                </c:pt>
                <c:pt idx="1">
                  <c:v>213.45224719101122</c:v>
                </c:pt>
              </c:numCache>
            </c:numRef>
          </c:val>
          <c:extLst>
            <c:ext xmlns:c16="http://schemas.microsoft.com/office/drawing/2014/chart" uri="{C3380CC4-5D6E-409C-BE32-E72D297353CC}">
              <c16:uniqueId val="{00000000-8561-4629-841C-424AD9AF7315}"/>
            </c:ext>
          </c:extLst>
        </c:ser>
        <c:dLbls>
          <c:showLegendKey val="0"/>
          <c:showVal val="0"/>
          <c:showCatName val="0"/>
          <c:showSerName val="0"/>
          <c:showPercent val="0"/>
          <c:showBubbleSize val="0"/>
        </c:dLbls>
        <c:gapWidth val="219"/>
        <c:overlap val="-27"/>
        <c:axId val="576623328"/>
        <c:axId val="576624312"/>
      </c:barChart>
      <c:catAx>
        <c:axId val="57662332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Valuation method</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6624312"/>
        <c:crosses val="autoZero"/>
        <c:auto val="1"/>
        <c:lblAlgn val="ctr"/>
        <c:lblOffset val="100"/>
        <c:noMultiLvlLbl val="0"/>
      </c:catAx>
      <c:valAx>
        <c:axId val="576624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66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savings across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charts'!$H$18</c:f>
              <c:strCache>
                <c:ptCount val="1"/>
                <c:pt idx="0">
                  <c:v>Average savings</c:v>
                </c:pt>
              </c:strCache>
            </c:strRef>
          </c:tx>
          <c:spPr>
            <a:solidFill>
              <a:schemeClr val="accent1"/>
            </a:solidFill>
            <a:ln>
              <a:noFill/>
            </a:ln>
            <a:effectLst/>
          </c:spPr>
          <c:invertIfNegative val="0"/>
          <c:cat>
            <c:strRef>
              <c:f>'Descriptive analysis charts'!$G$19:$G$26</c:f>
              <c:strCache>
                <c:ptCount val="8"/>
                <c:pt idx="0">
                  <c:v>New South Wales</c:v>
                </c:pt>
                <c:pt idx="1">
                  <c:v>Victoria</c:v>
                </c:pt>
                <c:pt idx="2">
                  <c:v>Queensland</c:v>
                </c:pt>
                <c:pt idx="3">
                  <c:v>South Australia</c:v>
                </c:pt>
                <c:pt idx="4">
                  <c:v>Tasmania</c:v>
                </c:pt>
                <c:pt idx="5">
                  <c:v>Western Australia</c:v>
                </c:pt>
                <c:pt idx="6">
                  <c:v>Northern Territory</c:v>
                </c:pt>
                <c:pt idx="7">
                  <c:v>Australian Capital Territory</c:v>
                </c:pt>
              </c:strCache>
            </c:strRef>
          </c:cat>
          <c:val>
            <c:numRef>
              <c:f>'Descriptive analysis charts'!$H$19:$H$26</c:f>
              <c:numCache>
                <c:formatCode>0.00</c:formatCode>
                <c:ptCount val="8"/>
                <c:pt idx="0">
                  <c:v>266.95275590551182</c:v>
                </c:pt>
                <c:pt idx="1">
                  <c:v>242.3370786516854</c:v>
                </c:pt>
                <c:pt idx="2">
                  <c:v>240.36065573770492</c:v>
                </c:pt>
                <c:pt idx="3">
                  <c:v>205.25531914893617</c:v>
                </c:pt>
                <c:pt idx="4">
                  <c:v>187.23076923076923</c:v>
                </c:pt>
                <c:pt idx="5">
                  <c:v>175.91666666666666</c:v>
                </c:pt>
                <c:pt idx="6">
                  <c:v>153.73333333333332</c:v>
                </c:pt>
                <c:pt idx="7">
                  <c:v>83.666666666666671</c:v>
                </c:pt>
              </c:numCache>
            </c:numRef>
          </c:val>
          <c:extLst>
            <c:ext xmlns:c16="http://schemas.microsoft.com/office/drawing/2014/chart" uri="{C3380CC4-5D6E-409C-BE32-E72D297353CC}">
              <c16:uniqueId val="{00000000-6A11-497C-A3EC-3E691CBF974E}"/>
            </c:ext>
          </c:extLst>
        </c:ser>
        <c:dLbls>
          <c:showLegendKey val="0"/>
          <c:showVal val="0"/>
          <c:showCatName val="0"/>
          <c:showSerName val="0"/>
          <c:showPercent val="0"/>
          <c:showBubbleSize val="0"/>
        </c:dLbls>
        <c:gapWidth val="219"/>
        <c:overlap val="-27"/>
        <c:axId val="816187536"/>
        <c:axId val="816189832"/>
      </c:barChart>
      <c:catAx>
        <c:axId val="816187536"/>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State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6189832"/>
        <c:crosses val="autoZero"/>
        <c:auto val="1"/>
        <c:lblAlgn val="ctr"/>
        <c:lblOffset val="100"/>
        <c:noMultiLvlLbl val="0"/>
      </c:catAx>
      <c:valAx>
        <c:axId val="816189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8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savings across vehicl</a:t>
            </a:r>
            <a:r>
              <a:rPr lang="en-US" baseline="0">
                <a:solidFill>
                  <a:sysClr val="windowText" lastClr="000000"/>
                </a:solidFill>
              </a:rPr>
              <a:t>e type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charts'!$A$39</c:f>
              <c:strCache>
                <c:ptCount val="1"/>
                <c:pt idx="0">
                  <c:v>Average savings</c:v>
                </c:pt>
              </c:strCache>
            </c:strRef>
          </c:tx>
          <c:spPr>
            <a:solidFill>
              <a:schemeClr val="accent1"/>
            </a:solidFill>
            <a:ln>
              <a:noFill/>
            </a:ln>
            <a:effectLst/>
          </c:spPr>
          <c:invertIfNegative val="0"/>
          <c:cat>
            <c:strRef>
              <c:f>'Descriptive analysis charts'!$B$38:$E$38</c:f>
              <c:strCache>
                <c:ptCount val="4"/>
                <c:pt idx="0">
                  <c:v>4WD</c:v>
                </c:pt>
                <c:pt idx="1">
                  <c:v>Luxury</c:v>
                </c:pt>
                <c:pt idx="2">
                  <c:v>Family</c:v>
                </c:pt>
                <c:pt idx="3">
                  <c:v>Sports</c:v>
                </c:pt>
              </c:strCache>
            </c:strRef>
          </c:cat>
          <c:val>
            <c:numRef>
              <c:f>'Descriptive analysis charts'!$B$39:$E$39</c:f>
              <c:numCache>
                <c:formatCode>0.00</c:formatCode>
                <c:ptCount val="4"/>
                <c:pt idx="0">
                  <c:v>285.64516129032256</c:v>
                </c:pt>
                <c:pt idx="1">
                  <c:v>507.91935483870969</c:v>
                </c:pt>
                <c:pt idx="2">
                  <c:v>38.374449339207047</c:v>
                </c:pt>
                <c:pt idx="3">
                  <c:v>692.75510204081638</c:v>
                </c:pt>
              </c:numCache>
            </c:numRef>
          </c:val>
          <c:extLst>
            <c:ext xmlns:c16="http://schemas.microsoft.com/office/drawing/2014/chart" uri="{C3380CC4-5D6E-409C-BE32-E72D297353CC}">
              <c16:uniqueId val="{00000000-AD66-410D-A8FA-8DF3A366F196}"/>
            </c:ext>
          </c:extLst>
        </c:ser>
        <c:dLbls>
          <c:showLegendKey val="0"/>
          <c:showVal val="0"/>
          <c:showCatName val="0"/>
          <c:showSerName val="0"/>
          <c:showPercent val="0"/>
          <c:showBubbleSize val="0"/>
        </c:dLbls>
        <c:gapWidth val="219"/>
        <c:overlap val="-27"/>
        <c:axId val="816194096"/>
        <c:axId val="816189504"/>
      </c:barChart>
      <c:catAx>
        <c:axId val="816194096"/>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Vehicle Type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16189504"/>
        <c:crosses val="autoZero"/>
        <c:auto val="1"/>
        <c:lblAlgn val="ctr"/>
        <c:lblOffset val="100"/>
        <c:noMultiLvlLbl val="0"/>
      </c:catAx>
      <c:valAx>
        <c:axId val="81618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19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Broker</a:t>
            </a:r>
            <a:r>
              <a:rPr lang="en-AU" baseline="0">
                <a:solidFill>
                  <a:sysClr val="windowText" lastClr="000000"/>
                </a:solidFill>
              </a:rPr>
              <a:t> wise customer satisfaction percentage</a:t>
            </a:r>
            <a:endParaRPr lang="en-AU">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'Descriptive analysis charts'!$G$39</c:f>
              <c:strCache>
                <c:ptCount val="1"/>
                <c:pt idx="0">
                  <c:v>iChoose</c:v>
                </c:pt>
              </c:strCache>
            </c:strRef>
          </c:tx>
          <c:spPr>
            <a:solidFill>
              <a:schemeClr val="accent1"/>
            </a:solidFill>
            <a:ln>
              <a:noFill/>
            </a:ln>
            <a:effectLst/>
          </c:spPr>
          <c:invertIfNegative val="0"/>
          <c:cat>
            <c:strRef>
              <c:f>'Descriptive analysis charts'!$H$38:$K$38</c:f>
              <c:strCache>
                <c:ptCount val="4"/>
                <c:pt idx="0">
                  <c:v>Very Dissatisfied</c:v>
                </c:pt>
                <c:pt idx="1">
                  <c:v>Dissatisfied</c:v>
                </c:pt>
                <c:pt idx="2">
                  <c:v>Satisfied</c:v>
                </c:pt>
                <c:pt idx="3">
                  <c:v>Very Satisfied</c:v>
                </c:pt>
              </c:strCache>
            </c:strRef>
          </c:cat>
          <c:val>
            <c:numRef>
              <c:f>'Descriptive analysis charts'!$H$39:$K$39</c:f>
              <c:numCache>
                <c:formatCode>0%</c:formatCode>
                <c:ptCount val="4"/>
                <c:pt idx="0">
                  <c:v>0.1</c:v>
                </c:pt>
                <c:pt idx="1">
                  <c:v>0.14210526315789473</c:v>
                </c:pt>
                <c:pt idx="2">
                  <c:v>0.43157894736842106</c:v>
                </c:pt>
                <c:pt idx="3">
                  <c:v>0.32631578947368423</c:v>
                </c:pt>
              </c:numCache>
            </c:numRef>
          </c:val>
          <c:extLst>
            <c:ext xmlns:c16="http://schemas.microsoft.com/office/drawing/2014/chart" uri="{C3380CC4-5D6E-409C-BE32-E72D297353CC}">
              <c16:uniqueId val="{00000000-C0B6-4DEF-9D19-063CBD170921}"/>
            </c:ext>
          </c:extLst>
        </c:ser>
        <c:ser>
          <c:idx val="1"/>
          <c:order val="1"/>
          <c:tx>
            <c:strRef>
              <c:f>'Descriptive analysis charts'!$G$40</c:f>
              <c:strCache>
                <c:ptCount val="1"/>
                <c:pt idx="0">
                  <c:v>uChoose</c:v>
                </c:pt>
              </c:strCache>
            </c:strRef>
          </c:tx>
          <c:spPr>
            <a:solidFill>
              <a:schemeClr val="accent2"/>
            </a:solidFill>
            <a:ln>
              <a:noFill/>
            </a:ln>
            <a:effectLst/>
          </c:spPr>
          <c:invertIfNegative val="0"/>
          <c:cat>
            <c:strRef>
              <c:f>'Descriptive analysis charts'!$H$38:$K$38</c:f>
              <c:strCache>
                <c:ptCount val="4"/>
                <c:pt idx="0">
                  <c:v>Very Dissatisfied</c:v>
                </c:pt>
                <c:pt idx="1">
                  <c:v>Dissatisfied</c:v>
                </c:pt>
                <c:pt idx="2">
                  <c:v>Satisfied</c:v>
                </c:pt>
                <c:pt idx="3">
                  <c:v>Very Satisfied</c:v>
                </c:pt>
              </c:strCache>
            </c:strRef>
          </c:cat>
          <c:val>
            <c:numRef>
              <c:f>'Descriptive analysis charts'!$H$40:$K$40</c:f>
              <c:numCache>
                <c:formatCode>0%</c:formatCode>
                <c:ptCount val="4"/>
                <c:pt idx="0">
                  <c:v>5.5555555555555552E-2</c:v>
                </c:pt>
                <c:pt idx="1">
                  <c:v>0.15277777777777779</c:v>
                </c:pt>
                <c:pt idx="2">
                  <c:v>0.47222222222222221</c:v>
                </c:pt>
                <c:pt idx="3">
                  <c:v>0.31944444444444442</c:v>
                </c:pt>
              </c:numCache>
            </c:numRef>
          </c:val>
          <c:extLst>
            <c:ext xmlns:c16="http://schemas.microsoft.com/office/drawing/2014/chart" uri="{C3380CC4-5D6E-409C-BE32-E72D297353CC}">
              <c16:uniqueId val="{00000001-C0B6-4DEF-9D19-063CBD170921}"/>
            </c:ext>
          </c:extLst>
        </c:ser>
        <c:ser>
          <c:idx val="2"/>
          <c:order val="2"/>
          <c:tx>
            <c:strRef>
              <c:f>'Descriptive analysis charts'!$G$41</c:f>
              <c:strCache>
                <c:ptCount val="1"/>
                <c:pt idx="0">
                  <c:v>vChoose</c:v>
                </c:pt>
              </c:strCache>
            </c:strRef>
          </c:tx>
          <c:spPr>
            <a:solidFill>
              <a:schemeClr val="accent3"/>
            </a:solidFill>
            <a:ln>
              <a:noFill/>
            </a:ln>
            <a:effectLst/>
          </c:spPr>
          <c:invertIfNegative val="0"/>
          <c:cat>
            <c:strRef>
              <c:f>'Descriptive analysis charts'!$H$38:$K$38</c:f>
              <c:strCache>
                <c:ptCount val="4"/>
                <c:pt idx="0">
                  <c:v>Very Dissatisfied</c:v>
                </c:pt>
                <c:pt idx="1">
                  <c:v>Dissatisfied</c:v>
                </c:pt>
                <c:pt idx="2">
                  <c:v>Satisfied</c:v>
                </c:pt>
                <c:pt idx="3">
                  <c:v>Very Satisfied</c:v>
                </c:pt>
              </c:strCache>
            </c:strRef>
          </c:cat>
          <c:val>
            <c:numRef>
              <c:f>'Descriptive analysis charts'!$H$41:$K$41</c:f>
              <c:numCache>
                <c:formatCode>0%</c:formatCode>
                <c:ptCount val="4"/>
                <c:pt idx="0">
                  <c:v>7.1428571428571425E-2</c:v>
                </c:pt>
                <c:pt idx="1">
                  <c:v>9.5238095238095233E-2</c:v>
                </c:pt>
                <c:pt idx="2">
                  <c:v>0.52380952380952384</c:v>
                </c:pt>
                <c:pt idx="3">
                  <c:v>0.30952380952380953</c:v>
                </c:pt>
              </c:numCache>
            </c:numRef>
          </c:val>
          <c:extLst>
            <c:ext xmlns:c16="http://schemas.microsoft.com/office/drawing/2014/chart" uri="{C3380CC4-5D6E-409C-BE32-E72D297353CC}">
              <c16:uniqueId val="{00000002-C0B6-4DEF-9D19-063CBD170921}"/>
            </c:ext>
          </c:extLst>
        </c:ser>
        <c:ser>
          <c:idx val="3"/>
          <c:order val="3"/>
          <c:tx>
            <c:strRef>
              <c:f>'Descriptive analysis charts'!$G$42</c:f>
              <c:strCache>
                <c:ptCount val="1"/>
                <c:pt idx="0">
                  <c:v>yChoose</c:v>
                </c:pt>
              </c:strCache>
            </c:strRef>
          </c:tx>
          <c:spPr>
            <a:solidFill>
              <a:schemeClr val="accent4"/>
            </a:solidFill>
            <a:ln>
              <a:noFill/>
            </a:ln>
            <a:effectLst/>
          </c:spPr>
          <c:invertIfNegative val="0"/>
          <c:cat>
            <c:strRef>
              <c:f>'Descriptive analysis charts'!$H$38:$K$38</c:f>
              <c:strCache>
                <c:ptCount val="4"/>
                <c:pt idx="0">
                  <c:v>Very Dissatisfied</c:v>
                </c:pt>
                <c:pt idx="1">
                  <c:v>Dissatisfied</c:v>
                </c:pt>
                <c:pt idx="2">
                  <c:v>Satisfied</c:v>
                </c:pt>
                <c:pt idx="3">
                  <c:v>Very Satisfied</c:v>
                </c:pt>
              </c:strCache>
            </c:strRef>
          </c:cat>
          <c:val>
            <c:numRef>
              <c:f>'Descriptive analysis charts'!$H$42:$K$42</c:f>
              <c:numCache>
                <c:formatCode>0%</c:formatCode>
                <c:ptCount val="4"/>
                <c:pt idx="0">
                  <c:v>9.375E-2</c:v>
                </c:pt>
                <c:pt idx="1">
                  <c:v>0.15625</c:v>
                </c:pt>
                <c:pt idx="2">
                  <c:v>0.375</c:v>
                </c:pt>
                <c:pt idx="3">
                  <c:v>0.375</c:v>
                </c:pt>
              </c:numCache>
            </c:numRef>
          </c:val>
          <c:extLst>
            <c:ext xmlns:c16="http://schemas.microsoft.com/office/drawing/2014/chart" uri="{C3380CC4-5D6E-409C-BE32-E72D297353CC}">
              <c16:uniqueId val="{00000003-C0B6-4DEF-9D19-063CBD170921}"/>
            </c:ext>
          </c:extLst>
        </c:ser>
        <c:dLbls>
          <c:showLegendKey val="0"/>
          <c:showVal val="0"/>
          <c:showCatName val="0"/>
          <c:showSerName val="0"/>
          <c:showPercent val="0"/>
          <c:showBubbleSize val="0"/>
        </c:dLbls>
        <c:gapWidth val="219"/>
        <c:overlap val="-27"/>
        <c:axId val="759753264"/>
        <c:axId val="759755888"/>
      </c:barChart>
      <c:catAx>
        <c:axId val="759753264"/>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Customer satisfaction rating</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59755888"/>
        <c:crosses val="autoZero"/>
        <c:auto val="1"/>
        <c:lblAlgn val="ctr"/>
        <c:lblOffset val="100"/>
        <c:noMultiLvlLbl val="0"/>
      </c:catAx>
      <c:valAx>
        <c:axId val="759755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59753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solidFill>
                  <a:sysClr val="windowText" lastClr="000000"/>
                </a:solidFill>
              </a:rPr>
              <a:t>Average savings across</a:t>
            </a:r>
            <a:r>
              <a:rPr lang="en-AU" baseline="0">
                <a:solidFill>
                  <a:sysClr val="windowText" lastClr="000000"/>
                </a:solidFill>
              </a:rPr>
              <a:t> Valuation method and Vehicle Type</a:t>
            </a:r>
            <a:endParaRPr lang="en-AU">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'Q6'!$E$16</c:f>
              <c:strCache>
                <c:ptCount val="1"/>
                <c:pt idx="0">
                  <c:v>Agreed Value</c:v>
                </c:pt>
              </c:strCache>
            </c:strRef>
          </c:tx>
          <c:spPr>
            <a:solidFill>
              <a:schemeClr val="accent1"/>
            </a:solidFill>
            <a:ln>
              <a:noFill/>
            </a:ln>
            <a:effectLst/>
          </c:spPr>
          <c:invertIfNegative val="0"/>
          <c:cat>
            <c:strRef>
              <c:f>'Q6'!$F$15:$I$15</c:f>
              <c:strCache>
                <c:ptCount val="4"/>
                <c:pt idx="0">
                  <c:v>4WD</c:v>
                </c:pt>
                <c:pt idx="1">
                  <c:v>Family</c:v>
                </c:pt>
                <c:pt idx="2">
                  <c:v>Luxury</c:v>
                </c:pt>
                <c:pt idx="3">
                  <c:v>Sports</c:v>
                </c:pt>
              </c:strCache>
            </c:strRef>
          </c:cat>
          <c:val>
            <c:numRef>
              <c:f>'Q6'!$F$16:$I$16</c:f>
              <c:numCache>
                <c:formatCode>0.00</c:formatCode>
                <c:ptCount val="4"/>
                <c:pt idx="0">
                  <c:v>397.41666666666669</c:v>
                </c:pt>
                <c:pt idx="1">
                  <c:v>45.722222222222221</c:v>
                </c:pt>
                <c:pt idx="2">
                  <c:v>525.875</c:v>
                </c:pt>
                <c:pt idx="3">
                  <c:v>1011.5</c:v>
                </c:pt>
              </c:numCache>
            </c:numRef>
          </c:val>
          <c:extLst>
            <c:ext xmlns:c16="http://schemas.microsoft.com/office/drawing/2014/chart" uri="{C3380CC4-5D6E-409C-BE32-E72D297353CC}">
              <c16:uniqueId val="{00000000-58DE-48A4-921C-72C66768A5AF}"/>
            </c:ext>
          </c:extLst>
        </c:ser>
        <c:ser>
          <c:idx val="1"/>
          <c:order val="1"/>
          <c:tx>
            <c:strRef>
              <c:f>'Q6'!$E$17</c:f>
              <c:strCache>
                <c:ptCount val="1"/>
                <c:pt idx="0">
                  <c:v>Market Value</c:v>
                </c:pt>
              </c:strCache>
            </c:strRef>
          </c:tx>
          <c:spPr>
            <a:solidFill>
              <a:schemeClr val="accent2"/>
            </a:solidFill>
            <a:ln>
              <a:noFill/>
            </a:ln>
            <a:effectLst/>
          </c:spPr>
          <c:invertIfNegative val="0"/>
          <c:cat>
            <c:strRef>
              <c:f>'Q6'!$F$15:$I$15</c:f>
              <c:strCache>
                <c:ptCount val="4"/>
                <c:pt idx="0">
                  <c:v>4WD</c:v>
                </c:pt>
                <c:pt idx="1">
                  <c:v>Family</c:v>
                </c:pt>
                <c:pt idx="2">
                  <c:v>Luxury</c:v>
                </c:pt>
                <c:pt idx="3">
                  <c:v>Sports</c:v>
                </c:pt>
              </c:strCache>
            </c:strRef>
          </c:cat>
          <c:val>
            <c:numRef>
              <c:f>'Q6'!$F$17:$I$17</c:f>
              <c:numCache>
                <c:formatCode>0.00</c:formatCode>
                <c:ptCount val="4"/>
                <c:pt idx="0">
                  <c:v>258.82</c:v>
                </c:pt>
                <c:pt idx="1">
                  <c:v>37.741626794258373</c:v>
                </c:pt>
                <c:pt idx="2">
                  <c:v>505.25925925925924</c:v>
                </c:pt>
                <c:pt idx="3">
                  <c:v>648.27906976744191</c:v>
                </c:pt>
              </c:numCache>
            </c:numRef>
          </c:val>
          <c:extLst>
            <c:ext xmlns:c16="http://schemas.microsoft.com/office/drawing/2014/chart" uri="{C3380CC4-5D6E-409C-BE32-E72D297353CC}">
              <c16:uniqueId val="{00000001-58DE-48A4-921C-72C66768A5AF}"/>
            </c:ext>
          </c:extLst>
        </c:ser>
        <c:dLbls>
          <c:showLegendKey val="0"/>
          <c:showVal val="0"/>
          <c:showCatName val="0"/>
          <c:showSerName val="0"/>
          <c:showPercent val="0"/>
          <c:showBubbleSize val="0"/>
        </c:dLbls>
        <c:gapWidth val="219"/>
        <c:overlap val="-27"/>
        <c:axId val="683101696"/>
        <c:axId val="683108256"/>
      </c:barChart>
      <c:catAx>
        <c:axId val="683101696"/>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Vehicle Type</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83108256"/>
        <c:crosses val="autoZero"/>
        <c:auto val="1"/>
        <c:lblAlgn val="ctr"/>
        <c:lblOffset val="100"/>
        <c:noMultiLvlLbl val="0"/>
      </c:catAx>
      <c:valAx>
        <c:axId val="68310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solidFill>
                      <a:sysClr val="windowText" lastClr="000000"/>
                    </a:solidFill>
                  </a:rPr>
                  <a:t>Savings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0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Interaction Effect</a:t>
            </a:r>
          </a:p>
        </c:rich>
      </c:tx>
      <c:overlay val="0"/>
      <c:spPr>
        <a:noFill/>
        <a:ln>
          <a:noFill/>
        </a:ln>
        <a:effectLst/>
      </c:spPr>
    </c:title>
    <c:autoTitleDeleted val="0"/>
    <c:plotArea>
      <c:layout/>
      <c:lineChart>
        <c:grouping val="standard"/>
        <c:varyColors val="0"/>
        <c:ser>
          <c:idx val="4"/>
          <c:order val="0"/>
          <c:tx>
            <c:strRef>
              <c:f>'Q6'!$F$15</c:f>
              <c:strCache>
                <c:ptCount val="1"/>
                <c:pt idx="0">
                  <c:v>4WD</c:v>
                </c:pt>
              </c:strCache>
            </c:strRef>
          </c:tx>
          <c:marker>
            <c:symbol val="none"/>
          </c:marker>
          <c:cat>
            <c:strRef>
              <c:f>'Q6'!$E$16:$E$17</c:f>
              <c:strCache>
                <c:ptCount val="2"/>
                <c:pt idx="0">
                  <c:v>Agreed Value</c:v>
                </c:pt>
                <c:pt idx="1">
                  <c:v>Market Value</c:v>
                </c:pt>
              </c:strCache>
            </c:strRef>
          </c:cat>
          <c:val>
            <c:numRef>
              <c:f>'Q6'!$F$16:$F$17</c:f>
              <c:numCache>
                <c:formatCode>0.00</c:formatCode>
                <c:ptCount val="2"/>
                <c:pt idx="0">
                  <c:v>397.41666666666669</c:v>
                </c:pt>
                <c:pt idx="1">
                  <c:v>258.82</c:v>
                </c:pt>
              </c:numCache>
            </c:numRef>
          </c:val>
          <c:smooth val="0"/>
          <c:extLst>
            <c:ext xmlns:c16="http://schemas.microsoft.com/office/drawing/2014/chart" uri="{C3380CC4-5D6E-409C-BE32-E72D297353CC}">
              <c16:uniqueId val="{0000000C-163E-48CF-A173-5FBF90D3A940}"/>
            </c:ext>
          </c:extLst>
        </c:ser>
        <c:ser>
          <c:idx val="5"/>
          <c:order val="1"/>
          <c:tx>
            <c:strRef>
              <c:f>'Q6'!$G$15</c:f>
              <c:strCache>
                <c:ptCount val="1"/>
                <c:pt idx="0">
                  <c:v>Family</c:v>
                </c:pt>
              </c:strCache>
            </c:strRef>
          </c:tx>
          <c:marker>
            <c:symbol val="none"/>
          </c:marker>
          <c:cat>
            <c:strRef>
              <c:f>'Q6'!$E$16:$E$17</c:f>
              <c:strCache>
                <c:ptCount val="2"/>
                <c:pt idx="0">
                  <c:v>Agreed Value</c:v>
                </c:pt>
                <c:pt idx="1">
                  <c:v>Market Value</c:v>
                </c:pt>
              </c:strCache>
            </c:strRef>
          </c:cat>
          <c:val>
            <c:numRef>
              <c:f>'Q6'!$G$16:$G$17</c:f>
              <c:numCache>
                <c:formatCode>0.00</c:formatCode>
                <c:ptCount val="2"/>
                <c:pt idx="0">
                  <c:v>45.722222222222221</c:v>
                </c:pt>
                <c:pt idx="1">
                  <c:v>37.741626794258373</c:v>
                </c:pt>
              </c:numCache>
            </c:numRef>
          </c:val>
          <c:smooth val="0"/>
          <c:extLst>
            <c:ext xmlns:c16="http://schemas.microsoft.com/office/drawing/2014/chart" uri="{C3380CC4-5D6E-409C-BE32-E72D297353CC}">
              <c16:uniqueId val="{0000000D-163E-48CF-A173-5FBF90D3A940}"/>
            </c:ext>
          </c:extLst>
        </c:ser>
        <c:ser>
          <c:idx val="6"/>
          <c:order val="2"/>
          <c:tx>
            <c:strRef>
              <c:f>'Q6'!$H$15</c:f>
              <c:strCache>
                <c:ptCount val="1"/>
                <c:pt idx="0">
                  <c:v>Luxury</c:v>
                </c:pt>
              </c:strCache>
            </c:strRef>
          </c:tx>
          <c:marker>
            <c:symbol val="none"/>
          </c:marker>
          <c:cat>
            <c:strRef>
              <c:f>'Q6'!$E$16:$E$17</c:f>
              <c:strCache>
                <c:ptCount val="2"/>
                <c:pt idx="0">
                  <c:v>Agreed Value</c:v>
                </c:pt>
                <c:pt idx="1">
                  <c:v>Market Value</c:v>
                </c:pt>
              </c:strCache>
            </c:strRef>
          </c:cat>
          <c:val>
            <c:numRef>
              <c:f>'Q6'!$H$16:$H$17</c:f>
              <c:numCache>
                <c:formatCode>0.00</c:formatCode>
                <c:ptCount val="2"/>
                <c:pt idx="0">
                  <c:v>525.875</c:v>
                </c:pt>
                <c:pt idx="1">
                  <c:v>505.25925925925924</c:v>
                </c:pt>
              </c:numCache>
            </c:numRef>
          </c:val>
          <c:smooth val="0"/>
          <c:extLst>
            <c:ext xmlns:c16="http://schemas.microsoft.com/office/drawing/2014/chart" uri="{C3380CC4-5D6E-409C-BE32-E72D297353CC}">
              <c16:uniqueId val="{0000000E-163E-48CF-A173-5FBF90D3A940}"/>
            </c:ext>
          </c:extLst>
        </c:ser>
        <c:ser>
          <c:idx val="7"/>
          <c:order val="3"/>
          <c:tx>
            <c:strRef>
              <c:f>'Q6'!$I$15</c:f>
              <c:strCache>
                <c:ptCount val="1"/>
                <c:pt idx="0">
                  <c:v>Sports</c:v>
                </c:pt>
              </c:strCache>
            </c:strRef>
          </c:tx>
          <c:marker>
            <c:symbol val="none"/>
          </c:marker>
          <c:cat>
            <c:strRef>
              <c:f>'Q6'!$E$16:$E$17</c:f>
              <c:strCache>
                <c:ptCount val="2"/>
                <c:pt idx="0">
                  <c:v>Agreed Value</c:v>
                </c:pt>
                <c:pt idx="1">
                  <c:v>Market Value</c:v>
                </c:pt>
              </c:strCache>
            </c:strRef>
          </c:cat>
          <c:val>
            <c:numRef>
              <c:f>'Q6'!$I$16:$I$17</c:f>
              <c:numCache>
                <c:formatCode>0.00</c:formatCode>
                <c:ptCount val="2"/>
                <c:pt idx="0">
                  <c:v>1011.5</c:v>
                </c:pt>
                <c:pt idx="1">
                  <c:v>648.27906976744191</c:v>
                </c:pt>
              </c:numCache>
            </c:numRef>
          </c:val>
          <c:smooth val="0"/>
          <c:extLst>
            <c:ext xmlns:c16="http://schemas.microsoft.com/office/drawing/2014/chart" uri="{C3380CC4-5D6E-409C-BE32-E72D297353CC}">
              <c16:uniqueId val="{0000000F-163E-48CF-A173-5FBF90D3A940}"/>
            </c:ext>
          </c:extLst>
        </c:ser>
        <c:dLbls>
          <c:showLegendKey val="0"/>
          <c:showVal val="0"/>
          <c:showCatName val="0"/>
          <c:showSerName val="0"/>
          <c:showPercent val="0"/>
          <c:showBubbleSize val="0"/>
        </c:dLbls>
        <c:smooth val="0"/>
        <c:axId val="799192400"/>
        <c:axId val="799190432"/>
      </c:lineChart>
      <c:catAx>
        <c:axId val="79919240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Vehicle Type</a:t>
                </a:r>
              </a:p>
            </c:rich>
          </c:tx>
          <c:layout>
            <c:manualLayout>
              <c:xMode val="edge"/>
              <c:yMode val="edge"/>
              <c:x val="0.39596412948381449"/>
              <c:y val="0.7774066783318751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9190432"/>
        <c:crosses val="autoZero"/>
        <c:auto val="1"/>
        <c:lblAlgn val="ctr"/>
        <c:lblOffset val="100"/>
        <c:noMultiLvlLbl val="0"/>
      </c:catAx>
      <c:valAx>
        <c:axId val="79919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Mean</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9192400"/>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Interaction Effect</a:t>
            </a:r>
          </a:p>
        </c:rich>
      </c:tx>
      <c:overlay val="0"/>
      <c:spPr>
        <a:noFill/>
        <a:ln>
          <a:noFill/>
        </a:ln>
        <a:effectLst/>
      </c:spPr>
    </c:title>
    <c:autoTitleDeleted val="0"/>
    <c:plotArea>
      <c:layout/>
      <c:lineChart>
        <c:grouping val="standard"/>
        <c:varyColors val="0"/>
        <c:ser>
          <c:idx val="4"/>
          <c:order val="0"/>
          <c:tx>
            <c:strRef>
              <c:f>'Q6'!$E$16</c:f>
              <c:strCache>
                <c:ptCount val="1"/>
                <c:pt idx="0">
                  <c:v>Agreed Value</c:v>
                </c:pt>
              </c:strCache>
            </c:strRef>
          </c:tx>
          <c:marker>
            <c:symbol val="none"/>
          </c:marker>
          <c:cat>
            <c:strRef>
              <c:f>'Q6'!$F$15:$I$15</c:f>
              <c:strCache>
                <c:ptCount val="4"/>
                <c:pt idx="0">
                  <c:v>4WD</c:v>
                </c:pt>
                <c:pt idx="1">
                  <c:v>Family</c:v>
                </c:pt>
                <c:pt idx="2">
                  <c:v>Luxury</c:v>
                </c:pt>
                <c:pt idx="3">
                  <c:v>Sports</c:v>
                </c:pt>
              </c:strCache>
            </c:strRef>
          </c:cat>
          <c:val>
            <c:numRef>
              <c:f>'Q6'!$F$16:$I$16</c:f>
              <c:numCache>
                <c:formatCode>0.00</c:formatCode>
                <c:ptCount val="4"/>
                <c:pt idx="0">
                  <c:v>397.41666666666669</c:v>
                </c:pt>
                <c:pt idx="1">
                  <c:v>45.722222222222221</c:v>
                </c:pt>
                <c:pt idx="2">
                  <c:v>525.875</c:v>
                </c:pt>
                <c:pt idx="3">
                  <c:v>1011.5</c:v>
                </c:pt>
              </c:numCache>
            </c:numRef>
          </c:val>
          <c:smooth val="0"/>
          <c:extLst>
            <c:ext xmlns:c16="http://schemas.microsoft.com/office/drawing/2014/chart" uri="{C3380CC4-5D6E-409C-BE32-E72D297353CC}">
              <c16:uniqueId val="{00000000-3FD1-4A12-B471-AFF31DCCF606}"/>
            </c:ext>
          </c:extLst>
        </c:ser>
        <c:ser>
          <c:idx val="5"/>
          <c:order val="1"/>
          <c:tx>
            <c:strRef>
              <c:f>'Q6'!$E$17</c:f>
              <c:strCache>
                <c:ptCount val="1"/>
                <c:pt idx="0">
                  <c:v>Market Value</c:v>
                </c:pt>
              </c:strCache>
            </c:strRef>
          </c:tx>
          <c:marker>
            <c:symbol val="none"/>
          </c:marker>
          <c:cat>
            <c:strRef>
              <c:f>'Q6'!$F$15:$I$15</c:f>
              <c:strCache>
                <c:ptCount val="4"/>
                <c:pt idx="0">
                  <c:v>4WD</c:v>
                </c:pt>
                <c:pt idx="1">
                  <c:v>Family</c:v>
                </c:pt>
                <c:pt idx="2">
                  <c:v>Luxury</c:v>
                </c:pt>
                <c:pt idx="3">
                  <c:v>Sports</c:v>
                </c:pt>
              </c:strCache>
            </c:strRef>
          </c:cat>
          <c:val>
            <c:numRef>
              <c:f>'Q6'!$F$17:$I$17</c:f>
              <c:numCache>
                <c:formatCode>0.00</c:formatCode>
                <c:ptCount val="4"/>
                <c:pt idx="0">
                  <c:v>258.82</c:v>
                </c:pt>
                <c:pt idx="1">
                  <c:v>37.741626794258373</c:v>
                </c:pt>
                <c:pt idx="2">
                  <c:v>505.25925925925924</c:v>
                </c:pt>
                <c:pt idx="3">
                  <c:v>648.27906976744191</c:v>
                </c:pt>
              </c:numCache>
            </c:numRef>
          </c:val>
          <c:smooth val="0"/>
          <c:extLst>
            <c:ext xmlns:c16="http://schemas.microsoft.com/office/drawing/2014/chart" uri="{C3380CC4-5D6E-409C-BE32-E72D297353CC}">
              <c16:uniqueId val="{00000001-3FD1-4A12-B471-AFF31DCCF606}"/>
            </c:ext>
          </c:extLst>
        </c:ser>
        <c:dLbls>
          <c:showLegendKey val="0"/>
          <c:showVal val="0"/>
          <c:showCatName val="0"/>
          <c:showSerName val="0"/>
          <c:showPercent val="0"/>
          <c:showBubbleSize val="0"/>
        </c:dLbls>
        <c:smooth val="0"/>
        <c:axId val="799192400"/>
        <c:axId val="799190432"/>
      </c:lineChart>
      <c:catAx>
        <c:axId val="799192400"/>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Vehicle Type</a:t>
                </a:r>
              </a:p>
            </c:rich>
          </c:tx>
          <c:layout>
            <c:manualLayout>
              <c:xMode val="edge"/>
              <c:yMode val="edge"/>
              <c:x val="0.39596412948381449"/>
              <c:y val="0.7774066783318751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9190432"/>
        <c:crosses val="autoZero"/>
        <c:auto val="1"/>
        <c:lblAlgn val="ctr"/>
        <c:lblOffset val="100"/>
        <c:noMultiLvlLbl val="0"/>
      </c:catAx>
      <c:valAx>
        <c:axId val="79919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AU">
                    <a:solidFill>
                      <a:sysClr val="windowText" lastClr="000000"/>
                    </a:solidFill>
                  </a:rPr>
                  <a:t>Mean</a:t>
                </a:r>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99192400"/>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rgbClr val="131313"/>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579120</xdr:colOff>
      <xdr:row>58</xdr:row>
      <xdr:rowOff>121798</xdr:rowOff>
    </xdr:to>
    <xdr:pic>
      <xdr:nvPicPr>
        <xdr:cNvPr id="6" name="Picture 5">
          <a:extLst>
            <a:ext uri="{FF2B5EF4-FFF2-40B4-BE49-F238E27FC236}">
              <a16:creationId xmlns:a16="http://schemas.microsoft.com/office/drawing/2014/main" id="{B2D7849E-E572-423B-9BF0-18623BDAAD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065520" cy="10728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533400</xdr:colOff>
      <xdr:row>16</xdr:row>
      <xdr:rowOff>137160</xdr:rowOff>
    </xdr:to>
    <xdr:graphicFrame macro="">
      <xdr:nvGraphicFramePr>
        <xdr:cNvPr id="3" name="Chart 2">
          <a:extLst>
            <a:ext uri="{FF2B5EF4-FFF2-40B4-BE49-F238E27FC236}">
              <a16:creationId xmlns:a16="http://schemas.microsoft.com/office/drawing/2014/main" id="{D6E5BE1C-8F2D-4D85-94EF-C1006903B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160020</xdr:colOff>
      <xdr:row>1</xdr:row>
      <xdr:rowOff>45720</xdr:rowOff>
    </xdr:from>
    <xdr:to>
      <xdr:col>4</xdr:col>
      <xdr:colOff>556260</xdr:colOff>
      <xdr:row>9</xdr:row>
      <xdr:rowOff>22860</xdr:rowOff>
    </xdr:to>
    <xdr:graphicFrame macro="">
      <xdr:nvGraphicFramePr>
        <xdr:cNvPr id="2" name="Chart 1">
          <a:extLst>
            <a:ext uri="{FF2B5EF4-FFF2-40B4-BE49-F238E27FC236}">
              <a16:creationId xmlns:a16="http://schemas.microsoft.com/office/drawing/2014/main" id="{D41833CD-4439-4979-86EB-EF3925833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594360</xdr:colOff>
      <xdr:row>1</xdr:row>
      <xdr:rowOff>0</xdr:rowOff>
    </xdr:from>
    <xdr:to>
      <xdr:col>12</xdr:col>
      <xdr:colOff>419100</xdr:colOff>
      <xdr:row>13</xdr:row>
      <xdr:rowOff>167640</xdr:rowOff>
    </xdr:to>
    <xdr:graphicFrame macro="">
      <xdr:nvGraphicFramePr>
        <xdr:cNvPr id="3" name="Chart 2">
          <a:extLst>
            <a:ext uri="{FF2B5EF4-FFF2-40B4-BE49-F238E27FC236}">
              <a16:creationId xmlns:a16="http://schemas.microsoft.com/office/drawing/2014/main" id="{AFF65793-9CD6-45D4-85B2-2D93D57DE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114300</xdr:colOff>
      <xdr:row>9</xdr:row>
      <xdr:rowOff>129540</xdr:rowOff>
    </xdr:from>
    <xdr:to>
      <xdr:col>4</xdr:col>
      <xdr:colOff>609600</xdr:colOff>
      <xdr:row>17</xdr:row>
      <xdr:rowOff>121920</xdr:rowOff>
    </xdr:to>
    <xdr:graphicFrame macro="">
      <xdr:nvGraphicFramePr>
        <xdr:cNvPr id="4" name="Chart 3">
          <a:extLst>
            <a:ext uri="{FF2B5EF4-FFF2-40B4-BE49-F238E27FC236}">
              <a16:creationId xmlns:a16="http://schemas.microsoft.com/office/drawing/2014/main" id="{F4004CF2-D7AA-49EE-A52F-BCBCD9158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594360</xdr:colOff>
      <xdr:row>14</xdr:row>
      <xdr:rowOff>68580</xdr:rowOff>
    </xdr:from>
    <xdr:to>
      <xdr:col>12</xdr:col>
      <xdr:colOff>419100</xdr:colOff>
      <xdr:row>27</xdr:row>
      <xdr:rowOff>53340</xdr:rowOff>
    </xdr:to>
    <xdr:graphicFrame macro="">
      <xdr:nvGraphicFramePr>
        <xdr:cNvPr id="5" name="Chart 4">
          <a:extLst>
            <a:ext uri="{FF2B5EF4-FFF2-40B4-BE49-F238E27FC236}">
              <a16:creationId xmlns:a16="http://schemas.microsoft.com/office/drawing/2014/main" id="{E7ACAD02-082D-43EC-9B4A-F80008C1E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60960</xdr:colOff>
      <xdr:row>18</xdr:row>
      <xdr:rowOff>68580</xdr:rowOff>
    </xdr:from>
    <xdr:to>
      <xdr:col>4</xdr:col>
      <xdr:colOff>556260</xdr:colOff>
      <xdr:row>26</xdr:row>
      <xdr:rowOff>60960</xdr:rowOff>
    </xdr:to>
    <xdr:graphicFrame macro="">
      <xdr:nvGraphicFramePr>
        <xdr:cNvPr id="6" name="Chart 5">
          <a:extLst>
            <a:ext uri="{FF2B5EF4-FFF2-40B4-BE49-F238E27FC236}">
              <a16:creationId xmlns:a16="http://schemas.microsoft.com/office/drawing/2014/main" id="{52D9C51F-B02F-4EF9-A3EA-8504E2729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609600</xdr:colOff>
      <xdr:row>27</xdr:row>
      <xdr:rowOff>137160</xdr:rowOff>
    </xdr:from>
    <xdr:to>
      <xdr:col>12</xdr:col>
      <xdr:colOff>434340</xdr:colOff>
      <xdr:row>40</xdr:row>
      <xdr:rowOff>121920</xdr:rowOff>
    </xdr:to>
    <xdr:graphicFrame macro="">
      <xdr:nvGraphicFramePr>
        <xdr:cNvPr id="7" name="Chart 6">
          <a:extLst>
            <a:ext uri="{FF2B5EF4-FFF2-40B4-BE49-F238E27FC236}">
              <a16:creationId xmlns:a16="http://schemas.microsoft.com/office/drawing/2014/main" id="{03606FC7-EB14-4647-99A2-3D8D75124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617220</xdr:colOff>
      <xdr:row>41</xdr:row>
      <xdr:rowOff>60960</xdr:rowOff>
    </xdr:from>
    <xdr:to>
      <xdr:col>12</xdr:col>
      <xdr:colOff>441960</xdr:colOff>
      <xdr:row>54</xdr:row>
      <xdr:rowOff>45720</xdr:rowOff>
    </xdr:to>
    <xdr:graphicFrame macro="">
      <xdr:nvGraphicFramePr>
        <xdr:cNvPr id="8" name="Chart 7">
          <a:extLst>
            <a:ext uri="{FF2B5EF4-FFF2-40B4-BE49-F238E27FC236}">
              <a16:creationId xmlns:a16="http://schemas.microsoft.com/office/drawing/2014/main" id="{E9CBE516-E8DA-4FD4-ABC2-DD51BF6B6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632460</xdr:colOff>
      <xdr:row>54</xdr:row>
      <xdr:rowOff>121920</xdr:rowOff>
    </xdr:from>
    <xdr:to>
      <xdr:col>12</xdr:col>
      <xdr:colOff>457200</xdr:colOff>
      <xdr:row>67</xdr:row>
      <xdr:rowOff>106680</xdr:rowOff>
    </xdr:to>
    <xdr:graphicFrame macro="">
      <xdr:nvGraphicFramePr>
        <xdr:cNvPr id="9" name="Chart 8">
          <a:extLst>
            <a:ext uri="{FF2B5EF4-FFF2-40B4-BE49-F238E27FC236}">
              <a16:creationId xmlns:a16="http://schemas.microsoft.com/office/drawing/2014/main" id="{0216D46B-05C3-4C2B-8056-1B52C78BAF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60960</xdr:colOff>
      <xdr:row>26</xdr:row>
      <xdr:rowOff>91440</xdr:rowOff>
    </xdr:from>
    <xdr:to>
      <xdr:col>4</xdr:col>
      <xdr:colOff>556260</xdr:colOff>
      <xdr:row>34</xdr:row>
      <xdr:rowOff>83820</xdr:rowOff>
    </xdr:to>
    <xdr:graphicFrame macro="">
      <xdr:nvGraphicFramePr>
        <xdr:cNvPr id="10" name="Chart 9">
          <a:extLst>
            <a:ext uri="{FF2B5EF4-FFF2-40B4-BE49-F238E27FC236}">
              <a16:creationId xmlns:a16="http://schemas.microsoft.com/office/drawing/2014/main" id="{54BA53E8-2C26-4921-85A5-993056A6D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617220</xdr:colOff>
      <xdr:row>68</xdr:row>
      <xdr:rowOff>7620</xdr:rowOff>
    </xdr:from>
    <xdr:to>
      <xdr:col>12</xdr:col>
      <xdr:colOff>441960</xdr:colOff>
      <xdr:row>80</xdr:row>
      <xdr:rowOff>175260</xdr:rowOff>
    </xdr:to>
    <xdr:graphicFrame macro="">
      <xdr:nvGraphicFramePr>
        <xdr:cNvPr id="11" name="Chart 10">
          <a:extLst>
            <a:ext uri="{FF2B5EF4-FFF2-40B4-BE49-F238E27FC236}">
              <a16:creationId xmlns:a16="http://schemas.microsoft.com/office/drawing/2014/main" id="{8D95B32E-B5E9-4CC2-B62B-1A510AE72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38100</xdr:colOff>
      <xdr:row>52</xdr:row>
      <xdr:rowOff>76200</xdr:rowOff>
    </xdr:from>
    <xdr:to>
      <xdr:col>4</xdr:col>
      <xdr:colOff>800100</xdr:colOff>
      <xdr:row>66</xdr:row>
      <xdr:rowOff>0</xdr:rowOff>
    </xdr:to>
    <xdr:graphicFrame macro="">
      <xdr:nvGraphicFramePr>
        <xdr:cNvPr id="17" name="Chart 16">
          <a:extLst>
            <a:ext uri="{FF2B5EF4-FFF2-40B4-BE49-F238E27FC236}">
              <a16:creationId xmlns:a16="http://schemas.microsoft.com/office/drawing/2014/main" id="{BE79921D-05E8-4B90-AD91-CF6BFD153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30480</xdr:colOff>
      <xdr:row>85</xdr:row>
      <xdr:rowOff>22860</xdr:rowOff>
    </xdr:from>
    <xdr:to>
      <xdr:col>4</xdr:col>
      <xdr:colOff>640080</xdr:colOff>
      <xdr:row>99</xdr:row>
      <xdr:rowOff>30480</xdr:rowOff>
    </xdr:to>
    <xdr:graphicFrame macro="">
      <xdr:nvGraphicFramePr>
        <xdr:cNvPr id="23" name="Chart 22">
          <a:extLst>
            <a:ext uri="{FF2B5EF4-FFF2-40B4-BE49-F238E27FC236}">
              <a16:creationId xmlns:a16="http://schemas.microsoft.com/office/drawing/2014/main" id="{F20CA3A1-DD03-4CCA-8DAA-10652AC74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xdr:colOff>
      <xdr:row>2</xdr:row>
      <xdr:rowOff>160020</xdr:rowOff>
    </xdr:from>
    <xdr:to>
      <xdr:col>5</xdr:col>
      <xdr:colOff>281940</xdr:colOff>
      <xdr:row>15</xdr:row>
      <xdr:rowOff>76200</xdr:rowOff>
    </xdr:to>
    <xdr:graphicFrame macro="">
      <xdr:nvGraphicFramePr>
        <xdr:cNvPr id="14" name="Chart 13">
          <a:extLst>
            <a:ext uri="{FF2B5EF4-FFF2-40B4-BE49-F238E27FC236}">
              <a16:creationId xmlns:a16="http://schemas.microsoft.com/office/drawing/2014/main" id="{C667D15D-F84F-4897-9F5A-E8E7B3088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586740</xdr:colOff>
      <xdr:row>3</xdr:row>
      <xdr:rowOff>83820</xdr:rowOff>
    </xdr:from>
    <xdr:to>
      <xdr:col>11</xdr:col>
      <xdr:colOff>38100</xdr:colOff>
      <xdr:row>16</xdr:row>
      <xdr:rowOff>121920</xdr:rowOff>
    </xdr:to>
    <xdr:graphicFrame macro="">
      <xdr:nvGraphicFramePr>
        <xdr:cNvPr id="15" name="Chart 14">
          <a:extLst>
            <a:ext uri="{FF2B5EF4-FFF2-40B4-BE49-F238E27FC236}">
              <a16:creationId xmlns:a16="http://schemas.microsoft.com/office/drawing/2014/main" id="{1AACC086-FCA1-4C09-ACF6-A21AE2BBE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xdr:colOff>
      <xdr:row>3</xdr:row>
      <xdr:rowOff>76200</xdr:rowOff>
    </xdr:from>
    <xdr:to>
      <xdr:col>19</xdr:col>
      <xdr:colOff>571500</xdr:colOff>
      <xdr:row>16</xdr:row>
      <xdr:rowOff>129540</xdr:rowOff>
    </xdr:to>
    <xdr:graphicFrame macro="">
      <xdr:nvGraphicFramePr>
        <xdr:cNvPr id="16" name="Chart 15">
          <a:extLst>
            <a:ext uri="{FF2B5EF4-FFF2-40B4-BE49-F238E27FC236}">
              <a16:creationId xmlns:a16="http://schemas.microsoft.com/office/drawing/2014/main" id="{B39FEAB6-1193-4A5D-9FB9-2F60135A1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20</xdr:row>
      <xdr:rowOff>68580</xdr:rowOff>
    </xdr:from>
    <xdr:to>
      <xdr:col>5</xdr:col>
      <xdr:colOff>533400</xdr:colOff>
      <xdr:row>35</xdr:row>
      <xdr:rowOff>68580</xdr:rowOff>
    </xdr:to>
    <xdr:graphicFrame macro="">
      <xdr:nvGraphicFramePr>
        <xdr:cNvPr id="17" name="Chart 16">
          <a:extLst>
            <a:ext uri="{FF2B5EF4-FFF2-40B4-BE49-F238E27FC236}">
              <a16:creationId xmlns:a16="http://schemas.microsoft.com/office/drawing/2014/main" id="{D40AABA6-4FB0-4443-B5D1-8600A9257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274320</xdr:colOff>
      <xdr:row>18</xdr:row>
      <xdr:rowOff>30480</xdr:rowOff>
    </xdr:from>
    <xdr:to>
      <xdr:col>15</xdr:col>
      <xdr:colOff>175260</xdr:colOff>
      <xdr:row>33</xdr:row>
      <xdr:rowOff>30480</xdr:rowOff>
    </xdr:to>
    <xdr:graphicFrame macro="">
      <xdr:nvGraphicFramePr>
        <xdr:cNvPr id="18" name="Chart 17">
          <a:extLst>
            <a:ext uri="{FF2B5EF4-FFF2-40B4-BE49-F238E27FC236}">
              <a16:creationId xmlns:a16="http://schemas.microsoft.com/office/drawing/2014/main" id="{68F024EB-A279-47D8-AA21-196259AFB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39</xdr:row>
      <xdr:rowOff>83820</xdr:rowOff>
    </xdr:from>
    <xdr:to>
      <xdr:col>5</xdr:col>
      <xdr:colOff>426720</xdr:colOff>
      <xdr:row>54</xdr:row>
      <xdr:rowOff>83820</xdr:rowOff>
    </xdr:to>
    <xdr:graphicFrame macro="">
      <xdr:nvGraphicFramePr>
        <xdr:cNvPr id="19" name="Chart 18">
          <a:extLst>
            <a:ext uri="{FF2B5EF4-FFF2-40B4-BE49-F238E27FC236}">
              <a16:creationId xmlns:a16="http://schemas.microsoft.com/office/drawing/2014/main" id="{FB4BCE56-296C-4D61-BAA2-03011EECA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0</xdr:colOff>
      <xdr:row>42</xdr:row>
      <xdr:rowOff>83820</xdr:rowOff>
    </xdr:from>
    <xdr:to>
      <xdr:col>11</xdr:col>
      <xdr:colOff>259080</xdr:colOff>
      <xdr:row>57</xdr:row>
      <xdr:rowOff>83820</xdr:rowOff>
    </xdr:to>
    <xdr:graphicFrame macro="">
      <xdr:nvGraphicFramePr>
        <xdr:cNvPr id="20" name="Chart 19">
          <a:extLst>
            <a:ext uri="{FF2B5EF4-FFF2-40B4-BE49-F238E27FC236}">
              <a16:creationId xmlns:a16="http://schemas.microsoft.com/office/drawing/2014/main" id="{7652A834-4245-43E5-8F9C-2BB0DCC44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83820</xdr:colOff>
      <xdr:row>57</xdr:row>
      <xdr:rowOff>175260</xdr:rowOff>
    </xdr:from>
    <xdr:to>
      <xdr:col>5</xdr:col>
      <xdr:colOff>510540</xdr:colOff>
      <xdr:row>72</xdr:row>
      <xdr:rowOff>175260</xdr:rowOff>
    </xdr:to>
    <xdr:graphicFrame macro="">
      <xdr:nvGraphicFramePr>
        <xdr:cNvPr id="9" name="Chart 8">
          <a:extLst>
            <a:ext uri="{FF2B5EF4-FFF2-40B4-BE49-F238E27FC236}">
              <a16:creationId xmlns:a16="http://schemas.microsoft.com/office/drawing/2014/main" id="{A6041214-3597-4F87-B90F-1700E0E11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632460</xdr:colOff>
      <xdr:row>30</xdr:row>
      <xdr:rowOff>129540</xdr:rowOff>
    </xdr:from>
    <xdr:to>
      <xdr:col>10</xdr:col>
      <xdr:colOff>662940</xdr:colOff>
      <xdr:row>45</xdr:row>
      <xdr:rowOff>129540</xdr:rowOff>
    </xdr:to>
    <xdr:graphicFrame macro="">
      <xdr:nvGraphicFramePr>
        <xdr:cNvPr id="9" name="Chart 8">
          <a:extLst>
            <a:ext uri="{FF2B5EF4-FFF2-40B4-BE49-F238E27FC236}">
              <a16:creationId xmlns:a16="http://schemas.microsoft.com/office/drawing/2014/main" id="{8CEC73B4-E8CB-4D52-93EE-178ACD574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1082040</xdr:colOff>
      <xdr:row>30</xdr:row>
      <xdr:rowOff>76200</xdr:rowOff>
    </xdr:from>
    <xdr:to>
      <xdr:col>19</xdr:col>
      <xdr:colOff>0</xdr:colOff>
      <xdr:row>45</xdr:row>
      <xdr:rowOff>76200</xdr:rowOff>
    </xdr:to>
    <xdr:graphicFrame macro="">
      <xdr:nvGraphicFramePr>
        <xdr:cNvPr id="11" name="Chart 10">
          <a:extLst>
            <a:ext uri="{FF2B5EF4-FFF2-40B4-BE49-F238E27FC236}">
              <a16:creationId xmlns:a16="http://schemas.microsoft.com/office/drawing/2014/main" id="{1D53960C-A23F-4ACD-9EE9-30252FE8F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Library" Target="ANALYSI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SW Table"/>
      <sheetName val="Stud. Q Table"/>
      <sheetName val="Stud. Q Table 2"/>
      <sheetName val="Sp Rho Table"/>
      <sheetName val="Ken Tau Table"/>
      <sheetName val="Durbin Table"/>
      <sheetName val="Dunnett Table"/>
      <sheetName val="Prime"/>
    </sheetNames>
    <definedNames>
      <definedName name="SortUnique"/>
      <definedName name="SSAnova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468A2-6B98-4DDF-8B44-DFF7F9DFF0B3}">
  <dimension ref="A1"/>
  <sheetViews>
    <sheetView showGridLines="0" tabSelected="1" workbookViewId="0">
      <selection activeCell="L7" sqref="L7"/>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2" sqref="B22"/>
    </sheetView>
  </sheetViews>
  <sheetFormatPr defaultColWidth="8.88671875" defaultRowHeight="14.4" x14ac:dyDescent="0.3"/>
  <cols>
    <col min="1" max="1" width="21.21875" style="1" customWidth="1"/>
    <col min="2" max="2" width="100.88671875" style="1" customWidth="1"/>
    <col min="3" max="16384" width="8.88671875" style="1"/>
  </cols>
  <sheetData>
    <row r="1" spans="1:2" x14ac:dyDescent="0.3">
      <c r="A1" s="188" t="s">
        <v>61</v>
      </c>
      <c r="B1" s="188"/>
    </row>
    <row r="2" spans="1:2" x14ac:dyDescent="0.3">
      <c r="A2" s="189" t="s">
        <v>58</v>
      </c>
      <c r="B2" s="189"/>
    </row>
    <row r="3" spans="1:2" x14ac:dyDescent="0.3">
      <c r="A3" s="2"/>
    </row>
    <row r="4" spans="1:2" x14ac:dyDescent="0.3">
      <c r="A4" s="2" t="s">
        <v>54</v>
      </c>
      <c r="B4" s="2" t="s">
        <v>55</v>
      </c>
    </row>
    <row r="5" spans="1:2" x14ac:dyDescent="0.3">
      <c r="A5" s="1" t="s">
        <v>1</v>
      </c>
      <c r="B5" s="1" t="s">
        <v>59</v>
      </c>
    </row>
    <row r="6" spans="1:2" s="7" customFormat="1" x14ac:dyDescent="0.3">
      <c r="A6" s="7" t="s">
        <v>2</v>
      </c>
      <c r="B6" s="7" t="s">
        <v>56</v>
      </c>
    </row>
    <row r="7" spans="1:2" x14ac:dyDescent="0.3">
      <c r="A7" s="1" t="s">
        <v>3</v>
      </c>
      <c r="B7" s="1" t="s">
        <v>63</v>
      </c>
    </row>
    <row r="8" spans="1:2" x14ac:dyDescent="0.3">
      <c r="A8" s="1" t="s">
        <v>4</v>
      </c>
      <c r="B8" s="1" t="s">
        <v>60</v>
      </c>
    </row>
    <row r="9" spans="1:2" x14ac:dyDescent="0.3">
      <c r="A9" s="1" t="s">
        <v>5</v>
      </c>
      <c r="B9" s="1" t="s">
        <v>62</v>
      </c>
    </row>
    <row r="10" spans="1:2" x14ac:dyDescent="0.3">
      <c r="A10" s="1" t="s">
        <v>6</v>
      </c>
      <c r="B10" s="1" t="s">
        <v>64</v>
      </c>
    </row>
    <row r="11" spans="1:2" x14ac:dyDescent="0.3">
      <c r="A11" s="1" t="s">
        <v>7</v>
      </c>
      <c r="B11" s="1" t="s">
        <v>65</v>
      </c>
    </row>
    <row r="12" spans="1:2" x14ac:dyDescent="0.3">
      <c r="A12" s="1" t="s">
        <v>8</v>
      </c>
      <c r="B12" s="1" t="s">
        <v>66</v>
      </c>
    </row>
    <row r="13" spans="1:2" x14ac:dyDescent="0.3">
      <c r="A13" s="1" t="s">
        <v>9</v>
      </c>
      <c r="B13" s="1" t="s">
        <v>70</v>
      </c>
    </row>
    <row r="14" spans="1:2" x14ac:dyDescent="0.3">
      <c r="A14" s="1" t="s">
        <v>68</v>
      </c>
      <c r="B14" s="1" t="s">
        <v>67</v>
      </c>
    </row>
    <row r="15" spans="1:2" x14ac:dyDescent="0.3">
      <c r="A15" s="1" t="s">
        <v>10</v>
      </c>
      <c r="B15" s="1" t="s">
        <v>69</v>
      </c>
    </row>
    <row r="16" spans="1:2" x14ac:dyDescent="0.3">
      <c r="A16" s="1" t="s">
        <v>11</v>
      </c>
      <c r="B16" s="1" t="s">
        <v>57</v>
      </c>
    </row>
    <row r="18" spans="1:2" x14ac:dyDescent="0.3">
      <c r="A18" s="190"/>
      <c r="B18" s="191"/>
    </row>
  </sheetData>
  <mergeCells count="3">
    <mergeCell ref="A1:B1"/>
    <mergeCell ref="A2:B2"/>
    <mergeCell ref="A18: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0154-7C66-464F-A93A-B15BBB7FF563}">
  <dimension ref="A1:C16"/>
  <sheetViews>
    <sheetView workbookViewId="0">
      <selection activeCell="J20" sqref="J20"/>
    </sheetView>
  </sheetViews>
  <sheetFormatPr defaultRowHeight="14.4" x14ac:dyDescent="0.3"/>
  <cols>
    <col min="3" max="3" width="12.33203125" customWidth="1"/>
  </cols>
  <sheetData>
    <row r="1" spans="1:3" x14ac:dyDescent="0.3">
      <c r="A1" s="85" t="s">
        <v>379</v>
      </c>
      <c r="B1" s="85" t="s">
        <v>87</v>
      </c>
      <c r="C1" s="85" t="s">
        <v>380</v>
      </c>
    </row>
    <row r="2" spans="1:3" x14ac:dyDescent="0.3">
      <c r="A2" s="172">
        <v>0</v>
      </c>
      <c r="B2" s="83">
        <v>97</v>
      </c>
      <c r="C2" s="173">
        <f>B2/400</f>
        <v>0.24249999999999999</v>
      </c>
    </row>
    <row r="3" spans="1:3" x14ac:dyDescent="0.3">
      <c r="A3" s="172">
        <v>150</v>
      </c>
      <c r="B3" s="83">
        <v>133</v>
      </c>
      <c r="C3" s="173">
        <f t="shared" ref="C3:C16" si="0">B3/400</f>
        <v>0.33250000000000002</v>
      </c>
    </row>
    <row r="4" spans="1:3" x14ac:dyDescent="0.3">
      <c r="A4" s="172">
        <v>300</v>
      </c>
      <c r="B4" s="83">
        <v>50</v>
      </c>
      <c r="C4" s="173">
        <f t="shared" si="0"/>
        <v>0.125</v>
      </c>
    </row>
    <row r="5" spans="1:3" x14ac:dyDescent="0.3">
      <c r="A5" s="172">
        <v>450</v>
      </c>
      <c r="B5" s="83">
        <v>54</v>
      </c>
      <c r="C5" s="173">
        <f t="shared" si="0"/>
        <v>0.13500000000000001</v>
      </c>
    </row>
    <row r="6" spans="1:3" x14ac:dyDescent="0.3">
      <c r="A6" s="172">
        <v>600</v>
      </c>
      <c r="B6" s="83">
        <v>21</v>
      </c>
      <c r="C6" s="173">
        <f t="shared" si="0"/>
        <v>5.2499999999999998E-2</v>
      </c>
    </row>
    <row r="7" spans="1:3" x14ac:dyDescent="0.3">
      <c r="A7" s="172">
        <v>750</v>
      </c>
      <c r="B7" s="83">
        <v>17</v>
      </c>
      <c r="C7" s="173">
        <f t="shared" si="0"/>
        <v>4.2500000000000003E-2</v>
      </c>
    </row>
    <row r="8" spans="1:3" x14ac:dyDescent="0.3">
      <c r="A8" s="172">
        <v>900</v>
      </c>
      <c r="B8" s="83">
        <v>8</v>
      </c>
      <c r="C8" s="173">
        <f t="shared" si="0"/>
        <v>0.02</v>
      </c>
    </row>
    <row r="9" spans="1:3" x14ac:dyDescent="0.3">
      <c r="A9" s="172">
        <v>1050</v>
      </c>
      <c r="B9" s="83">
        <v>6</v>
      </c>
      <c r="C9" s="173">
        <f t="shared" si="0"/>
        <v>1.4999999999999999E-2</v>
      </c>
    </row>
    <row r="10" spans="1:3" x14ac:dyDescent="0.3">
      <c r="A10" s="172">
        <v>1200</v>
      </c>
      <c r="B10" s="83">
        <v>6</v>
      </c>
      <c r="C10" s="173">
        <f t="shared" si="0"/>
        <v>1.4999999999999999E-2</v>
      </c>
    </row>
    <row r="11" spans="1:3" x14ac:dyDescent="0.3">
      <c r="A11" s="172">
        <v>1350</v>
      </c>
      <c r="B11" s="83">
        <v>4</v>
      </c>
      <c r="C11" s="173">
        <f t="shared" si="0"/>
        <v>0.01</v>
      </c>
    </row>
    <row r="12" spans="1:3" x14ac:dyDescent="0.3">
      <c r="A12" s="172">
        <v>1500</v>
      </c>
      <c r="B12" s="83">
        <v>0</v>
      </c>
      <c r="C12" s="173">
        <f t="shared" si="0"/>
        <v>0</v>
      </c>
    </row>
    <row r="13" spans="1:3" x14ac:dyDescent="0.3">
      <c r="A13" s="172">
        <v>1650</v>
      </c>
      <c r="B13" s="83">
        <v>1</v>
      </c>
      <c r="C13" s="173">
        <f t="shared" si="0"/>
        <v>2.5000000000000001E-3</v>
      </c>
    </row>
    <row r="14" spans="1:3" x14ac:dyDescent="0.3">
      <c r="A14" s="172">
        <v>1800</v>
      </c>
      <c r="B14" s="83">
        <v>2</v>
      </c>
      <c r="C14" s="173">
        <f t="shared" si="0"/>
        <v>5.0000000000000001E-3</v>
      </c>
    </row>
    <row r="15" spans="1:3" x14ac:dyDescent="0.3">
      <c r="A15" s="172">
        <v>1950</v>
      </c>
      <c r="B15" s="83">
        <v>0</v>
      </c>
      <c r="C15" s="173">
        <f t="shared" si="0"/>
        <v>0</v>
      </c>
    </row>
    <row r="16" spans="1:3" x14ac:dyDescent="0.3">
      <c r="A16" s="172">
        <v>2100</v>
      </c>
      <c r="B16" s="83">
        <v>1</v>
      </c>
      <c r="C16" s="173">
        <f t="shared" si="0"/>
        <v>2.5000000000000001E-3</v>
      </c>
    </row>
  </sheetData>
  <sortState xmlns:xlrd2="http://schemas.microsoft.com/office/spreadsheetml/2017/richdata2" ref="A2:A16">
    <sortCondition ref="A2"/>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582B7-D5B1-490E-8936-E2905E4F3473}">
  <dimension ref="A2:M120"/>
  <sheetViews>
    <sheetView showGridLines="0" workbookViewId="0">
      <selection activeCell="E106" sqref="E106"/>
    </sheetView>
  </sheetViews>
  <sheetFormatPr defaultRowHeight="14.4" x14ac:dyDescent="0.3"/>
  <cols>
    <col min="1" max="1" width="17.44140625" bestFit="1" customWidth="1"/>
    <col min="2" max="5" width="12.6640625" style="13" customWidth="1"/>
    <col min="6" max="6" width="23.109375" style="13" bestFit="1" customWidth="1"/>
    <col min="7" max="7" width="13.109375" style="13" bestFit="1" customWidth="1"/>
    <col min="8" max="10" width="12.6640625" customWidth="1"/>
    <col min="11" max="11" width="17.44140625" bestFit="1" customWidth="1"/>
    <col min="12" max="13" width="12.6640625" customWidth="1"/>
  </cols>
  <sheetData>
    <row r="2" spans="1:13" x14ac:dyDescent="0.3">
      <c r="F2"/>
    </row>
    <row r="3" spans="1:13" x14ac:dyDescent="0.3">
      <c r="A3" s="23" t="s">
        <v>85</v>
      </c>
      <c r="B3" s="13" t="s">
        <v>1</v>
      </c>
      <c r="F3" s="23" t="s">
        <v>85</v>
      </c>
      <c r="G3" s="13" t="s">
        <v>3</v>
      </c>
    </row>
    <row r="4" spans="1:13" x14ac:dyDescent="0.3">
      <c r="A4" s="23" t="s">
        <v>86</v>
      </c>
      <c r="B4" s="13" t="s">
        <v>83</v>
      </c>
      <c r="F4" s="23" t="s">
        <v>86</v>
      </c>
      <c r="G4" s="13" t="s">
        <v>84</v>
      </c>
    </row>
    <row r="5" spans="1:13" x14ac:dyDescent="0.3">
      <c r="F5"/>
    </row>
    <row r="6" spans="1:13" x14ac:dyDescent="0.3">
      <c r="A6" s="17" t="s">
        <v>1</v>
      </c>
      <c r="B6" s="17" t="s">
        <v>87</v>
      </c>
      <c r="F6" s="17" t="s">
        <v>3</v>
      </c>
      <c r="G6" s="17" t="s">
        <v>89</v>
      </c>
    </row>
    <row r="7" spans="1:13" x14ac:dyDescent="0.3">
      <c r="A7" s="16" t="s">
        <v>12</v>
      </c>
      <c r="B7" s="16">
        <f>COUNTIF(CustomerDataSet_Original!B:B,'Descriptive analysis'!A7)</f>
        <v>233</v>
      </c>
      <c r="F7" s="16" t="s">
        <v>31</v>
      </c>
      <c r="G7" s="24">
        <f>COUNTIF(CustomerDataSet_Original!D:D,'Descriptive analysis'!F7)/400</f>
        <v>0.3175</v>
      </c>
    </row>
    <row r="8" spans="1:13" x14ac:dyDescent="0.3">
      <c r="A8" s="16" t="s">
        <v>23</v>
      </c>
      <c r="B8" s="16">
        <f>COUNTIF(CustomerDataSet_Original!B:B,'Descriptive analysis'!A8)</f>
        <v>167</v>
      </c>
      <c r="F8" s="16" t="s">
        <v>36</v>
      </c>
      <c r="G8" s="24">
        <f>COUNTIF(CustomerDataSet_Original!D:D,'Descriptive analysis'!F8)/400</f>
        <v>0.2225</v>
      </c>
    </row>
    <row r="9" spans="1:13" x14ac:dyDescent="0.3">
      <c r="A9" s="15" t="s">
        <v>88</v>
      </c>
      <c r="B9" s="15">
        <f>SUM(B7:B8)</f>
        <v>400</v>
      </c>
      <c r="F9" s="16" t="s">
        <v>13</v>
      </c>
      <c r="G9" s="24">
        <f>COUNTIF(CustomerDataSet_Original!D:D,'Descriptive analysis'!F9)/400</f>
        <v>0.1525</v>
      </c>
    </row>
    <row r="10" spans="1:13" x14ac:dyDescent="0.3">
      <c r="F10" s="16" t="s">
        <v>51</v>
      </c>
      <c r="G10" s="24">
        <f>COUNTIF(CustomerDataSet_Original!D:D,'Descriptive analysis'!F10)/400</f>
        <v>0.11749999999999999</v>
      </c>
    </row>
    <row r="11" spans="1:13" x14ac:dyDescent="0.3">
      <c r="F11" s="16" t="s">
        <v>48</v>
      </c>
      <c r="G11" s="24">
        <f>COUNTIF(CustomerDataSet_Original!D:D,'Descriptive analysis'!F11)/400</f>
        <v>0.09</v>
      </c>
    </row>
    <row r="12" spans="1:13" x14ac:dyDescent="0.3">
      <c r="A12" s="23" t="s">
        <v>85</v>
      </c>
      <c r="B12" s="13" t="s">
        <v>4</v>
      </c>
      <c r="F12" s="16" t="s">
        <v>52</v>
      </c>
      <c r="G12" s="24">
        <f>COUNTIF(CustomerDataSet_Original!D:D,'Descriptive analysis'!F12)/400</f>
        <v>3.7499999999999999E-2</v>
      </c>
    </row>
    <row r="13" spans="1:13" x14ac:dyDescent="0.3">
      <c r="A13" s="23" t="s">
        <v>86</v>
      </c>
      <c r="B13" s="13" t="s">
        <v>83</v>
      </c>
      <c r="F13" s="16" t="s">
        <v>24</v>
      </c>
      <c r="G13" s="24">
        <f>COUNTIF(CustomerDataSet_Original!D:D,'Descriptive analysis'!F13)/400</f>
        <v>3.2500000000000001E-2</v>
      </c>
    </row>
    <row r="14" spans="1:13" x14ac:dyDescent="0.3">
      <c r="F14" s="16" t="s">
        <v>50</v>
      </c>
      <c r="G14" s="24">
        <f>COUNTIF(CustomerDataSet_Original!D:D,'Descriptive analysis'!F14)/400</f>
        <v>0.03</v>
      </c>
    </row>
    <row r="15" spans="1:13" s="13" customFormat="1" x14ac:dyDescent="0.3">
      <c r="A15" s="17" t="s">
        <v>4</v>
      </c>
      <c r="B15" s="17" t="s">
        <v>87</v>
      </c>
      <c r="H15"/>
      <c r="I15"/>
      <c r="J15"/>
      <c r="K15"/>
      <c r="L15"/>
      <c r="M15"/>
    </row>
    <row r="16" spans="1:13" s="13" customFormat="1" x14ac:dyDescent="0.3">
      <c r="A16" s="16" t="s">
        <v>14</v>
      </c>
      <c r="B16" s="16">
        <f>COUNTIF(CustomerDataSet_Original!E:E,'Descriptive analysis'!A16)</f>
        <v>95</v>
      </c>
      <c r="F16" s="23" t="s">
        <v>85</v>
      </c>
      <c r="G16" s="13" t="s">
        <v>5</v>
      </c>
      <c r="H16"/>
      <c r="I16"/>
      <c r="J16"/>
      <c r="K16"/>
      <c r="L16"/>
      <c r="M16"/>
    </row>
    <row r="17" spans="1:13" s="13" customFormat="1" x14ac:dyDescent="0.3">
      <c r="A17" s="16" t="s">
        <v>25</v>
      </c>
      <c r="B17" s="16">
        <f>COUNTIF(CustomerDataSet_Original!E:E,'Descriptive analysis'!A17)</f>
        <v>305</v>
      </c>
      <c r="F17" s="23" t="s">
        <v>86</v>
      </c>
      <c r="G17" s="13" t="s">
        <v>84</v>
      </c>
      <c r="H17"/>
      <c r="I17"/>
      <c r="J17"/>
      <c r="K17"/>
      <c r="L17"/>
      <c r="M17"/>
    </row>
    <row r="18" spans="1:13" s="13" customFormat="1" x14ac:dyDescent="0.3">
      <c r="A18" s="15" t="s">
        <v>88</v>
      </c>
      <c r="B18" s="15">
        <f>SUM(B16:B17)</f>
        <v>400</v>
      </c>
      <c r="F18"/>
      <c r="H18"/>
      <c r="I18"/>
      <c r="J18"/>
      <c r="K18"/>
      <c r="L18"/>
      <c r="M18"/>
    </row>
    <row r="19" spans="1:13" s="13" customFormat="1" x14ac:dyDescent="0.3">
      <c r="A19"/>
      <c r="F19" s="17" t="s">
        <v>5</v>
      </c>
      <c r="G19" s="17" t="s">
        <v>89</v>
      </c>
      <c r="H19"/>
      <c r="I19"/>
      <c r="J19"/>
      <c r="K19"/>
      <c r="L19"/>
      <c r="M19"/>
    </row>
    <row r="20" spans="1:13" s="13" customFormat="1" x14ac:dyDescent="0.3">
      <c r="A20" s="23" t="s">
        <v>85</v>
      </c>
      <c r="B20" s="25" t="s">
        <v>90</v>
      </c>
      <c r="F20" s="16" t="s">
        <v>32</v>
      </c>
      <c r="G20" s="24">
        <f>COUNTIF(CustomerDataSet_Original!F:F,'Descriptive analysis'!F20)/400</f>
        <v>0.73250000000000004</v>
      </c>
      <c r="H20"/>
      <c r="I20"/>
      <c r="J20"/>
      <c r="K20"/>
      <c r="L20"/>
      <c r="M20"/>
    </row>
    <row r="21" spans="1:13" s="13" customFormat="1" x14ac:dyDescent="0.3">
      <c r="A21" s="23" t="s">
        <v>86</v>
      </c>
      <c r="B21" s="13" t="s">
        <v>83</v>
      </c>
      <c r="F21" s="16" t="s">
        <v>15</v>
      </c>
      <c r="G21" s="24">
        <f>COUNTIF(CustomerDataSet_Original!F:F,'Descriptive analysis'!F21)/400</f>
        <v>0.14249999999999999</v>
      </c>
      <c r="H21"/>
      <c r="I21"/>
      <c r="J21"/>
      <c r="K21"/>
      <c r="L21"/>
      <c r="M21"/>
    </row>
    <row r="22" spans="1:13" s="13" customFormat="1" x14ac:dyDescent="0.3">
      <c r="A22"/>
      <c r="F22" s="16" t="s">
        <v>37</v>
      </c>
      <c r="G22" s="24">
        <f>COUNTIF(CustomerDataSet_Original!F:F,'Descriptive analysis'!F22)/400</f>
        <v>4.4999999999999998E-2</v>
      </c>
      <c r="H22"/>
      <c r="I22"/>
      <c r="J22"/>
      <c r="K22"/>
      <c r="L22"/>
      <c r="M22"/>
    </row>
    <row r="23" spans="1:13" s="13" customFormat="1" x14ac:dyDescent="0.3">
      <c r="A23" s="17" t="s">
        <v>4</v>
      </c>
      <c r="B23" s="17" t="s">
        <v>87</v>
      </c>
      <c r="F23" s="16" t="s">
        <v>26</v>
      </c>
      <c r="G23" s="24">
        <f>COUNTIF(CustomerDataSet_Original!F:F,'Descriptive analysis'!F23)/400</f>
        <v>2.75E-2</v>
      </c>
      <c r="H23"/>
      <c r="I23"/>
      <c r="J23"/>
      <c r="K23"/>
      <c r="L23"/>
      <c r="M23"/>
    </row>
    <row r="24" spans="1:13" s="13" customFormat="1" x14ac:dyDescent="0.3">
      <c r="A24" s="122" t="s">
        <v>80</v>
      </c>
      <c r="B24" s="16">
        <f>COUNTIF(CustomerDataSet_Original!G:G,'Descriptive analysis'!A24)</f>
        <v>44</v>
      </c>
      <c r="F24" s="16" t="s">
        <v>41</v>
      </c>
      <c r="G24" s="24">
        <f>COUNTIF(CustomerDataSet_Original!F:F,'Descriptive analysis'!F24)/400</f>
        <v>2.5000000000000001E-2</v>
      </c>
      <c r="H24"/>
      <c r="I24"/>
      <c r="J24"/>
      <c r="K24"/>
      <c r="L24"/>
      <c r="M24"/>
    </row>
    <row r="25" spans="1:13" s="13" customFormat="1" x14ac:dyDescent="0.3">
      <c r="A25" s="122" t="s">
        <v>81</v>
      </c>
      <c r="B25" s="16">
        <f>COUNTIF(CustomerDataSet_Original!G:G,'Descriptive analysis'!A25)</f>
        <v>356</v>
      </c>
      <c r="F25" s="16" t="s">
        <v>53</v>
      </c>
      <c r="G25" s="24">
        <f>COUNTIF(CustomerDataSet_Original!F:F,'Descriptive analysis'!F25)/400</f>
        <v>2.2499999999999999E-2</v>
      </c>
      <c r="H25"/>
      <c r="I25"/>
      <c r="J25"/>
      <c r="K25"/>
      <c r="L25"/>
      <c r="M25"/>
    </row>
    <row r="26" spans="1:13" s="13" customFormat="1" x14ac:dyDescent="0.3">
      <c r="A26" s="15" t="s">
        <v>88</v>
      </c>
      <c r="B26" s="15">
        <f>SUM(B24:B25)</f>
        <v>400</v>
      </c>
      <c r="F26" s="16" t="s">
        <v>19</v>
      </c>
      <c r="G26" s="24">
        <f>COUNTIF(CustomerDataSet_Original!F:F,'Descriptive analysis'!F26)/400</f>
        <v>5.0000000000000001E-3</v>
      </c>
      <c r="H26"/>
      <c r="I26"/>
      <c r="J26"/>
      <c r="K26"/>
      <c r="L26"/>
      <c r="M26"/>
    </row>
    <row r="28" spans="1:13" x14ac:dyDescent="0.3">
      <c r="A28" s="23" t="s">
        <v>85</v>
      </c>
      <c r="B28" s="25" t="s">
        <v>92</v>
      </c>
      <c r="F28" s="23" t="s">
        <v>85</v>
      </c>
      <c r="G28" s="13" t="s">
        <v>91</v>
      </c>
    </row>
    <row r="29" spans="1:13" x14ac:dyDescent="0.3">
      <c r="A29" s="23" t="s">
        <v>86</v>
      </c>
      <c r="B29" s="13" t="s">
        <v>83</v>
      </c>
      <c r="F29" s="23" t="s">
        <v>86</v>
      </c>
      <c r="G29" s="13" t="s">
        <v>84</v>
      </c>
    </row>
    <row r="30" spans="1:13" x14ac:dyDescent="0.3">
      <c r="F30"/>
    </row>
    <row r="31" spans="1:13" x14ac:dyDescent="0.3">
      <c r="A31" s="17" t="s">
        <v>4</v>
      </c>
      <c r="B31" s="17" t="s">
        <v>87</v>
      </c>
      <c r="F31" s="17" t="s">
        <v>385</v>
      </c>
      <c r="G31" s="17" t="s">
        <v>89</v>
      </c>
    </row>
    <row r="32" spans="1:13" x14ac:dyDescent="0.3">
      <c r="A32" s="16" t="s">
        <v>43</v>
      </c>
      <c r="B32" s="16">
        <f>COUNTIF(CustomerDataSet_Original!K:K,'Descriptive analysis'!A32)</f>
        <v>331</v>
      </c>
      <c r="F32" s="129" t="s">
        <v>28</v>
      </c>
      <c r="G32" s="178">
        <f>COUNTIF(CustomerDataSet_Original!H:H,'Descriptive analysis'!F32)/400</f>
        <v>0.5675</v>
      </c>
    </row>
    <row r="33" spans="1:7" x14ac:dyDescent="0.3">
      <c r="A33" s="16" t="s">
        <v>18</v>
      </c>
      <c r="B33" s="16">
        <f>COUNTIF(CustomerDataSet_Original!K:K,'Descriptive analysis'!A33)</f>
        <v>69</v>
      </c>
      <c r="F33" s="20" t="s">
        <v>17</v>
      </c>
      <c r="G33" s="24">
        <f>COUNTIF(CustomerDataSet_Original!H:H,'Descriptive analysis'!F33)/400</f>
        <v>0.155</v>
      </c>
    </row>
    <row r="34" spans="1:7" x14ac:dyDescent="0.3">
      <c r="A34" s="15" t="s">
        <v>88</v>
      </c>
      <c r="B34" s="15">
        <f>SUM(B32:B33)</f>
        <v>400</v>
      </c>
      <c r="F34" s="20" t="s">
        <v>45</v>
      </c>
      <c r="G34" s="24">
        <f>COUNTIF(CustomerDataSet_Original!H:H,'Descriptive analysis'!F34)/400</f>
        <v>0.155</v>
      </c>
    </row>
    <row r="35" spans="1:7" x14ac:dyDescent="0.3">
      <c r="F35" s="20" t="s">
        <v>49</v>
      </c>
      <c r="G35" s="24">
        <f>COUNTIF(CustomerDataSet_Original!H:H,'Descriptive analysis'!F35)/400</f>
        <v>0.1225</v>
      </c>
    </row>
    <row r="37" spans="1:7" x14ac:dyDescent="0.3">
      <c r="A37" s="26" t="s">
        <v>94</v>
      </c>
      <c r="B37" s="13" t="e">
        <f>ROUND(#REF!/13,0)</f>
        <v>#REF!</v>
      </c>
    </row>
    <row r="38" spans="1:7" x14ac:dyDescent="0.3">
      <c r="A38" s="120" t="s">
        <v>378</v>
      </c>
      <c r="B38" s="120" t="s">
        <v>87</v>
      </c>
      <c r="C38" s="120" t="s">
        <v>382</v>
      </c>
    </row>
    <row r="39" spans="1:7" x14ac:dyDescent="0.3">
      <c r="A39" s="122">
        <v>18</v>
      </c>
      <c r="B39" s="122">
        <f t="array" ref="B39:B52">FREQUENCY(CustomerDataSet_Original!C2:C401,'Descriptive analysis'!A39:A52)</f>
        <v>1</v>
      </c>
      <c r="C39" s="126">
        <f>B39/SUM($B$39:$B$52)</f>
        <v>2.5000000000000001E-3</v>
      </c>
    </row>
    <row r="40" spans="1:7" x14ac:dyDescent="0.3">
      <c r="A40" s="122">
        <f>A39+4</f>
        <v>22</v>
      </c>
      <c r="B40" s="122">
        <v>10</v>
      </c>
      <c r="C40" s="126">
        <f t="shared" ref="C40:C52" si="0">B40/SUM($B$39:$B$52)</f>
        <v>2.5000000000000001E-2</v>
      </c>
    </row>
    <row r="41" spans="1:7" x14ac:dyDescent="0.3">
      <c r="A41" s="122">
        <f t="shared" ref="A41:A51" si="1">A40+4</f>
        <v>26</v>
      </c>
      <c r="B41" s="122">
        <v>30</v>
      </c>
      <c r="C41" s="126">
        <f t="shared" si="0"/>
        <v>7.4999999999999997E-2</v>
      </c>
    </row>
    <row r="42" spans="1:7" x14ac:dyDescent="0.3">
      <c r="A42" s="122">
        <f t="shared" si="1"/>
        <v>30</v>
      </c>
      <c r="B42" s="122">
        <v>47</v>
      </c>
      <c r="C42" s="126">
        <f t="shared" si="0"/>
        <v>0.11749999999999999</v>
      </c>
    </row>
    <row r="43" spans="1:7" x14ac:dyDescent="0.3">
      <c r="A43" s="122">
        <f t="shared" si="1"/>
        <v>34</v>
      </c>
      <c r="B43" s="122">
        <v>47</v>
      </c>
      <c r="C43" s="126">
        <f t="shared" si="0"/>
        <v>0.11749999999999999</v>
      </c>
      <c r="F43" s="23" t="s">
        <v>85</v>
      </c>
      <c r="G43" s="13" t="s">
        <v>8</v>
      </c>
    </row>
    <row r="44" spans="1:7" x14ac:dyDescent="0.3">
      <c r="A44" s="122">
        <f t="shared" si="1"/>
        <v>38</v>
      </c>
      <c r="B44" s="122">
        <v>56</v>
      </c>
      <c r="C44" s="126">
        <f t="shared" si="0"/>
        <v>0.14000000000000001</v>
      </c>
      <c r="F44" s="23" t="s">
        <v>86</v>
      </c>
      <c r="G44" s="13" t="s">
        <v>84</v>
      </c>
    </row>
    <row r="45" spans="1:7" x14ac:dyDescent="0.3">
      <c r="A45" s="122">
        <f t="shared" si="1"/>
        <v>42</v>
      </c>
      <c r="B45" s="122">
        <v>63</v>
      </c>
      <c r="C45" s="126">
        <f t="shared" si="0"/>
        <v>0.1575</v>
      </c>
      <c r="F45"/>
    </row>
    <row r="46" spans="1:7" x14ac:dyDescent="0.3">
      <c r="A46" s="122">
        <f t="shared" si="1"/>
        <v>46</v>
      </c>
      <c r="B46" s="122">
        <v>36</v>
      </c>
      <c r="C46" s="126">
        <f t="shared" si="0"/>
        <v>0.09</v>
      </c>
      <c r="F46" s="17" t="s">
        <v>3</v>
      </c>
      <c r="G46" s="17" t="s">
        <v>89</v>
      </c>
    </row>
    <row r="47" spans="1:7" x14ac:dyDescent="0.3">
      <c r="A47" s="122">
        <f t="shared" si="1"/>
        <v>50</v>
      </c>
      <c r="B47" s="122">
        <v>30</v>
      </c>
      <c r="C47" s="126">
        <f t="shared" si="0"/>
        <v>7.4999999999999997E-2</v>
      </c>
      <c r="F47" s="16" t="s">
        <v>20</v>
      </c>
      <c r="G47" s="24">
        <f>COUNTIF(CustomerDataSet_Original!I:I,'Descriptive analysis'!F47)/400</f>
        <v>0.47499999999999998</v>
      </c>
    </row>
    <row r="48" spans="1:7" x14ac:dyDescent="0.3">
      <c r="A48" s="122">
        <f t="shared" si="1"/>
        <v>54</v>
      </c>
      <c r="B48" s="122">
        <v>25</v>
      </c>
      <c r="C48" s="126">
        <f t="shared" si="0"/>
        <v>6.25E-2</v>
      </c>
      <c r="F48" s="16" t="s">
        <v>29</v>
      </c>
      <c r="G48" s="24">
        <f>COUNTIF(CustomerDataSet_Original!I:I,'Descriptive analysis'!F48)/400</f>
        <v>0.24</v>
      </c>
    </row>
    <row r="49" spans="1:7" x14ac:dyDescent="0.3">
      <c r="A49" s="122">
        <f>A48+4</f>
        <v>58</v>
      </c>
      <c r="B49" s="122">
        <v>21</v>
      </c>
      <c r="C49" s="126">
        <f t="shared" si="0"/>
        <v>5.2499999999999998E-2</v>
      </c>
      <c r="F49" s="16" t="s">
        <v>33</v>
      </c>
      <c r="G49" s="24">
        <f>COUNTIF(CustomerDataSet_Original!I:I,'Descriptive analysis'!F49)/400</f>
        <v>0.18</v>
      </c>
    </row>
    <row r="50" spans="1:7" x14ac:dyDescent="0.3">
      <c r="A50" s="122">
        <f t="shared" si="1"/>
        <v>62</v>
      </c>
      <c r="B50" s="122">
        <v>22</v>
      </c>
      <c r="C50" s="126">
        <f t="shared" si="0"/>
        <v>5.5E-2</v>
      </c>
      <c r="F50" s="16" t="s">
        <v>38</v>
      </c>
      <c r="G50" s="24">
        <f>COUNTIF(CustomerDataSet_Original!I:I,'Descriptive analysis'!F50)/400</f>
        <v>0.105</v>
      </c>
    </row>
    <row r="51" spans="1:7" x14ac:dyDescent="0.3">
      <c r="A51" s="122">
        <f t="shared" si="1"/>
        <v>66</v>
      </c>
      <c r="B51" s="122">
        <v>10</v>
      </c>
      <c r="C51" s="126">
        <f t="shared" si="0"/>
        <v>2.5000000000000001E-2</v>
      </c>
    </row>
    <row r="52" spans="1:7" x14ac:dyDescent="0.3">
      <c r="A52" s="122">
        <f>A51+4</f>
        <v>70</v>
      </c>
      <c r="B52" s="122">
        <v>2</v>
      </c>
      <c r="C52" s="126">
        <f t="shared" si="0"/>
        <v>5.0000000000000001E-3</v>
      </c>
    </row>
    <row r="53" spans="1:7" x14ac:dyDescent="0.3">
      <c r="A53" s="13"/>
    </row>
    <row r="57" spans="1:7" x14ac:dyDescent="0.3">
      <c r="F57" s="23" t="s">
        <v>85</v>
      </c>
      <c r="G57" s="13" t="s">
        <v>9</v>
      </c>
    </row>
    <row r="58" spans="1:7" x14ac:dyDescent="0.3">
      <c r="F58" s="23" t="s">
        <v>86</v>
      </c>
      <c r="G58" s="13" t="s">
        <v>84</v>
      </c>
    </row>
    <row r="59" spans="1:7" x14ac:dyDescent="0.3">
      <c r="F59"/>
    </row>
    <row r="60" spans="1:7" x14ac:dyDescent="0.3">
      <c r="F60" s="17" t="s">
        <v>3</v>
      </c>
      <c r="G60" s="17" t="s">
        <v>89</v>
      </c>
    </row>
    <row r="61" spans="1:7" x14ac:dyDescent="0.3">
      <c r="F61" s="16" t="s">
        <v>46</v>
      </c>
      <c r="G61" s="24">
        <f>COUNTIF(CustomerDataSet_Original!J:J,'Descriptive analysis'!F61)/400</f>
        <v>0.20749999999999999</v>
      </c>
    </row>
    <row r="62" spans="1:7" x14ac:dyDescent="0.3">
      <c r="F62" s="16" t="s">
        <v>30</v>
      </c>
      <c r="G62" s="24">
        <f>COUNTIF(CustomerDataSet_Original!J:J,'Descriptive analysis'!F62)/400</f>
        <v>0.16250000000000001</v>
      </c>
    </row>
    <row r="63" spans="1:7" x14ac:dyDescent="0.3">
      <c r="F63" s="16" t="s">
        <v>39</v>
      </c>
      <c r="G63" s="24">
        <f>COUNTIF(CustomerDataSet_Original!J:J,'Descriptive analysis'!F63)/400</f>
        <v>0.14499999999999999</v>
      </c>
    </row>
    <row r="64" spans="1:7" x14ac:dyDescent="0.3">
      <c r="F64" s="16" t="s">
        <v>47</v>
      </c>
      <c r="G64" s="24">
        <f>COUNTIF(CustomerDataSet_Original!J:J,'Descriptive analysis'!F64)/400</f>
        <v>0.1275</v>
      </c>
    </row>
    <row r="65" spans="1:7" x14ac:dyDescent="0.3">
      <c r="F65" s="16" t="s">
        <v>42</v>
      </c>
      <c r="G65" s="24">
        <f>COUNTIF(CustomerDataSet_Original!J:J,'Descriptive analysis'!F65)/400</f>
        <v>0.125</v>
      </c>
    </row>
    <row r="66" spans="1:7" x14ac:dyDescent="0.3">
      <c r="F66" s="16" t="s">
        <v>21</v>
      </c>
      <c r="G66" s="24">
        <f>COUNTIF(CustomerDataSet_Original!J:J,'Descriptive analysis'!F66)/400</f>
        <v>0.11749999999999999</v>
      </c>
    </row>
    <row r="67" spans="1:7" x14ac:dyDescent="0.3">
      <c r="F67" s="16" t="s">
        <v>34</v>
      </c>
      <c r="G67" s="24">
        <f>COUNTIF(CustomerDataSet_Original!J:J,'Descriptive analysis'!F67)/400</f>
        <v>0.115</v>
      </c>
    </row>
    <row r="68" spans="1:7" x14ac:dyDescent="0.3">
      <c r="A68" s="26" t="s">
        <v>11</v>
      </c>
    </row>
    <row r="69" spans="1:7" x14ac:dyDescent="0.3">
      <c r="A69" s="120" t="s">
        <v>381</v>
      </c>
      <c r="B69" s="120" t="s">
        <v>87</v>
      </c>
      <c r="C69" s="120" t="s">
        <v>377</v>
      </c>
    </row>
    <row r="70" spans="1:7" x14ac:dyDescent="0.3">
      <c r="A70" s="122">
        <v>0</v>
      </c>
      <c r="B70" s="122">
        <v>97</v>
      </c>
      <c r="C70" s="126">
        <f>B70/SUM($B$70:$B$85)</f>
        <v>0.24249999999999999</v>
      </c>
      <c r="F70" s="23" t="s">
        <v>85</v>
      </c>
      <c r="G70" s="25" t="s">
        <v>93</v>
      </c>
    </row>
    <row r="71" spans="1:7" x14ac:dyDescent="0.3">
      <c r="A71" s="122">
        <v>150</v>
      </c>
      <c r="B71" s="122">
        <v>133</v>
      </c>
      <c r="C71" s="126">
        <f t="shared" ref="C71:C84" si="2">B71/SUM($B$70:$B$85)</f>
        <v>0.33250000000000002</v>
      </c>
      <c r="F71" s="23" t="s">
        <v>86</v>
      </c>
      <c r="G71" s="13" t="s">
        <v>84</v>
      </c>
    </row>
    <row r="72" spans="1:7" x14ac:dyDescent="0.3">
      <c r="A72" s="122">
        <v>300</v>
      </c>
      <c r="B72" s="122">
        <v>50</v>
      </c>
      <c r="C72" s="126">
        <f t="shared" si="2"/>
        <v>0.125</v>
      </c>
      <c r="F72"/>
    </row>
    <row r="73" spans="1:7" x14ac:dyDescent="0.3">
      <c r="A73" s="122">
        <v>450</v>
      </c>
      <c r="B73" s="122">
        <v>54</v>
      </c>
      <c r="C73" s="126">
        <f t="shared" si="2"/>
        <v>0.13500000000000001</v>
      </c>
      <c r="F73" s="17" t="s">
        <v>3</v>
      </c>
      <c r="G73" s="17" t="s">
        <v>89</v>
      </c>
    </row>
    <row r="74" spans="1:7" x14ac:dyDescent="0.3">
      <c r="A74" s="122">
        <v>600</v>
      </c>
      <c r="B74" s="122">
        <v>21</v>
      </c>
      <c r="C74" s="126">
        <f t="shared" si="2"/>
        <v>5.2499999999999998E-2</v>
      </c>
      <c r="F74" s="20" t="s">
        <v>44</v>
      </c>
      <c r="G74" s="24">
        <f>COUNTIF(CustomerDataSet_Original!M:M,'Descriptive analysis'!F74)/400</f>
        <v>0.435</v>
      </c>
    </row>
    <row r="75" spans="1:7" x14ac:dyDescent="0.3">
      <c r="A75" s="122">
        <v>750</v>
      </c>
      <c r="B75" s="122">
        <v>17</v>
      </c>
      <c r="C75" s="126">
        <f t="shared" si="2"/>
        <v>4.2500000000000003E-2</v>
      </c>
      <c r="F75" s="20" t="s">
        <v>22</v>
      </c>
      <c r="G75" s="24">
        <f>COUNTIF(CustomerDataSet_Original!M:M,'Descriptive analysis'!F75)/400</f>
        <v>0.33500000000000002</v>
      </c>
    </row>
    <row r="76" spans="1:7" x14ac:dyDescent="0.3">
      <c r="A76" s="122">
        <v>900</v>
      </c>
      <c r="B76" s="122">
        <v>8</v>
      </c>
      <c r="C76" s="126">
        <f t="shared" si="2"/>
        <v>0.02</v>
      </c>
      <c r="F76" s="20" t="s">
        <v>35</v>
      </c>
      <c r="G76" s="24">
        <f>COUNTIF(CustomerDataSet_Original!M:M,'Descriptive analysis'!F76)/400</f>
        <v>0.14249999999999999</v>
      </c>
    </row>
    <row r="77" spans="1:7" x14ac:dyDescent="0.3">
      <c r="A77" s="122">
        <v>1050</v>
      </c>
      <c r="B77" s="122">
        <v>6</v>
      </c>
      <c r="C77" s="126">
        <f t="shared" si="2"/>
        <v>1.4999999999999999E-2</v>
      </c>
      <c r="F77" s="20" t="s">
        <v>40</v>
      </c>
      <c r="G77" s="24">
        <f>COUNTIF(CustomerDataSet_Original!M:M,'Descriptive analysis'!F77)/400</f>
        <v>8.7499999999999994E-2</v>
      </c>
    </row>
    <row r="78" spans="1:7" x14ac:dyDescent="0.3">
      <c r="A78" s="122">
        <v>1200</v>
      </c>
      <c r="B78" s="122">
        <v>6</v>
      </c>
      <c r="C78" s="126">
        <f t="shared" si="2"/>
        <v>1.4999999999999999E-2</v>
      </c>
    </row>
    <row r="79" spans="1:7" x14ac:dyDescent="0.3">
      <c r="A79" s="122">
        <v>1350</v>
      </c>
      <c r="B79" s="122">
        <v>4</v>
      </c>
      <c r="C79" s="126">
        <f t="shared" si="2"/>
        <v>0.01</v>
      </c>
    </row>
    <row r="80" spans="1:7" x14ac:dyDescent="0.3">
      <c r="A80" s="122">
        <v>1500</v>
      </c>
      <c r="B80" s="122">
        <v>0</v>
      </c>
      <c r="C80" s="126">
        <f t="shared" si="2"/>
        <v>0</v>
      </c>
    </row>
    <row r="81" spans="1:7" x14ac:dyDescent="0.3">
      <c r="A81" s="122">
        <v>1650</v>
      </c>
      <c r="B81" s="122">
        <v>1</v>
      </c>
      <c r="C81" s="126">
        <f t="shared" si="2"/>
        <v>2.5000000000000001E-3</v>
      </c>
    </row>
    <row r="82" spans="1:7" x14ac:dyDescent="0.3">
      <c r="A82" s="122">
        <v>1800</v>
      </c>
      <c r="B82" s="122">
        <v>2</v>
      </c>
      <c r="C82" s="126">
        <f t="shared" si="2"/>
        <v>5.0000000000000001E-3</v>
      </c>
    </row>
    <row r="83" spans="1:7" x14ac:dyDescent="0.3">
      <c r="A83" s="122">
        <v>1950</v>
      </c>
      <c r="B83" s="122">
        <v>0</v>
      </c>
      <c r="C83" s="126">
        <f t="shared" si="2"/>
        <v>0</v>
      </c>
    </row>
    <row r="84" spans="1:7" ht="15" thickBot="1" x14ac:dyDescent="0.35">
      <c r="A84" s="122">
        <v>2100</v>
      </c>
      <c r="B84" s="122">
        <v>1</v>
      </c>
      <c r="C84" s="126">
        <f t="shared" si="2"/>
        <v>2.5000000000000001E-3</v>
      </c>
    </row>
    <row r="85" spans="1:7" x14ac:dyDescent="0.3">
      <c r="A85" s="13"/>
      <c r="F85" s="125" t="s">
        <v>11</v>
      </c>
      <c r="G85" s="125"/>
    </row>
    <row r="86" spans="1:7" x14ac:dyDescent="0.3">
      <c r="F86" s="83"/>
      <c r="G86" s="83"/>
    </row>
    <row r="87" spans="1:7" x14ac:dyDescent="0.3">
      <c r="F87" s="83" t="s">
        <v>71</v>
      </c>
      <c r="G87" s="176">
        <v>229.64250000000001</v>
      </c>
    </row>
    <row r="88" spans="1:7" x14ac:dyDescent="0.3">
      <c r="F88" s="83" t="s">
        <v>133</v>
      </c>
      <c r="G88" s="176">
        <v>16.028068244911292</v>
      </c>
    </row>
    <row r="89" spans="1:7" x14ac:dyDescent="0.3">
      <c r="F89" s="83" t="s">
        <v>72</v>
      </c>
      <c r="G89" s="176">
        <v>113</v>
      </c>
    </row>
    <row r="90" spans="1:7" x14ac:dyDescent="0.3">
      <c r="F90" s="83" t="s">
        <v>387</v>
      </c>
      <c r="G90" s="13">
        <f>QUARTILE(CustomerDataSet_Original!Savings,1)</f>
        <v>12</v>
      </c>
    </row>
    <row r="91" spans="1:7" x14ac:dyDescent="0.3">
      <c r="F91" s="83" t="s">
        <v>388</v>
      </c>
      <c r="G91" s="13">
        <f>QUARTILE(CustomerDataSet_Original!Savings,3)</f>
        <v>357</v>
      </c>
    </row>
    <row r="92" spans="1:7" x14ac:dyDescent="0.3">
      <c r="F92" s="83" t="s">
        <v>389</v>
      </c>
      <c r="G92" s="13">
        <f>G91-G90</f>
        <v>345</v>
      </c>
    </row>
    <row r="93" spans="1:7" x14ac:dyDescent="0.3">
      <c r="F93" s="83" t="s">
        <v>386</v>
      </c>
      <c r="G93" s="176">
        <v>320.56136489822586</v>
      </c>
    </row>
    <row r="94" spans="1:7" x14ac:dyDescent="0.3">
      <c r="F94" s="83" t="s">
        <v>76</v>
      </c>
      <c r="G94" s="176">
        <v>5.4599766844337569</v>
      </c>
    </row>
    <row r="95" spans="1:7" x14ac:dyDescent="0.3">
      <c r="F95" s="83" t="s">
        <v>77</v>
      </c>
      <c r="G95" s="176">
        <v>2.0802771237018187</v>
      </c>
    </row>
    <row r="96" spans="1:7" x14ac:dyDescent="0.3">
      <c r="F96" s="83" t="s">
        <v>73</v>
      </c>
      <c r="G96" s="176">
        <v>2043</v>
      </c>
    </row>
    <row r="97" spans="1:7" x14ac:dyDescent="0.3">
      <c r="F97" s="83" t="s">
        <v>95</v>
      </c>
      <c r="G97" s="176">
        <v>-87</v>
      </c>
    </row>
    <row r="98" spans="1:7" x14ac:dyDescent="0.3">
      <c r="F98" s="83" t="s">
        <v>96</v>
      </c>
      <c r="G98" s="176">
        <v>1956</v>
      </c>
    </row>
    <row r="99" spans="1:7" x14ac:dyDescent="0.3">
      <c r="F99" s="83" t="s">
        <v>78</v>
      </c>
      <c r="G99" s="176">
        <v>91857</v>
      </c>
    </row>
    <row r="100" spans="1:7" ht="15" thickBot="1" x14ac:dyDescent="0.35">
      <c r="F100" s="84" t="s">
        <v>79</v>
      </c>
      <c r="G100" s="177">
        <v>400</v>
      </c>
    </row>
    <row r="105" spans="1:7" x14ac:dyDescent="0.3">
      <c r="A105" s="13"/>
    </row>
    <row r="106" spans="1:7" x14ac:dyDescent="0.3">
      <c r="A106" s="13"/>
    </row>
    <row r="107" spans="1:7" x14ac:dyDescent="0.3">
      <c r="A107" s="13"/>
    </row>
    <row r="108" spans="1:7" x14ac:dyDescent="0.3">
      <c r="A108" s="13"/>
    </row>
    <row r="109" spans="1:7" x14ac:dyDescent="0.3">
      <c r="A109" s="13"/>
    </row>
    <row r="110" spans="1:7" x14ac:dyDescent="0.3">
      <c r="A110" s="13"/>
    </row>
    <row r="111" spans="1:7" x14ac:dyDescent="0.3">
      <c r="A111" s="13"/>
    </row>
    <row r="112" spans="1:7"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sheetData>
  <sortState xmlns:xlrd2="http://schemas.microsoft.com/office/spreadsheetml/2017/richdata2" ref="E88:E103">
    <sortCondition ref="E88"/>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B5B9-C111-4E80-9F27-4DD2E1595C9D}">
  <dimension ref="A1:T42"/>
  <sheetViews>
    <sheetView showGridLines="0" workbookViewId="0"/>
  </sheetViews>
  <sheetFormatPr defaultRowHeight="14.4" x14ac:dyDescent="0.3"/>
  <cols>
    <col min="1" max="1" width="16" customWidth="1"/>
    <col min="2" max="2" width="13.77734375" style="13" customWidth="1"/>
    <col min="3" max="3" width="10.5546875" style="13" bestFit="1" customWidth="1"/>
    <col min="4" max="4" width="9.5546875" style="13" bestFit="1" customWidth="1"/>
    <col min="5" max="5" width="10.5546875" style="13" bestFit="1" customWidth="1"/>
    <col min="6" max="6" width="8.88671875" style="13"/>
    <col min="7" max="7" width="15.88671875" style="13" customWidth="1"/>
    <col min="8" max="8" width="14.44140625" bestFit="1" customWidth="1"/>
    <col min="9" max="9" width="11.21875" customWidth="1"/>
    <col min="10" max="10" width="9.33203125" customWidth="1"/>
    <col min="11" max="11" width="12" bestFit="1" customWidth="1"/>
    <col min="13" max="13" width="8.88671875" style="13"/>
  </cols>
  <sheetData>
    <row r="1" spans="1:20" x14ac:dyDescent="0.3">
      <c r="A1" s="128" t="s">
        <v>8</v>
      </c>
      <c r="B1" s="128" t="s">
        <v>20</v>
      </c>
      <c r="C1" s="128" t="s">
        <v>33</v>
      </c>
      <c r="D1" s="128" t="s">
        <v>38</v>
      </c>
      <c r="E1" s="128" t="s">
        <v>29</v>
      </c>
      <c r="G1" s="128" t="s">
        <v>4</v>
      </c>
      <c r="H1" s="128" t="s">
        <v>40</v>
      </c>
      <c r="I1" s="128" t="s">
        <v>35</v>
      </c>
      <c r="J1" s="128" t="s">
        <v>44</v>
      </c>
      <c r="K1" s="128" t="s">
        <v>22</v>
      </c>
      <c r="M1" s="128" t="s">
        <v>1</v>
      </c>
      <c r="N1" s="128" t="s">
        <v>32</v>
      </c>
      <c r="O1" s="128" t="s">
        <v>26</v>
      </c>
      <c r="P1" s="128" t="s">
        <v>37</v>
      </c>
      <c r="Q1" s="128" t="s">
        <v>53</v>
      </c>
      <c r="R1" s="128" t="s">
        <v>41</v>
      </c>
      <c r="S1" s="128" t="s">
        <v>15</v>
      </c>
      <c r="T1" s="128" t="s">
        <v>19</v>
      </c>
    </row>
    <row r="2" spans="1:20" x14ac:dyDescent="0.3">
      <c r="A2" s="18" t="s">
        <v>383</v>
      </c>
      <c r="B2" s="127">
        <f>AVERAGEIF(CustomerDataSet_Original!$I$1:$I$401,'Descriptive analysis charts'!B1,CustomerDataSet_Original!$L$1:$L$401)</f>
        <v>262.44210526315788</v>
      </c>
      <c r="C2" s="127">
        <f>AVERAGEIF(CustomerDataSet_Original!$I$1:$I$401,'Descriptive analysis charts'!C1,CustomerDataSet_Original!$L$1:$L$401)</f>
        <v>230.84722222222223</v>
      </c>
      <c r="D2" s="127">
        <f>AVERAGEIF(CustomerDataSet_Original!$I$1:$I$401,'Descriptive analysis charts'!D1,CustomerDataSet_Original!$L$1:$L$401)</f>
        <v>137.38095238095238</v>
      </c>
      <c r="E2" s="127">
        <f>AVERAGEIF(CustomerDataSet_Original!$I$1:$I$401,'Descriptive analysis charts'!E1,CustomerDataSet_Original!$L$1:$L$401)</f>
        <v>204.1875</v>
      </c>
      <c r="G2" s="130" t="s">
        <v>25</v>
      </c>
      <c r="H2" s="174">
        <f>AVERAGEIFS(CustomerDataSet_Original!$L$1:$L$401,CustomerDataSet_Original!$M$1:$M$401,'Descriptive analysis charts'!H1,CustomerDataSet_Original!$E$1:$E$401,'Descriptive analysis charts'!$G2)</f>
        <v>113.08</v>
      </c>
      <c r="I2" s="174">
        <f>AVERAGEIFS(CustomerDataSet_Original!$L$1:$L$401,CustomerDataSet_Original!$M$1:$M$401,'Descriptive analysis charts'!I1,CustomerDataSet_Original!$E$1:$E$401,'Descriptive analysis charts'!$G2)</f>
        <v>68.32352941176471</v>
      </c>
      <c r="J2" s="174">
        <f>AVERAGEIFS(CustomerDataSet_Original!$L$1:$L$401,CustomerDataSet_Original!$M$1:$M$401,'Descriptive analysis charts'!J1,CustomerDataSet_Original!$E$1:$E$401,'Descriptive analysis charts'!$G2)</f>
        <v>241.81690140845072</v>
      </c>
      <c r="K2" s="174">
        <f>AVERAGEIFS(CustomerDataSet_Original!$L$1:$L$401,CustomerDataSet_Original!$M$1:$M$401,'Descriptive analysis charts'!K1,CustomerDataSet_Original!$E$1:$E$401,'Descriptive analysis charts'!$G2)</f>
        <v>326.96153846153845</v>
      </c>
      <c r="M2" s="130" t="s">
        <v>12</v>
      </c>
      <c r="N2" s="175">
        <f>COUNTIFS(CustomerDataSet_Original!$B$1:$B$401,'Descriptive analysis charts'!$M2,CustomerDataSet_Original!$F$1:$F$401,'Descriptive analysis charts'!N$1)/400</f>
        <v>0.46500000000000002</v>
      </c>
      <c r="O2" s="175">
        <f>COUNTIFS(CustomerDataSet_Original!$B$1:$B$401,'Descriptive analysis charts'!$M2,CustomerDataSet_Original!$F$1:$F$401,'Descriptive analysis charts'!O$1)/400</f>
        <v>1.7500000000000002E-2</v>
      </c>
      <c r="P2" s="175">
        <f>COUNTIFS(CustomerDataSet_Original!$B$1:$B$401,'Descriptive analysis charts'!$M2,CustomerDataSet_Original!$F$1:$F$401,'Descriptive analysis charts'!P$1)/400</f>
        <v>2.2499999999999999E-2</v>
      </c>
      <c r="Q2" s="175">
        <f>COUNTIFS(CustomerDataSet_Original!$B$1:$B$401,'Descriptive analysis charts'!$M2,CustomerDataSet_Original!$F$1:$F$401,'Descriptive analysis charts'!Q$1)/400</f>
        <v>1.4999999999999999E-2</v>
      </c>
      <c r="R2" s="175">
        <f>COUNTIFS(CustomerDataSet_Original!$B$1:$B$401,'Descriptive analysis charts'!$M2,CustomerDataSet_Original!$F$1:$F$401,'Descriptive analysis charts'!R$1)/400</f>
        <v>0.01</v>
      </c>
      <c r="S2" s="175">
        <f>COUNTIFS(CustomerDataSet_Original!$B$1:$B$401,'Descriptive analysis charts'!$M2,CustomerDataSet_Original!$F$1:$F$401,'Descriptive analysis charts'!S$1)/400</f>
        <v>4.7500000000000001E-2</v>
      </c>
      <c r="T2" s="175">
        <f>COUNTIFS(CustomerDataSet_Original!$B$1:$B$401,'Descriptive analysis charts'!$M2,CustomerDataSet_Original!$F$1:$F$401,'Descriptive analysis charts'!T$1)/400</f>
        <v>5.0000000000000001E-3</v>
      </c>
    </row>
    <row r="3" spans="1:20" x14ac:dyDescent="0.3">
      <c r="G3" s="130" t="s">
        <v>14</v>
      </c>
      <c r="H3" s="174">
        <f>AVERAGEIFS(CustomerDataSet_Original!$L$1:$L$401,CustomerDataSet_Original!$M$1:$M$401,'Descriptive analysis charts'!H1,CustomerDataSet_Original!$E$1:$E$401,'Descriptive analysis charts'!$G3)</f>
        <v>80.2</v>
      </c>
      <c r="I3" s="174">
        <f>AVERAGEIFS(CustomerDataSet_Original!$L$1:$L$401,CustomerDataSet_Original!$M$1:$M$401,'Descriptive analysis charts'!I1,CustomerDataSet_Original!$E$1:$E$401,'Descriptive analysis charts'!$G3)</f>
        <v>38.695652173913047</v>
      </c>
      <c r="J3" s="174">
        <f>AVERAGEIFS(CustomerDataSet_Original!$L$1:$L$401,CustomerDataSet_Original!$M$1:$M$401,'Descriptive analysis charts'!J1,CustomerDataSet_Original!$E$1:$E$401,'Descriptive analysis charts'!$G3)</f>
        <v>241.6875</v>
      </c>
      <c r="K3" s="174">
        <f>AVERAGEIFS(CustomerDataSet_Original!$L$1:$L$401,CustomerDataSet_Original!$M$1:$M$401,'Descriptive analysis charts'!K1,CustomerDataSet_Original!$E$1:$E$401,'Descriptive analysis charts'!$G3)</f>
        <v>297.96666666666664</v>
      </c>
      <c r="M3" s="130" t="s">
        <v>23</v>
      </c>
      <c r="N3" s="175">
        <f>COUNTIFS(CustomerDataSet_Original!$B$1:$B$401,'Descriptive analysis charts'!$M3,CustomerDataSet_Original!$F$1:$F$401,'Descriptive analysis charts'!N$1)/400</f>
        <v>0.26750000000000002</v>
      </c>
      <c r="O3" s="175">
        <f>COUNTIFS(CustomerDataSet_Original!$B$1:$B$401,'Descriptive analysis charts'!$M3,CustomerDataSet_Original!$F$1:$F$401,'Descriptive analysis charts'!O$1)/400</f>
        <v>0.01</v>
      </c>
      <c r="P3" s="175">
        <f>COUNTIFS(CustomerDataSet_Original!$B$1:$B$401,'Descriptive analysis charts'!$M3,CustomerDataSet_Original!$F$1:$F$401,'Descriptive analysis charts'!P$1)/400</f>
        <v>2.2499999999999999E-2</v>
      </c>
      <c r="Q3" s="175">
        <f>COUNTIFS(CustomerDataSet_Original!$B$1:$B$401,'Descriptive analysis charts'!$M3,CustomerDataSet_Original!$F$1:$F$401,'Descriptive analysis charts'!Q$1)/400</f>
        <v>7.4999999999999997E-3</v>
      </c>
      <c r="R3" s="175">
        <f>COUNTIFS(CustomerDataSet_Original!$B$1:$B$401,'Descriptive analysis charts'!$M3,CustomerDataSet_Original!$F$1:$F$401,'Descriptive analysis charts'!R$1)/400</f>
        <v>1.4999999999999999E-2</v>
      </c>
      <c r="S3" s="175">
        <f>COUNTIFS(CustomerDataSet_Original!$B$1:$B$401,'Descriptive analysis charts'!$M3,CustomerDataSet_Original!$F$1:$F$401,'Descriptive analysis charts'!S$1)/400</f>
        <v>9.5000000000000001E-2</v>
      </c>
      <c r="T3" s="175">
        <f>COUNTIFS(CustomerDataSet_Original!$B$1:$B$401,'Descriptive analysis charts'!$M3,CustomerDataSet_Original!$F$1:$F$401,'Descriptive analysis charts'!T$1)/400</f>
        <v>0</v>
      </c>
    </row>
    <row r="18" spans="1:8" x14ac:dyDescent="0.3">
      <c r="A18" s="128" t="s">
        <v>192</v>
      </c>
      <c r="B18" s="128" t="s">
        <v>383</v>
      </c>
      <c r="G18" s="128" t="s">
        <v>3</v>
      </c>
      <c r="H18" s="128" t="s">
        <v>384</v>
      </c>
    </row>
    <row r="19" spans="1:8" x14ac:dyDescent="0.3">
      <c r="A19" s="18" t="s">
        <v>16</v>
      </c>
      <c r="B19" s="127">
        <f>AVERAGEIF(CustomerDataSet_Original!$G$1:$G$401,'Descriptive analysis charts'!A19,CustomerDataSet_Original!$L$1:$L$401)</f>
        <v>360.63636363636363</v>
      </c>
      <c r="G19" s="130" t="s">
        <v>31</v>
      </c>
      <c r="H19" s="127">
        <f>AVERAGEIF(CustomerDataSet_Original!$D$1:$D$401,'Descriptive analysis charts'!G19,CustomerDataSet_Original!$L$1:$L$401)</f>
        <v>266.95275590551182</v>
      </c>
    </row>
    <row r="20" spans="1:8" x14ac:dyDescent="0.3">
      <c r="A20" s="18" t="s">
        <v>27</v>
      </c>
      <c r="B20" s="127">
        <f>AVERAGEIF(CustomerDataSet_Original!$G$1:$G$401,'Descriptive analysis charts'!A20,CustomerDataSet_Original!$L$1:$L$401)</f>
        <v>213.45224719101122</v>
      </c>
      <c r="C20" s="62">
        <f>B19-B20</f>
        <v>147.1841164453524</v>
      </c>
      <c r="G20" s="130" t="s">
        <v>36</v>
      </c>
      <c r="H20" s="127">
        <f>AVERAGEIF(CustomerDataSet_Original!$D$1:$D$401,'Descriptive analysis charts'!G20,CustomerDataSet_Original!$L$1:$L$401)</f>
        <v>242.3370786516854</v>
      </c>
    </row>
    <row r="21" spans="1:8" x14ac:dyDescent="0.3">
      <c r="G21" s="130" t="s">
        <v>13</v>
      </c>
      <c r="H21" s="127">
        <f>AVERAGEIF(CustomerDataSet_Original!$D$1:$D$401,'Descriptive analysis charts'!G21,CustomerDataSet_Original!$L$1:$L$401)</f>
        <v>240.36065573770492</v>
      </c>
    </row>
    <row r="22" spans="1:8" x14ac:dyDescent="0.3">
      <c r="G22" s="130" t="s">
        <v>51</v>
      </c>
      <c r="H22" s="127">
        <f>AVERAGEIF(CustomerDataSet_Original!$D$1:$D$401,'Descriptive analysis charts'!G22,CustomerDataSet_Original!$L$1:$L$401)</f>
        <v>205.25531914893617</v>
      </c>
    </row>
    <row r="23" spans="1:8" x14ac:dyDescent="0.3">
      <c r="G23" s="130" t="s">
        <v>24</v>
      </c>
      <c r="H23" s="127">
        <f>AVERAGEIF(CustomerDataSet_Original!$D$1:$D$401,'Descriptive analysis charts'!G23,CustomerDataSet_Original!$L$1:$L$401)</f>
        <v>187.23076923076923</v>
      </c>
    </row>
    <row r="24" spans="1:8" x14ac:dyDescent="0.3">
      <c r="G24" s="130" t="s">
        <v>48</v>
      </c>
      <c r="H24" s="127">
        <f>AVERAGEIF(CustomerDataSet_Original!$D$1:$D$401,'Descriptive analysis charts'!G24,CustomerDataSet_Original!$L$1:$L$401)</f>
        <v>175.91666666666666</v>
      </c>
    </row>
    <row r="25" spans="1:8" x14ac:dyDescent="0.3">
      <c r="G25" s="130" t="s">
        <v>52</v>
      </c>
      <c r="H25" s="127">
        <f>AVERAGEIF(CustomerDataSet_Original!$D$1:$D$401,'Descriptive analysis charts'!G25,CustomerDataSet_Original!$L$1:$L$401)</f>
        <v>153.73333333333332</v>
      </c>
    </row>
    <row r="26" spans="1:8" x14ac:dyDescent="0.3">
      <c r="G26" s="130" t="s">
        <v>50</v>
      </c>
      <c r="H26" s="127">
        <f>AVERAGEIF(CustomerDataSet_Original!$D$1:$D$401,'Descriptive analysis charts'!G26,CustomerDataSet_Original!$L$1:$L$401)</f>
        <v>83.666666666666671</v>
      </c>
    </row>
    <row r="38" spans="1:11" x14ac:dyDescent="0.3">
      <c r="A38" s="128" t="s">
        <v>82</v>
      </c>
      <c r="B38" s="128" t="s">
        <v>17</v>
      </c>
      <c r="C38" s="128" t="s">
        <v>45</v>
      </c>
      <c r="D38" s="128" t="s">
        <v>28</v>
      </c>
      <c r="E38" s="128" t="s">
        <v>49</v>
      </c>
      <c r="G38" s="128" t="s">
        <v>8</v>
      </c>
      <c r="H38" s="128" t="s">
        <v>40</v>
      </c>
      <c r="I38" s="128" t="s">
        <v>35</v>
      </c>
      <c r="J38" s="128" t="s">
        <v>44</v>
      </c>
      <c r="K38" s="128" t="s">
        <v>22</v>
      </c>
    </row>
    <row r="39" spans="1:11" x14ac:dyDescent="0.3">
      <c r="A39" s="130" t="s">
        <v>384</v>
      </c>
      <c r="B39" s="127">
        <f>AVERAGEIF(CustomerDataSet_Original!$H$1:$H$401,'Descriptive analysis charts'!B$38,CustomerDataSet_Original!$L$1:$L$401)</f>
        <v>285.64516129032256</v>
      </c>
      <c r="C39" s="127">
        <f>AVERAGEIF(CustomerDataSet_Original!$H$1:$H$401,'Descriptive analysis charts'!C$38,CustomerDataSet_Original!$L$1:$L$401)</f>
        <v>507.91935483870969</v>
      </c>
      <c r="D39" s="127">
        <f>AVERAGEIF(CustomerDataSet_Original!$H$1:$H$401,'Descriptive analysis charts'!D$38,CustomerDataSet_Original!$L$1:$L$401)</f>
        <v>38.374449339207047</v>
      </c>
      <c r="E39" s="127">
        <f>AVERAGEIF(CustomerDataSet_Original!$H$1:$H$401,'Descriptive analysis charts'!E$38,CustomerDataSet_Original!$L$1:$L$401)</f>
        <v>692.75510204081638</v>
      </c>
      <c r="G39" s="130" t="s">
        <v>20</v>
      </c>
      <c r="H39" s="179">
        <f>COUNTIFS(CustomerDataSet_Original!$I$1:$I$401,'Descriptive analysis charts'!$G39,CustomerDataSet_Original!$M$1:$M$401,'Descriptive analysis charts'!H$38)/COUNTIF(CustomerDataSet_Original!$I$1:$I$401,'Descriptive analysis charts'!$G39)</f>
        <v>0.1</v>
      </c>
      <c r="I39" s="179">
        <f>COUNTIFS(CustomerDataSet_Original!$I$1:$I$401,'Descriptive analysis charts'!$G39,CustomerDataSet_Original!$M$1:$M$401,'Descriptive analysis charts'!I$38)/COUNTIF(CustomerDataSet_Original!$I$1:$I$401,'Descriptive analysis charts'!$G39)</f>
        <v>0.14210526315789473</v>
      </c>
      <c r="J39" s="179">
        <f>COUNTIFS(CustomerDataSet_Original!$I$1:$I$401,'Descriptive analysis charts'!$G39,CustomerDataSet_Original!$M$1:$M$401,'Descriptive analysis charts'!J$38)/COUNTIF(CustomerDataSet_Original!$I$1:$I$401,'Descriptive analysis charts'!$G39)</f>
        <v>0.43157894736842106</v>
      </c>
      <c r="K39" s="179">
        <f>COUNTIFS(CustomerDataSet_Original!$I$1:$I$401,'Descriptive analysis charts'!$G39,CustomerDataSet_Original!$M$1:$M$401,'Descriptive analysis charts'!K$38)/COUNTIF(CustomerDataSet_Original!$I$1:$I$401,'Descriptive analysis charts'!$G39)</f>
        <v>0.32631578947368423</v>
      </c>
    </row>
    <row r="40" spans="1:11" x14ac:dyDescent="0.3">
      <c r="G40" s="130" t="s">
        <v>33</v>
      </c>
      <c r="H40" s="179">
        <f>COUNTIFS(CustomerDataSet_Original!$I$1:$I$401,'Descriptive analysis charts'!$G40,CustomerDataSet_Original!$M$1:$M$401,'Descriptive analysis charts'!H$38)/COUNTIF(CustomerDataSet_Original!$I$1:$I$401,'Descriptive analysis charts'!$G40)</f>
        <v>5.5555555555555552E-2</v>
      </c>
      <c r="I40" s="179">
        <f>COUNTIFS(CustomerDataSet_Original!$I$1:$I$401,'Descriptive analysis charts'!$G40,CustomerDataSet_Original!$M$1:$M$401,'Descriptive analysis charts'!I$38)/COUNTIF(CustomerDataSet_Original!$I$1:$I$401,'Descriptive analysis charts'!$G40)</f>
        <v>0.15277777777777779</v>
      </c>
      <c r="J40" s="179">
        <f>COUNTIFS(CustomerDataSet_Original!$I$1:$I$401,'Descriptive analysis charts'!$G40,CustomerDataSet_Original!$M$1:$M$401,'Descriptive analysis charts'!J$38)/COUNTIF(CustomerDataSet_Original!$I$1:$I$401,'Descriptive analysis charts'!$G40)</f>
        <v>0.47222222222222221</v>
      </c>
      <c r="K40" s="179">
        <f>COUNTIFS(CustomerDataSet_Original!$I$1:$I$401,'Descriptive analysis charts'!$G40,CustomerDataSet_Original!$M$1:$M$401,'Descriptive analysis charts'!K$38)/COUNTIF(CustomerDataSet_Original!$I$1:$I$401,'Descriptive analysis charts'!$G40)</f>
        <v>0.31944444444444442</v>
      </c>
    </row>
    <row r="41" spans="1:11" x14ac:dyDescent="0.3">
      <c r="G41" s="130" t="s">
        <v>38</v>
      </c>
      <c r="H41" s="179">
        <f>COUNTIFS(CustomerDataSet_Original!$I$1:$I$401,'Descriptive analysis charts'!$G41,CustomerDataSet_Original!$M$1:$M$401,'Descriptive analysis charts'!H$38)/COUNTIF(CustomerDataSet_Original!$I$1:$I$401,'Descriptive analysis charts'!$G41)</f>
        <v>7.1428571428571425E-2</v>
      </c>
      <c r="I41" s="179">
        <f>COUNTIFS(CustomerDataSet_Original!$I$1:$I$401,'Descriptive analysis charts'!$G41,CustomerDataSet_Original!$M$1:$M$401,'Descriptive analysis charts'!I$38)/COUNTIF(CustomerDataSet_Original!$I$1:$I$401,'Descriptive analysis charts'!$G41)</f>
        <v>9.5238095238095233E-2</v>
      </c>
      <c r="J41" s="179">
        <f>COUNTIFS(CustomerDataSet_Original!$I$1:$I$401,'Descriptive analysis charts'!$G41,CustomerDataSet_Original!$M$1:$M$401,'Descriptive analysis charts'!J$38)/COUNTIF(CustomerDataSet_Original!$I$1:$I$401,'Descriptive analysis charts'!$G41)</f>
        <v>0.52380952380952384</v>
      </c>
      <c r="K41" s="179">
        <f>COUNTIFS(CustomerDataSet_Original!$I$1:$I$401,'Descriptive analysis charts'!$G41,CustomerDataSet_Original!$M$1:$M$401,'Descriptive analysis charts'!K$38)/COUNTIF(CustomerDataSet_Original!$I$1:$I$401,'Descriptive analysis charts'!$G41)</f>
        <v>0.30952380952380953</v>
      </c>
    </row>
    <row r="42" spans="1:11" x14ac:dyDescent="0.3">
      <c r="G42" s="130" t="s">
        <v>29</v>
      </c>
      <c r="H42" s="179">
        <f>COUNTIFS(CustomerDataSet_Original!$I$1:$I$401,'Descriptive analysis charts'!$G42,CustomerDataSet_Original!$M$1:$M$401,'Descriptive analysis charts'!H$38)/COUNTIF(CustomerDataSet_Original!$I$1:$I$401,'Descriptive analysis charts'!$G42)</f>
        <v>9.375E-2</v>
      </c>
      <c r="I42" s="179">
        <f>COUNTIFS(CustomerDataSet_Original!$I$1:$I$401,'Descriptive analysis charts'!$G42,CustomerDataSet_Original!$M$1:$M$401,'Descriptive analysis charts'!I$38)/COUNTIF(CustomerDataSet_Original!$I$1:$I$401,'Descriptive analysis charts'!$G42)</f>
        <v>0.15625</v>
      </c>
      <c r="J42" s="179">
        <f>COUNTIFS(CustomerDataSet_Original!$I$1:$I$401,'Descriptive analysis charts'!$G42,CustomerDataSet_Original!$M$1:$M$401,'Descriptive analysis charts'!J$38)/COUNTIF(CustomerDataSet_Original!$I$1:$I$401,'Descriptive analysis charts'!$G42)</f>
        <v>0.375</v>
      </c>
      <c r="K42" s="179">
        <f>COUNTIFS(CustomerDataSet_Original!$I$1:$I$401,'Descriptive analysis charts'!$G42,CustomerDataSet_Original!$M$1:$M$401,'Descriptive analysis charts'!K$38)/COUNTIF(CustomerDataSet_Original!$I$1:$I$401,'Descriptive analysis charts'!$G42)</f>
        <v>0.375</v>
      </c>
    </row>
  </sheetData>
  <sortState xmlns:xlrd2="http://schemas.microsoft.com/office/spreadsheetml/2017/richdata2" ref="G19:H26">
    <sortCondition descending="1" ref="H19:H26"/>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D7EE0-EB8D-4229-B209-1CB1920E045D}">
  <dimension ref="A1:M401"/>
  <sheetViews>
    <sheetView zoomScale="90" zoomScaleNormal="90" workbookViewId="0">
      <selection activeCell="M4" sqref="M4"/>
    </sheetView>
  </sheetViews>
  <sheetFormatPr defaultColWidth="9.109375" defaultRowHeight="14.4" x14ac:dyDescent="0.3"/>
  <cols>
    <col min="1" max="1" width="9.109375" style="9"/>
    <col min="2" max="2" width="7.6640625" style="3" bestFit="1" customWidth="1"/>
    <col min="3" max="3" width="10.88671875" style="3" bestFit="1" customWidth="1"/>
    <col min="4" max="4" width="24.6640625" style="3" bestFit="1" customWidth="1"/>
    <col min="5" max="5" width="6.44140625" style="3" bestFit="1" customWidth="1"/>
    <col min="6" max="6" width="8.88671875" style="3" bestFit="1" customWidth="1"/>
    <col min="7" max="7" width="12.6640625" style="3" bestFit="1" customWidth="1"/>
    <col min="8" max="8" width="9.77734375" style="3" bestFit="1" customWidth="1"/>
    <col min="9" max="9" width="8.5546875" style="3" bestFit="1" customWidth="1"/>
    <col min="10" max="10" width="7.77734375" style="3" bestFit="1" customWidth="1"/>
    <col min="11" max="11" width="18" style="3" bestFit="1" customWidth="1"/>
    <col min="12" max="12" width="9.88671875" style="3" bestFit="1" customWidth="1"/>
    <col min="13" max="13" width="15.44140625" style="3" bestFit="1" customWidth="1"/>
    <col min="14" max="16384" width="9.109375" style="3"/>
  </cols>
  <sheetData>
    <row r="1" spans="1:13" s="4" customFormat="1" x14ac:dyDescent="0.3">
      <c r="A1" s="10" t="s">
        <v>0</v>
      </c>
      <c r="B1" s="4" t="s">
        <v>1</v>
      </c>
      <c r="C1" s="4" t="s">
        <v>2</v>
      </c>
      <c r="D1" s="4" t="s">
        <v>3</v>
      </c>
      <c r="E1" s="4" t="s">
        <v>4</v>
      </c>
      <c r="F1" s="4" t="s">
        <v>5</v>
      </c>
      <c r="G1" s="4" t="s">
        <v>6</v>
      </c>
      <c r="H1" s="4" t="s">
        <v>7</v>
      </c>
      <c r="I1" s="4" t="s">
        <v>8</v>
      </c>
      <c r="J1" s="4" t="s">
        <v>9</v>
      </c>
      <c r="K1" s="8" t="s">
        <v>68</v>
      </c>
      <c r="L1" s="4" t="s">
        <v>11</v>
      </c>
      <c r="M1" s="4" t="s">
        <v>10</v>
      </c>
    </row>
    <row r="2" spans="1:13" x14ac:dyDescent="0.3">
      <c r="A2" s="11">
        <v>1</v>
      </c>
      <c r="B2" s="3" t="s">
        <v>12</v>
      </c>
      <c r="C2" s="5">
        <v>35</v>
      </c>
      <c r="D2" s="3" t="s">
        <v>13</v>
      </c>
      <c r="E2" s="3" t="s">
        <v>14</v>
      </c>
      <c r="F2" s="3" t="s">
        <v>15</v>
      </c>
      <c r="G2" s="3" t="s">
        <v>16</v>
      </c>
      <c r="H2" s="3" t="s">
        <v>17</v>
      </c>
      <c r="I2" s="3" t="s">
        <v>20</v>
      </c>
      <c r="J2" s="3" t="s">
        <v>21</v>
      </c>
      <c r="K2" s="3" t="s">
        <v>43</v>
      </c>
      <c r="L2" s="6">
        <v>1068</v>
      </c>
      <c r="M2" s="3" t="s">
        <v>22</v>
      </c>
    </row>
    <row r="3" spans="1:13" x14ac:dyDescent="0.3">
      <c r="A3" s="11">
        <v>2</v>
      </c>
      <c r="B3" s="3" t="s">
        <v>23</v>
      </c>
      <c r="C3" s="5">
        <v>64</v>
      </c>
      <c r="D3" s="3" t="s">
        <v>24</v>
      </c>
      <c r="E3" s="3" t="s">
        <v>25</v>
      </c>
      <c r="F3" s="3" t="s">
        <v>37</v>
      </c>
      <c r="G3" s="3" t="s">
        <v>27</v>
      </c>
      <c r="H3" s="3" t="s">
        <v>28</v>
      </c>
      <c r="I3" s="3" t="s">
        <v>29</v>
      </c>
      <c r="J3" s="3" t="s">
        <v>30</v>
      </c>
      <c r="K3" s="3" t="s">
        <v>43</v>
      </c>
      <c r="L3" s="6">
        <v>40</v>
      </c>
      <c r="M3" s="3" t="s">
        <v>22</v>
      </c>
    </row>
    <row r="4" spans="1:13" x14ac:dyDescent="0.3">
      <c r="A4" s="11">
        <v>3</v>
      </c>
      <c r="B4" s="3" t="s">
        <v>12</v>
      </c>
      <c r="C4" s="5">
        <v>33</v>
      </c>
      <c r="D4" s="3" t="s">
        <v>31</v>
      </c>
      <c r="E4" s="3" t="s">
        <v>14</v>
      </c>
      <c r="F4" s="3" t="s">
        <v>32</v>
      </c>
      <c r="G4" s="3" t="s">
        <v>27</v>
      </c>
      <c r="H4" s="3" t="s">
        <v>28</v>
      </c>
      <c r="I4" s="3" t="s">
        <v>33</v>
      </c>
      <c r="J4" s="3" t="s">
        <v>21</v>
      </c>
      <c r="K4" s="3" t="s">
        <v>18</v>
      </c>
      <c r="L4" s="6">
        <v>20</v>
      </c>
      <c r="M4" s="3" t="s">
        <v>35</v>
      </c>
    </row>
    <row r="5" spans="1:13" x14ac:dyDescent="0.3">
      <c r="A5" s="11">
        <v>4</v>
      </c>
      <c r="B5" s="3" t="s">
        <v>12</v>
      </c>
      <c r="C5" s="5">
        <v>23</v>
      </c>
      <c r="D5" s="3" t="s">
        <v>36</v>
      </c>
      <c r="E5" s="3" t="s">
        <v>14</v>
      </c>
      <c r="F5" s="3" t="s">
        <v>37</v>
      </c>
      <c r="G5" s="3" t="s">
        <v>27</v>
      </c>
      <c r="H5" s="3" t="s">
        <v>17</v>
      </c>
      <c r="I5" s="3" t="s">
        <v>38</v>
      </c>
      <c r="J5" s="3" t="s">
        <v>47</v>
      </c>
      <c r="K5" s="3" t="s">
        <v>18</v>
      </c>
      <c r="L5" s="6">
        <v>128</v>
      </c>
      <c r="M5" s="3" t="s">
        <v>40</v>
      </c>
    </row>
    <row r="6" spans="1:13" x14ac:dyDescent="0.3">
      <c r="A6" s="11">
        <v>5</v>
      </c>
      <c r="B6" s="3" t="s">
        <v>23</v>
      </c>
      <c r="C6" s="5">
        <v>58</v>
      </c>
      <c r="D6" s="3" t="s">
        <v>31</v>
      </c>
      <c r="E6" s="3" t="s">
        <v>25</v>
      </c>
      <c r="F6" s="3" t="s">
        <v>41</v>
      </c>
      <c r="G6" s="3" t="s">
        <v>27</v>
      </c>
      <c r="H6" s="3" t="s">
        <v>28</v>
      </c>
      <c r="I6" s="3" t="s">
        <v>20</v>
      </c>
      <c r="J6" s="3" t="s">
        <v>30</v>
      </c>
      <c r="K6" s="3" t="s">
        <v>18</v>
      </c>
      <c r="L6" s="6">
        <v>209</v>
      </c>
      <c r="M6" s="3" t="s">
        <v>22</v>
      </c>
    </row>
    <row r="7" spans="1:13" x14ac:dyDescent="0.3">
      <c r="A7" s="11">
        <v>6</v>
      </c>
      <c r="B7" s="3" t="s">
        <v>12</v>
      </c>
      <c r="C7" s="5">
        <v>60</v>
      </c>
      <c r="D7" s="3" t="s">
        <v>31</v>
      </c>
      <c r="E7" s="3" t="s">
        <v>25</v>
      </c>
      <c r="F7" s="3" t="s">
        <v>32</v>
      </c>
      <c r="G7" s="3" t="s">
        <v>27</v>
      </c>
      <c r="H7" s="3" t="s">
        <v>28</v>
      </c>
      <c r="I7" s="3" t="s">
        <v>38</v>
      </c>
      <c r="J7" s="3" t="s">
        <v>47</v>
      </c>
      <c r="K7" s="3" t="s">
        <v>18</v>
      </c>
      <c r="L7" s="6">
        <v>98</v>
      </c>
      <c r="M7" s="3" t="s">
        <v>44</v>
      </c>
    </row>
    <row r="8" spans="1:13" x14ac:dyDescent="0.3">
      <c r="A8" s="11">
        <v>7</v>
      </c>
      <c r="B8" s="3" t="s">
        <v>23</v>
      </c>
      <c r="C8" s="5">
        <v>37</v>
      </c>
      <c r="D8" s="3" t="s">
        <v>31</v>
      </c>
      <c r="E8" s="3" t="s">
        <v>14</v>
      </c>
      <c r="F8" s="3" t="s">
        <v>32</v>
      </c>
      <c r="G8" s="3" t="s">
        <v>27</v>
      </c>
      <c r="H8" s="3" t="s">
        <v>28</v>
      </c>
      <c r="I8" s="3" t="s">
        <v>20</v>
      </c>
      <c r="J8" s="3" t="s">
        <v>21</v>
      </c>
      <c r="K8" s="3" t="s">
        <v>43</v>
      </c>
      <c r="L8" s="6">
        <v>0</v>
      </c>
      <c r="M8" s="3" t="s">
        <v>40</v>
      </c>
    </row>
    <row r="9" spans="1:13" x14ac:dyDescent="0.3">
      <c r="A9" s="11">
        <v>8</v>
      </c>
      <c r="B9" s="3" t="s">
        <v>23</v>
      </c>
      <c r="C9" s="5">
        <v>59</v>
      </c>
      <c r="D9" s="3" t="s">
        <v>36</v>
      </c>
      <c r="E9" s="3" t="s">
        <v>14</v>
      </c>
      <c r="F9" s="3" t="s">
        <v>15</v>
      </c>
      <c r="G9" s="3" t="s">
        <v>27</v>
      </c>
      <c r="H9" s="3" t="s">
        <v>17</v>
      </c>
      <c r="I9" s="3" t="s">
        <v>20</v>
      </c>
      <c r="J9" s="3" t="s">
        <v>30</v>
      </c>
      <c r="K9" s="3" t="s">
        <v>18</v>
      </c>
      <c r="L9" s="6">
        <v>560</v>
      </c>
      <c r="M9" s="3" t="s">
        <v>44</v>
      </c>
    </row>
    <row r="10" spans="1:13" x14ac:dyDescent="0.3">
      <c r="A10" s="11">
        <v>9</v>
      </c>
      <c r="B10" s="3" t="s">
        <v>12</v>
      </c>
      <c r="C10" s="5">
        <v>39</v>
      </c>
      <c r="D10" s="3" t="s">
        <v>31</v>
      </c>
      <c r="E10" s="3" t="s">
        <v>25</v>
      </c>
      <c r="F10" s="3" t="s">
        <v>32</v>
      </c>
      <c r="G10" s="3" t="s">
        <v>27</v>
      </c>
      <c r="H10" s="3" t="s">
        <v>45</v>
      </c>
      <c r="I10" s="3" t="s">
        <v>29</v>
      </c>
      <c r="J10" s="3" t="s">
        <v>46</v>
      </c>
      <c r="K10" s="3" t="s">
        <v>43</v>
      </c>
      <c r="L10" s="6">
        <v>292</v>
      </c>
      <c r="M10" s="3" t="s">
        <v>22</v>
      </c>
    </row>
    <row r="11" spans="1:13" x14ac:dyDescent="0.3">
      <c r="A11" s="11">
        <v>10</v>
      </c>
      <c r="B11" s="3" t="s">
        <v>12</v>
      </c>
      <c r="C11" s="5">
        <v>60</v>
      </c>
      <c r="D11" s="3" t="s">
        <v>36</v>
      </c>
      <c r="E11" s="3" t="s">
        <v>25</v>
      </c>
      <c r="F11" s="3" t="s">
        <v>32</v>
      </c>
      <c r="G11" s="3" t="s">
        <v>27</v>
      </c>
      <c r="H11" s="3" t="s">
        <v>28</v>
      </c>
      <c r="I11" s="3" t="s">
        <v>20</v>
      </c>
      <c r="J11" s="3" t="s">
        <v>30</v>
      </c>
      <c r="K11" s="3" t="s">
        <v>18</v>
      </c>
      <c r="L11" s="6">
        <v>-29</v>
      </c>
      <c r="M11" s="3" t="s">
        <v>44</v>
      </c>
    </row>
    <row r="12" spans="1:13" x14ac:dyDescent="0.3">
      <c r="A12" s="11">
        <v>11</v>
      </c>
      <c r="B12" s="3" t="s">
        <v>23</v>
      </c>
      <c r="C12" s="5">
        <v>35</v>
      </c>
      <c r="D12" s="3" t="s">
        <v>13</v>
      </c>
      <c r="E12" s="3" t="s">
        <v>25</v>
      </c>
      <c r="F12" s="3" t="s">
        <v>32</v>
      </c>
      <c r="G12" s="3" t="s">
        <v>27</v>
      </c>
      <c r="H12" s="3" t="s">
        <v>45</v>
      </c>
      <c r="I12" s="3" t="s">
        <v>29</v>
      </c>
      <c r="J12" s="3" t="s">
        <v>47</v>
      </c>
      <c r="K12" s="3" t="s">
        <v>18</v>
      </c>
      <c r="L12" s="6">
        <v>893</v>
      </c>
      <c r="M12" s="3" t="s">
        <v>22</v>
      </c>
    </row>
    <row r="13" spans="1:13" x14ac:dyDescent="0.3">
      <c r="A13" s="11">
        <v>12</v>
      </c>
      <c r="B13" s="3" t="s">
        <v>12</v>
      </c>
      <c r="C13" s="5">
        <v>49</v>
      </c>
      <c r="D13" s="3" t="s">
        <v>31</v>
      </c>
      <c r="E13" s="3" t="s">
        <v>25</v>
      </c>
      <c r="F13" s="3" t="s">
        <v>32</v>
      </c>
      <c r="G13" s="3" t="s">
        <v>27</v>
      </c>
      <c r="H13" s="3" t="s">
        <v>45</v>
      </c>
      <c r="I13" s="3" t="s">
        <v>20</v>
      </c>
      <c r="J13" s="3" t="s">
        <v>47</v>
      </c>
      <c r="K13" s="3" t="s">
        <v>43</v>
      </c>
      <c r="L13" s="6">
        <v>383</v>
      </c>
      <c r="M13" s="3" t="s">
        <v>44</v>
      </c>
    </row>
    <row r="14" spans="1:13" x14ac:dyDescent="0.3">
      <c r="A14" s="11">
        <v>13</v>
      </c>
      <c r="B14" s="3" t="s">
        <v>23</v>
      </c>
      <c r="C14" s="5">
        <v>34</v>
      </c>
      <c r="D14" s="3" t="s">
        <v>31</v>
      </c>
      <c r="E14" s="3" t="s">
        <v>25</v>
      </c>
      <c r="F14" s="3" t="s">
        <v>32</v>
      </c>
      <c r="G14" s="3" t="s">
        <v>27</v>
      </c>
      <c r="H14" s="3" t="s">
        <v>28</v>
      </c>
      <c r="I14" s="3" t="s">
        <v>20</v>
      </c>
      <c r="J14" s="3" t="s">
        <v>21</v>
      </c>
      <c r="K14" s="3" t="s">
        <v>43</v>
      </c>
      <c r="L14" s="6">
        <v>0</v>
      </c>
      <c r="M14" s="3" t="s">
        <v>22</v>
      </c>
    </row>
    <row r="15" spans="1:13" x14ac:dyDescent="0.3">
      <c r="A15" s="11">
        <v>14</v>
      </c>
      <c r="B15" s="3" t="s">
        <v>23</v>
      </c>
      <c r="C15" s="5">
        <v>50</v>
      </c>
      <c r="D15" s="3" t="s">
        <v>13</v>
      </c>
      <c r="E15" s="3" t="s">
        <v>14</v>
      </c>
      <c r="F15" s="3" t="s">
        <v>32</v>
      </c>
      <c r="G15" s="3" t="s">
        <v>16</v>
      </c>
      <c r="H15" s="3" t="s">
        <v>28</v>
      </c>
      <c r="I15" s="3" t="s">
        <v>29</v>
      </c>
      <c r="J15" s="3" t="s">
        <v>46</v>
      </c>
      <c r="K15" s="3" t="s">
        <v>43</v>
      </c>
      <c r="L15" s="6">
        <v>39</v>
      </c>
      <c r="M15" s="3" t="s">
        <v>35</v>
      </c>
    </row>
    <row r="16" spans="1:13" x14ac:dyDescent="0.3">
      <c r="A16" s="11">
        <v>15</v>
      </c>
      <c r="B16" s="3" t="s">
        <v>12</v>
      </c>
      <c r="C16" s="5">
        <v>61</v>
      </c>
      <c r="D16" s="3" t="s">
        <v>36</v>
      </c>
      <c r="E16" s="3" t="s">
        <v>14</v>
      </c>
      <c r="F16" s="3" t="s">
        <v>32</v>
      </c>
      <c r="G16" s="3" t="s">
        <v>27</v>
      </c>
      <c r="H16" s="3" t="s">
        <v>17</v>
      </c>
      <c r="I16" s="3" t="s">
        <v>20</v>
      </c>
      <c r="J16" s="3" t="s">
        <v>30</v>
      </c>
      <c r="K16" s="3" t="s">
        <v>18</v>
      </c>
      <c r="L16" s="6">
        <v>429</v>
      </c>
      <c r="M16" s="3" t="s">
        <v>44</v>
      </c>
    </row>
    <row r="17" spans="1:13" x14ac:dyDescent="0.3">
      <c r="A17" s="11">
        <v>16</v>
      </c>
      <c r="B17" s="3" t="s">
        <v>12</v>
      </c>
      <c r="C17" s="5">
        <v>39</v>
      </c>
      <c r="D17" s="3" t="s">
        <v>13</v>
      </c>
      <c r="E17" s="3" t="s">
        <v>25</v>
      </c>
      <c r="F17" s="3" t="s">
        <v>32</v>
      </c>
      <c r="G17" s="3" t="s">
        <v>16</v>
      </c>
      <c r="H17" s="3" t="s">
        <v>28</v>
      </c>
      <c r="I17" s="3" t="s">
        <v>29</v>
      </c>
      <c r="J17" s="3" t="s">
        <v>42</v>
      </c>
      <c r="K17" s="3" t="s">
        <v>18</v>
      </c>
      <c r="L17" s="6">
        <v>54</v>
      </c>
      <c r="M17" s="3" t="s">
        <v>44</v>
      </c>
    </row>
    <row r="18" spans="1:13" x14ac:dyDescent="0.3">
      <c r="A18" s="11">
        <v>17</v>
      </c>
      <c r="B18" s="3" t="s">
        <v>23</v>
      </c>
      <c r="C18" s="5">
        <v>61</v>
      </c>
      <c r="D18" s="3" t="s">
        <v>31</v>
      </c>
      <c r="E18" s="3" t="s">
        <v>25</v>
      </c>
      <c r="F18" s="3" t="s">
        <v>15</v>
      </c>
      <c r="G18" s="3" t="s">
        <v>27</v>
      </c>
      <c r="H18" s="3" t="s">
        <v>28</v>
      </c>
      <c r="I18" s="3" t="s">
        <v>20</v>
      </c>
      <c r="J18" s="3" t="s">
        <v>21</v>
      </c>
      <c r="K18" s="3" t="s">
        <v>18</v>
      </c>
      <c r="L18" s="6">
        <v>58</v>
      </c>
      <c r="M18" s="3" t="s">
        <v>35</v>
      </c>
    </row>
    <row r="19" spans="1:13" x14ac:dyDescent="0.3">
      <c r="A19" s="11">
        <v>18</v>
      </c>
      <c r="B19" s="3" t="s">
        <v>12</v>
      </c>
      <c r="C19" s="5">
        <v>59</v>
      </c>
      <c r="D19" s="3" t="s">
        <v>31</v>
      </c>
      <c r="E19" s="3" t="s">
        <v>25</v>
      </c>
      <c r="F19" s="3" t="s">
        <v>32</v>
      </c>
      <c r="G19" s="3" t="s">
        <v>27</v>
      </c>
      <c r="H19" s="3" t="s">
        <v>28</v>
      </c>
      <c r="I19" s="3" t="s">
        <v>38</v>
      </c>
      <c r="J19" s="3" t="s">
        <v>34</v>
      </c>
      <c r="K19" s="3" t="s">
        <v>43</v>
      </c>
      <c r="L19" s="6">
        <v>73</v>
      </c>
      <c r="M19" s="3" t="s">
        <v>22</v>
      </c>
    </row>
    <row r="20" spans="1:13" x14ac:dyDescent="0.3">
      <c r="A20" s="11">
        <v>19</v>
      </c>
      <c r="B20" s="3" t="s">
        <v>12</v>
      </c>
      <c r="C20" s="5">
        <v>25</v>
      </c>
      <c r="D20" s="3" t="s">
        <v>48</v>
      </c>
      <c r="E20" s="3" t="s">
        <v>25</v>
      </c>
      <c r="F20" s="3" t="s">
        <v>32</v>
      </c>
      <c r="G20" s="3" t="s">
        <v>16</v>
      </c>
      <c r="H20" s="3" t="s">
        <v>28</v>
      </c>
      <c r="I20" s="3" t="s">
        <v>20</v>
      </c>
      <c r="J20" s="3" t="s">
        <v>42</v>
      </c>
      <c r="K20" s="3" t="s">
        <v>18</v>
      </c>
      <c r="L20" s="6">
        <v>-50</v>
      </c>
      <c r="M20" s="3" t="s">
        <v>22</v>
      </c>
    </row>
    <row r="21" spans="1:13" x14ac:dyDescent="0.3">
      <c r="A21" s="11">
        <v>20</v>
      </c>
      <c r="B21" s="3" t="s">
        <v>12</v>
      </c>
      <c r="C21" s="5">
        <v>18</v>
      </c>
      <c r="D21" s="3" t="s">
        <v>31</v>
      </c>
      <c r="E21" s="3" t="s">
        <v>25</v>
      </c>
      <c r="F21" s="5" t="s">
        <v>19</v>
      </c>
      <c r="G21" s="3" t="s">
        <v>27</v>
      </c>
      <c r="H21" s="3" t="s">
        <v>28</v>
      </c>
      <c r="I21" s="3" t="s">
        <v>33</v>
      </c>
      <c r="J21" s="3" t="s">
        <v>46</v>
      </c>
      <c r="K21" s="3" t="s">
        <v>43</v>
      </c>
      <c r="L21" s="6">
        <v>94</v>
      </c>
      <c r="M21" s="3" t="s">
        <v>44</v>
      </c>
    </row>
    <row r="22" spans="1:13" x14ac:dyDescent="0.3">
      <c r="A22" s="11">
        <v>21</v>
      </c>
      <c r="B22" s="3" t="s">
        <v>23</v>
      </c>
      <c r="C22" s="5">
        <v>37</v>
      </c>
      <c r="D22" s="3" t="s">
        <v>36</v>
      </c>
      <c r="E22" s="3" t="s">
        <v>25</v>
      </c>
      <c r="F22" s="3" t="s">
        <v>32</v>
      </c>
      <c r="G22" s="3" t="s">
        <v>27</v>
      </c>
      <c r="H22" s="3" t="s">
        <v>45</v>
      </c>
      <c r="I22" s="3" t="s">
        <v>29</v>
      </c>
      <c r="J22" s="3" t="s">
        <v>39</v>
      </c>
      <c r="K22" s="3" t="s">
        <v>43</v>
      </c>
      <c r="L22" s="6">
        <v>292</v>
      </c>
      <c r="M22" s="3" t="s">
        <v>22</v>
      </c>
    </row>
    <row r="23" spans="1:13" x14ac:dyDescent="0.3">
      <c r="A23" s="11">
        <v>22</v>
      </c>
      <c r="B23" s="3" t="s">
        <v>23</v>
      </c>
      <c r="C23" s="5">
        <v>24</v>
      </c>
      <c r="D23" s="3" t="s">
        <v>24</v>
      </c>
      <c r="E23" s="3" t="s">
        <v>25</v>
      </c>
      <c r="F23" s="3" t="s">
        <v>15</v>
      </c>
      <c r="G23" s="3" t="s">
        <v>16</v>
      </c>
      <c r="H23" s="3" t="s">
        <v>45</v>
      </c>
      <c r="I23" s="3" t="s">
        <v>38</v>
      </c>
      <c r="J23" s="3" t="s">
        <v>30</v>
      </c>
      <c r="K23" s="3" t="s">
        <v>18</v>
      </c>
      <c r="L23" s="6">
        <v>148</v>
      </c>
      <c r="M23" s="3" t="s">
        <v>44</v>
      </c>
    </row>
    <row r="24" spans="1:13" x14ac:dyDescent="0.3">
      <c r="A24" s="11">
        <v>23</v>
      </c>
      <c r="B24" s="3" t="s">
        <v>12</v>
      </c>
      <c r="C24" s="5">
        <v>33</v>
      </c>
      <c r="D24" s="3" t="s">
        <v>31</v>
      </c>
      <c r="E24" s="3" t="s">
        <v>25</v>
      </c>
      <c r="F24" s="3" t="s">
        <v>32</v>
      </c>
      <c r="G24" s="3" t="s">
        <v>27</v>
      </c>
      <c r="H24" s="3" t="s">
        <v>28</v>
      </c>
      <c r="I24" s="3" t="s">
        <v>20</v>
      </c>
      <c r="J24" s="3" t="s">
        <v>47</v>
      </c>
      <c r="K24" s="3" t="s">
        <v>18</v>
      </c>
      <c r="L24" s="6">
        <v>84</v>
      </c>
      <c r="M24" s="3" t="s">
        <v>44</v>
      </c>
    </row>
    <row r="25" spans="1:13" x14ac:dyDescent="0.3">
      <c r="A25" s="11">
        <v>24</v>
      </c>
      <c r="B25" s="3" t="s">
        <v>12</v>
      </c>
      <c r="C25" s="5">
        <v>30</v>
      </c>
      <c r="D25" s="3" t="s">
        <v>31</v>
      </c>
      <c r="E25" s="3" t="s">
        <v>25</v>
      </c>
      <c r="F25" s="3" t="s">
        <v>32</v>
      </c>
      <c r="G25" s="3" t="s">
        <v>27</v>
      </c>
      <c r="H25" s="3" t="s">
        <v>49</v>
      </c>
      <c r="I25" s="3" t="s">
        <v>20</v>
      </c>
      <c r="J25" s="3" t="s">
        <v>47</v>
      </c>
      <c r="K25" s="3" t="s">
        <v>43</v>
      </c>
      <c r="L25" s="6">
        <v>327</v>
      </c>
      <c r="M25" s="3" t="s">
        <v>44</v>
      </c>
    </row>
    <row r="26" spans="1:13" x14ac:dyDescent="0.3">
      <c r="A26" s="11">
        <v>25</v>
      </c>
      <c r="B26" s="3" t="s">
        <v>12</v>
      </c>
      <c r="C26" s="5">
        <v>43</v>
      </c>
      <c r="D26" s="3" t="s">
        <v>31</v>
      </c>
      <c r="E26" s="3" t="s">
        <v>14</v>
      </c>
      <c r="F26" s="3" t="s">
        <v>15</v>
      </c>
      <c r="G26" s="3" t="s">
        <v>27</v>
      </c>
      <c r="H26" s="3" t="s">
        <v>28</v>
      </c>
      <c r="I26" s="3" t="s">
        <v>20</v>
      </c>
      <c r="J26" s="3" t="s">
        <v>39</v>
      </c>
      <c r="K26" s="3" t="s">
        <v>43</v>
      </c>
      <c r="L26" s="6">
        <v>130</v>
      </c>
      <c r="M26" s="3" t="s">
        <v>44</v>
      </c>
    </row>
    <row r="27" spans="1:13" x14ac:dyDescent="0.3">
      <c r="A27" s="11">
        <v>26</v>
      </c>
      <c r="B27" s="3" t="s">
        <v>23</v>
      </c>
      <c r="C27" s="5">
        <v>56</v>
      </c>
      <c r="D27" s="3" t="s">
        <v>50</v>
      </c>
      <c r="E27" s="3" t="s">
        <v>25</v>
      </c>
      <c r="F27" s="3" t="s">
        <v>15</v>
      </c>
      <c r="G27" s="3" t="s">
        <v>27</v>
      </c>
      <c r="H27" s="3" t="s">
        <v>28</v>
      </c>
      <c r="I27" s="3" t="s">
        <v>29</v>
      </c>
      <c r="J27" s="3" t="s">
        <v>42</v>
      </c>
      <c r="K27" s="3" t="s">
        <v>43</v>
      </c>
      <c r="L27" s="6">
        <v>-10</v>
      </c>
      <c r="M27" s="3" t="s">
        <v>35</v>
      </c>
    </row>
    <row r="28" spans="1:13" x14ac:dyDescent="0.3">
      <c r="A28" s="11">
        <v>27</v>
      </c>
      <c r="B28" s="3" t="s">
        <v>12</v>
      </c>
      <c r="C28" s="5">
        <v>58</v>
      </c>
      <c r="D28" s="3" t="s">
        <v>50</v>
      </c>
      <c r="E28" s="3" t="s">
        <v>25</v>
      </c>
      <c r="F28" s="3" t="s">
        <v>32</v>
      </c>
      <c r="G28" s="3" t="s">
        <v>27</v>
      </c>
      <c r="H28" s="3" t="s">
        <v>17</v>
      </c>
      <c r="I28" s="3" t="s">
        <v>38</v>
      </c>
      <c r="J28" s="3" t="s">
        <v>30</v>
      </c>
      <c r="K28" s="3" t="s">
        <v>18</v>
      </c>
      <c r="L28" s="6">
        <v>168</v>
      </c>
      <c r="M28" s="3" t="s">
        <v>40</v>
      </c>
    </row>
    <row r="29" spans="1:13" x14ac:dyDescent="0.3">
      <c r="A29" s="11">
        <v>28</v>
      </c>
      <c r="B29" s="3" t="s">
        <v>12</v>
      </c>
      <c r="C29" s="5">
        <v>35</v>
      </c>
      <c r="D29" s="3" t="s">
        <v>36</v>
      </c>
      <c r="E29" s="3" t="s">
        <v>14</v>
      </c>
      <c r="F29" s="3" t="s">
        <v>32</v>
      </c>
      <c r="G29" s="3" t="s">
        <v>27</v>
      </c>
      <c r="H29" s="3" t="s">
        <v>28</v>
      </c>
      <c r="I29" s="3" t="s">
        <v>29</v>
      </c>
      <c r="J29" s="3" t="s">
        <v>21</v>
      </c>
      <c r="K29" s="3" t="s">
        <v>43</v>
      </c>
      <c r="L29" s="6">
        <v>40</v>
      </c>
      <c r="M29" s="3" t="s">
        <v>44</v>
      </c>
    </row>
    <row r="30" spans="1:13" x14ac:dyDescent="0.3">
      <c r="A30" s="11">
        <v>29</v>
      </c>
      <c r="B30" s="3" t="s">
        <v>23</v>
      </c>
      <c r="C30" s="5">
        <v>42</v>
      </c>
      <c r="D30" s="3" t="s">
        <v>13</v>
      </c>
      <c r="E30" s="3" t="s">
        <v>25</v>
      </c>
      <c r="F30" s="3" t="s">
        <v>15</v>
      </c>
      <c r="G30" s="3" t="s">
        <v>27</v>
      </c>
      <c r="H30" s="3" t="s">
        <v>45</v>
      </c>
      <c r="I30" s="3" t="s">
        <v>20</v>
      </c>
      <c r="J30" s="3" t="s">
        <v>30</v>
      </c>
      <c r="K30" s="3" t="s">
        <v>43</v>
      </c>
      <c r="L30" s="6">
        <v>505</v>
      </c>
      <c r="M30" s="3" t="s">
        <v>22</v>
      </c>
    </row>
    <row r="31" spans="1:13" x14ac:dyDescent="0.3">
      <c r="A31" s="11">
        <v>30</v>
      </c>
      <c r="B31" s="3" t="s">
        <v>23</v>
      </c>
      <c r="C31" s="5">
        <v>34</v>
      </c>
      <c r="D31" s="3" t="s">
        <v>36</v>
      </c>
      <c r="E31" s="3" t="s">
        <v>25</v>
      </c>
      <c r="F31" s="3" t="s">
        <v>32</v>
      </c>
      <c r="G31" s="3" t="s">
        <v>27</v>
      </c>
      <c r="H31" s="3" t="s">
        <v>28</v>
      </c>
      <c r="I31" s="3" t="s">
        <v>29</v>
      </c>
      <c r="J31" s="3" t="s">
        <v>34</v>
      </c>
      <c r="K31" s="3" t="s">
        <v>43</v>
      </c>
      <c r="L31" s="6">
        <v>0</v>
      </c>
      <c r="M31" s="3" t="s">
        <v>22</v>
      </c>
    </row>
    <row r="32" spans="1:13" x14ac:dyDescent="0.3">
      <c r="A32" s="11">
        <v>31</v>
      </c>
      <c r="B32" s="3" t="s">
        <v>23</v>
      </c>
      <c r="C32" s="5">
        <v>50</v>
      </c>
      <c r="D32" s="3" t="s">
        <v>36</v>
      </c>
      <c r="E32" s="3" t="s">
        <v>25</v>
      </c>
      <c r="F32" s="3" t="s">
        <v>32</v>
      </c>
      <c r="G32" s="3" t="s">
        <v>27</v>
      </c>
      <c r="H32" s="3" t="s">
        <v>28</v>
      </c>
      <c r="I32" s="3" t="s">
        <v>33</v>
      </c>
      <c r="J32" s="3" t="s">
        <v>39</v>
      </c>
      <c r="K32" s="3" t="s">
        <v>43</v>
      </c>
      <c r="L32" s="6">
        <v>51</v>
      </c>
      <c r="M32" s="3" t="s">
        <v>44</v>
      </c>
    </row>
    <row r="33" spans="1:13" x14ac:dyDescent="0.3">
      <c r="A33" s="11">
        <v>32</v>
      </c>
      <c r="B33" s="3" t="s">
        <v>23</v>
      </c>
      <c r="C33" s="5">
        <v>34</v>
      </c>
      <c r="D33" s="3" t="s">
        <v>36</v>
      </c>
      <c r="E33" s="3" t="s">
        <v>14</v>
      </c>
      <c r="F33" s="3" t="s">
        <v>37</v>
      </c>
      <c r="G33" s="3" t="s">
        <v>27</v>
      </c>
      <c r="H33" s="3" t="s">
        <v>28</v>
      </c>
      <c r="I33" s="3" t="s">
        <v>20</v>
      </c>
      <c r="J33" s="3" t="s">
        <v>34</v>
      </c>
      <c r="K33" s="3" t="s">
        <v>43</v>
      </c>
      <c r="L33" s="6">
        <v>149</v>
      </c>
      <c r="M33" s="3" t="s">
        <v>40</v>
      </c>
    </row>
    <row r="34" spans="1:13" x14ac:dyDescent="0.3">
      <c r="A34" s="11">
        <v>33</v>
      </c>
      <c r="B34" s="3" t="s">
        <v>12</v>
      </c>
      <c r="C34" s="5">
        <v>41</v>
      </c>
      <c r="D34" s="3" t="s">
        <v>36</v>
      </c>
      <c r="E34" s="3" t="s">
        <v>25</v>
      </c>
      <c r="F34" s="3" t="s">
        <v>32</v>
      </c>
      <c r="G34" s="3" t="s">
        <v>27</v>
      </c>
      <c r="H34" s="3" t="s">
        <v>28</v>
      </c>
      <c r="I34" s="3" t="s">
        <v>29</v>
      </c>
      <c r="J34" s="3" t="s">
        <v>34</v>
      </c>
      <c r="K34" s="3" t="s">
        <v>43</v>
      </c>
      <c r="L34" s="6">
        <v>0</v>
      </c>
      <c r="M34" s="3" t="s">
        <v>44</v>
      </c>
    </row>
    <row r="35" spans="1:13" x14ac:dyDescent="0.3">
      <c r="A35" s="11">
        <v>34</v>
      </c>
      <c r="B35" s="3" t="s">
        <v>23</v>
      </c>
      <c r="C35" s="5">
        <v>44</v>
      </c>
      <c r="D35" s="3" t="s">
        <v>13</v>
      </c>
      <c r="E35" s="3" t="s">
        <v>14</v>
      </c>
      <c r="F35" s="3" t="s">
        <v>32</v>
      </c>
      <c r="G35" s="3" t="s">
        <v>27</v>
      </c>
      <c r="H35" s="3" t="s">
        <v>28</v>
      </c>
      <c r="I35" s="3" t="s">
        <v>33</v>
      </c>
      <c r="J35" s="3" t="s">
        <v>46</v>
      </c>
      <c r="K35" s="3" t="s">
        <v>43</v>
      </c>
      <c r="L35" s="6">
        <v>99</v>
      </c>
      <c r="M35" s="3" t="s">
        <v>35</v>
      </c>
    </row>
    <row r="36" spans="1:13" x14ac:dyDescent="0.3">
      <c r="A36" s="11">
        <v>35</v>
      </c>
      <c r="B36" s="3" t="s">
        <v>23</v>
      </c>
      <c r="C36" s="5">
        <v>27</v>
      </c>
      <c r="D36" s="3" t="s">
        <v>51</v>
      </c>
      <c r="E36" s="3" t="s">
        <v>25</v>
      </c>
      <c r="F36" s="3" t="s">
        <v>15</v>
      </c>
      <c r="G36" s="3" t="s">
        <v>27</v>
      </c>
      <c r="H36" s="3" t="s">
        <v>28</v>
      </c>
      <c r="I36" s="3" t="s">
        <v>29</v>
      </c>
      <c r="J36" s="3" t="s">
        <v>46</v>
      </c>
      <c r="K36" s="3" t="s">
        <v>18</v>
      </c>
      <c r="L36" s="6">
        <v>80</v>
      </c>
      <c r="M36" s="3" t="s">
        <v>22</v>
      </c>
    </row>
    <row r="37" spans="1:13" x14ac:dyDescent="0.3">
      <c r="A37" s="11">
        <v>36</v>
      </c>
      <c r="B37" s="3" t="s">
        <v>12</v>
      </c>
      <c r="C37" s="5">
        <v>40</v>
      </c>
      <c r="D37" s="3" t="s">
        <v>31</v>
      </c>
      <c r="E37" s="3" t="s">
        <v>25</v>
      </c>
      <c r="F37" s="3" t="s">
        <v>32</v>
      </c>
      <c r="G37" s="3" t="s">
        <v>27</v>
      </c>
      <c r="H37" s="3" t="s">
        <v>49</v>
      </c>
      <c r="I37" s="3" t="s">
        <v>38</v>
      </c>
      <c r="J37" s="3" t="s">
        <v>30</v>
      </c>
      <c r="K37" s="3" t="s">
        <v>43</v>
      </c>
      <c r="L37" s="6">
        <v>156</v>
      </c>
      <c r="M37" s="3" t="s">
        <v>35</v>
      </c>
    </row>
    <row r="38" spans="1:13" x14ac:dyDescent="0.3">
      <c r="A38" s="11">
        <v>37</v>
      </c>
      <c r="B38" s="3" t="s">
        <v>23</v>
      </c>
      <c r="C38" s="5">
        <v>33</v>
      </c>
      <c r="D38" s="3" t="s">
        <v>31</v>
      </c>
      <c r="E38" s="3" t="s">
        <v>14</v>
      </c>
      <c r="F38" s="3" t="s">
        <v>32</v>
      </c>
      <c r="G38" s="3" t="s">
        <v>27</v>
      </c>
      <c r="H38" s="3" t="s">
        <v>49</v>
      </c>
      <c r="I38" s="3" t="s">
        <v>20</v>
      </c>
      <c r="J38" s="3" t="s">
        <v>46</v>
      </c>
      <c r="K38" s="3" t="s">
        <v>43</v>
      </c>
      <c r="L38" s="6">
        <v>1084</v>
      </c>
      <c r="M38" s="3" t="s">
        <v>44</v>
      </c>
    </row>
    <row r="39" spans="1:13" x14ac:dyDescent="0.3">
      <c r="A39" s="11">
        <v>38</v>
      </c>
      <c r="B39" s="3" t="s">
        <v>12</v>
      </c>
      <c r="C39" s="5">
        <v>38</v>
      </c>
      <c r="D39" s="3" t="s">
        <v>36</v>
      </c>
      <c r="E39" s="3" t="s">
        <v>25</v>
      </c>
      <c r="F39" s="3" t="s">
        <v>32</v>
      </c>
      <c r="G39" s="3" t="s">
        <v>27</v>
      </c>
      <c r="H39" s="3" t="s">
        <v>28</v>
      </c>
      <c r="I39" s="3" t="s">
        <v>29</v>
      </c>
      <c r="J39" s="3" t="s">
        <v>39</v>
      </c>
      <c r="K39" s="3" t="s">
        <v>43</v>
      </c>
      <c r="L39" s="6">
        <v>-34</v>
      </c>
      <c r="M39" s="3" t="s">
        <v>44</v>
      </c>
    </row>
    <row r="40" spans="1:13" x14ac:dyDescent="0.3">
      <c r="A40" s="11">
        <v>39</v>
      </c>
      <c r="B40" s="3" t="s">
        <v>12</v>
      </c>
      <c r="C40" s="5">
        <v>41</v>
      </c>
      <c r="D40" s="3" t="s">
        <v>36</v>
      </c>
      <c r="E40" s="3" t="s">
        <v>25</v>
      </c>
      <c r="F40" s="3" t="s">
        <v>32</v>
      </c>
      <c r="G40" s="3" t="s">
        <v>27</v>
      </c>
      <c r="H40" s="3" t="s">
        <v>28</v>
      </c>
      <c r="I40" s="3" t="s">
        <v>33</v>
      </c>
      <c r="J40" s="3" t="s">
        <v>34</v>
      </c>
      <c r="K40" s="3" t="s">
        <v>43</v>
      </c>
      <c r="L40" s="6">
        <v>37</v>
      </c>
      <c r="M40" s="3" t="s">
        <v>44</v>
      </c>
    </row>
    <row r="41" spans="1:13" x14ac:dyDescent="0.3">
      <c r="A41" s="11">
        <v>40</v>
      </c>
      <c r="B41" s="3" t="s">
        <v>12</v>
      </c>
      <c r="C41" s="5">
        <v>32</v>
      </c>
      <c r="D41" s="3" t="s">
        <v>13</v>
      </c>
      <c r="E41" s="3" t="s">
        <v>25</v>
      </c>
      <c r="F41" s="3" t="s">
        <v>32</v>
      </c>
      <c r="G41" s="3" t="s">
        <v>27</v>
      </c>
      <c r="H41" s="3" t="s">
        <v>49</v>
      </c>
      <c r="I41" s="3" t="s">
        <v>20</v>
      </c>
      <c r="J41" s="3" t="s">
        <v>21</v>
      </c>
      <c r="K41" s="3" t="s">
        <v>43</v>
      </c>
      <c r="L41" s="6">
        <v>357</v>
      </c>
      <c r="M41" s="3" t="s">
        <v>22</v>
      </c>
    </row>
    <row r="42" spans="1:13" x14ac:dyDescent="0.3">
      <c r="A42" s="11">
        <v>41</v>
      </c>
      <c r="B42" s="3" t="s">
        <v>12</v>
      </c>
      <c r="C42" s="5">
        <v>58</v>
      </c>
      <c r="D42" s="3" t="s">
        <v>13</v>
      </c>
      <c r="E42" s="3" t="s">
        <v>14</v>
      </c>
      <c r="F42" s="3" t="s">
        <v>26</v>
      </c>
      <c r="G42" s="3" t="s">
        <v>27</v>
      </c>
      <c r="H42" s="3" t="s">
        <v>17</v>
      </c>
      <c r="I42" s="3" t="s">
        <v>38</v>
      </c>
      <c r="J42" s="3" t="s">
        <v>34</v>
      </c>
      <c r="K42" s="3" t="s">
        <v>43</v>
      </c>
      <c r="L42" s="6">
        <v>203</v>
      </c>
      <c r="M42" s="3" t="s">
        <v>35</v>
      </c>
    </row>
    <row r="43" spans="1:13" x14ac:dyDescent="0.3">
      <c r="A43" s="11">
        <v>42</v>
      </c>
      <c r="B43" s="3" t="s">
        <v>23</v>
      </c>
      <c r="C43" s="5">
        <v>28</v>
      </c>
      <c r="D43" s="3" t="s">
        <v>13</v>
      </c>
      <c r="E43" s="3" t="s">
        <v>25</v>
      </c>
      <c r="F43" s="3" t="s">
        <v>32</v>
      </c>
      <c r="G43" s="3" t="s">
        <v>27</v>
      </c>
      <c r="H43" s="3" t="s">
        <v>28</v>
      </c>
      <c r="I43" s="3" t="s">
        <v>20</v>
      </c>
      <c r="J43" s="3" t="s">
        <v>42</v>
      </c>
      <c r="K43" s="3" t="s">
        <v>43</v>
      </c>
      <c r="L43" s="6">
        <v>131</v>
      </c>
      <c r="M43" s="3" t="s">
        <v>22</v>
      </c>
    </row>
    <row r="44" spans="1:13" x14ac:dyDescent="0.3">
      <c r="A44" s="11">
        <v>43</v>
      </c>
      <c r="B44" s="3" t="s">
        <v>12</v>
      </c>
      <c r="C44" s="5">
        <v>19</v>
      </c>
      <c r="D44" s="3" t="s">
        <v>31</v>
      </c>
      <c r="E44" s="3" t="s">
        <v>25</v>
      </c>
      <c r="F44" s="5" t="s">
        <v>19</v>
      </c>
      <c r="G44" s="3" t="s">
        <v>27</v>
      </c>
      <c r="H44" s="3" t="s">
        <v>28</v>
      </c>
      <c r="I44" s="3" t="s">
        <v>20</v>
      </c>
      <c r="J44" s="3" t="s">
        <v>34</v>
      </c>
      <c r="K44" s="3" t="s">
        <v>43</v>
      </c>
      <c r="L44" s="6">
        <v>76</v>
      </c>
      <c r="M44" s="3" t="s">
        <v>44</v>
      </c>
    </row>
    <row r="45" spans="1:13" x14ac:dyDescent="0.3">
      <c r="A45" s="11">
        <v>44</v>
      </c>
      <c r="B45" s="3" t="s">
        <v>23</v>
      </c>
      <c r="C45" s="5">
        <v>33</v>
      </c>
      <c r="D45" s="3" t="s">
        <v>51</v>
      </c>
      <c r="E45" s="3" t="s">
        <v>25</v>
      </c>
      <c r="F45" s="3" t="s">
        <v>32</v>
      </c>
      <c r="G45" s="3" t="s">
        <v>27</v>
      </c>
      <c r="H45" s="3" t="s">
        <v>28</v>
      </c>
      <c r="I45" s="3" t="s">
        <v>20</v>
      </c>
      <c r="J45" s="3" t="s">
        <v>39</v>
      </c>
      <c r="K45" s="3" t="s">
        <v>43</v>
      </c>
      <c r="L45" s="6">
        <v>92</v>
      </c>
      <c r="M45" s="3" t="s">
        <v>44</v>
      </c>
    </row>
    <row r="46" spans="1:13" x14ac:dyDescent="0.3">
      <c r="A46" s="11">
        <v>45</v>
      </c>
      <c r="B46" s="3" t="s">
        <v>23</v>
      </c>
      <c r="C46" s="5">
        <v>59</v>
      </c>
      <c r="D46" s="3" t="s">
        <v>31</v>
      </c>
      <c r="E46" s="3" t="s">
        <v>25</v>
      </c>
      <c r="F46" s="3" t="s">
        <v>32</v>
      </c>
      <c r="G46" s="3" t="s">
        <v>27</v>
      </c>
      <c r="H46" s="3" t="s">
        <v>45</v>
      </c>
      <c r="I46" s="3" t="s">
        <v>20</v>
      </c>
      <c r="J46" s="3" t="s">
        <v>42</v>
      </c>
      <c r="K46" s="3" t="s">
        <v>43</v>
      </c>
      <c r="L46" s="6">
        <v>453</v>
      </c>
      <c r="M46" s="3" t="s">
        <v>40</v>
      </c>
    </row>
    <row r="47" spans="1:13" x14ac:dyDescent="0.3">
      <c r="A47" s="11">
        <v>46</v>
      </c>
      <c r="B47" s="3" t="s">
        <v>23</v>
      </c>
      <c r="C47" s="5">
        <v>48</v>
      </c>
      <c r="D47" s="3" t="s">
        <v>48</v>
      </c>
      <c r="E47" s="3" t="s">
        <v>25</v>
      </c>
      <c r="F47" s="3" t="s">
        <v>32</v>
      </c>
      <c r="G47" s="3" t="s">
        <v>16</v>
      </c>
      <c r="H47" s="3" t="s">
        <v>28</v>
      </c>
      <c r="I47" s="3" t="s">
        <v>33</v>
      </c>
      <c r="J47" s="3" t="s">
        <v>39</v>
      </c>
      <c r="K47" s="3" t="s">
        <v>43</v>
      </c>
      <c r="L47" s="6">
        <v>0</v>
      </c>
      <c r="M47" s="3" t="s">
        <v>35</v>
      </c>
    </row>
    <row r="48" spans="1:13" x14ac:dyDescent="0.3">
      <c r="A48" s="11">
        <v>47</v>
      </c>
      <c r="B48" s="3" t="s">
        <v>23</v>
      </c>
      <c r="C48" s="5">
        <v>21</v>
      </c>
      <c r="D48" s="3" t="s">
        <v>36</v>
      </c>
      <c r="E48" s="3" t="s">
        <v>25</v>
      </c>
      <c r="F48" s="3" t="s">
        <v>37</v>
      </c>
      <c r="G48" s="3" t="s">
        <v>27</v>
      </c>
      <c r="H48" s="3" t="s">
        <v>17</v>
      </c>
      <c r="I48" s="3" t="s">
        <v>20</v>
      </c>
      <c r="J48" s="3" t="s">
        <v>34</v>
      </c>
      <c r="K48" s="3" t="s">
        <v>43</v>
      </c>
      <c r="L48" s="6">
        <v>925</v>
      </c>
      <c r="M48" s="3" t="s">
        <v>44</v>
      </c>
    </row>
    <row r="49" spans="1:13" x14ac:dyDescent="0.3">
      <c r="A49" s="11">
        <v>48</v>
      </c>
      <c r="B49" s="3" t="s">
        <v>23</v>
      </c>
      <c r="C49" s="5">
        <v>26</v>
      </c>
      <c r="D49" s="3" t="s">
        <v>31</v>
      </c>
      <c r="E49" s="3" t="s">
        <v>25</v>
      </c>
      <c r="F49" s="3" t="s">
        <v>41</v>
      </c>
      <c r="G49" s="3" t="s">
        <v>16</v>
      </c>
      <c r="H49" s="3" t="s">
        <v>49</v>
      </c>
      <c r="I49" s="3" t="s">
        <v>20</v>
      </c>
      <c r="J49" s="3" t="s">
        <v>46</v>
      </c>
      <c r="K49" s="3" t="s">
        <v>43</v>
      </c>
      <c r="L49" s="6">
        <v>1179</v>
      </c>
      <c r="M49" s="3" t="s">
        <v>22</v>
      </c>
    </row>
    <row r="50" spans="1:13" x14ac:dyDescent="0.3">
      <c r="A50" s="11">
        <v>49</v>
      </c>
      <c r="B50" s="3" t="s">
        <v>12</v>
      </c>
      <c r="C50" s="5">
        <v>39</v>
      </c>
      <c r="D50" s="3" t="s">
        <v>51</v>
      </c>
      <c r="E50" s="3" t="s">
        <v>25</v>
      </c>
      <c r="F50" s="3" t="s">
        <v>32</v>
      </c>
      <c r="G50" s="3" t="s">
        <v>27</v>
      </c>
      <c r="H50" s="3" t="s">
        <v>28</v>
      </c>
      <c r="I50" s="3" t="s">
        <v>20</v>
      </c>
      <c r="J50" s="3" t="s">
        <v>39</v>
      </c>
      <c r="K50" s="3" t="s">
        <v>43</v>
      </c>
      <c r="L50" s="6">
        <v>85</v>
      </c>
      <c r="M50" s="3" t="s">
        <v>44</v>
      </c>
    </row>
    <row r="51" spans="1:13" x14ac:dyDescent="0.3">
      <c r="A51" s="11">
        <v>50</v>
      </c>
      <c r="B51" s="3" t="s">
        <v>23</v>
      </c>
      <c r="C51" s="5">
        <v>29</v>
      </c>
      <c r="D51" s="3" t="s">
        <v>31</v>
      </c>
      <c r="E51" s="3" t="s">
        <v>25</v>
      </c>
      <c r="F51" s="3" t="s">
        <v>26</v>
      </c>
      <c r="G51" s="3" t="s">
        <v>27</v>
      </c>
      <c r="H51" s="3" t="s">
        <v>28</v>
      </c>
      <c r="I51" s="3" t="s">
        <v>29</v>
      </c>
      <c r="J51" s="3" t="s">
        <v>46</v>
      </c>
      <c r="K51" s="3" t="s">
        <v>43</v>
      </c>
      <c r="L51" s="6">
        <v>136</v>
      </c>
      <c r="M51" s="3" t="s">
        <v>40</v>
      </c>
    </row>
    <row r="52" spans="1:13" x14ac:dyDescent="0.3">
      <c r="A52" s="11">
        <v>51</v>
      </c>
      <c r="B52" s="3" t="s">
        <v>12</v>
      </c>
      <c r="C52" s="5">
        <v>31</v>
      </c>
      <c r="D52" s="3" t="s">
        <v>31</v>
      </c>
      <c r="E52" s="3" t="s">
        <v>14</v>
      </c>
      <c r="F52" s="3" t="s">
        <v>32</v>
      </c>
      <c r="G52" s="3" t="s">
        <v>27</v>
      </c>
      <c r="H52" s="3" t="s">
        <v>28</v>
      </c>
      <c r="I52" s="3" t="s">
        <v>33</v>
      </c>
      <c r="J52" s="3" t="s">
        <v>30</v>
      </c>
      <c r="K52" s="3" t="s">
        <v>43</v>
      </c>
      <c r="L52" s="6">
        <v>0</v>
      </c>
      <c r="M52" s="3" t="s">
        <v>35</v>
      </c>
    </row>
    <row r="53" spans="1:13" x14ac:dyDescent="0.3">
      <c r="A53" s="11">
        <v>52</v>
      </c>
      <c r="B53" s="3" t="s">
        <v>12</v>
      </c>
      <c r="C53" s="5">
        <v>33</v>
      </c>
      <c r="D53" s="3" t="s">
        <v>31</v>
      </c>
      <c r="E53" s="3" t="s">
        <v>25</v>
      </c>
      <c r="F53" s="3" t="s">
        <v>32</v>
      </c>
      <c r="G53" s="3" t="s">
        <v>27</v>
      </c>
      <c r="H53" s="3" t="s">
        <v>49</v>
      </c>
      <c r="I53" s="3" t="s">
        <v>20</v>
      </c>
      <c r="J53" s="3" t="s">
        <v>47</v>
      </c>
      <c r="K53" s="3" t="s">
        <v>43</v>
      </c>
      <c r="L53" s="6">
        <v>575</v>
      </c>
      <c r="M53" s="3" t="s">
        <v>44</v>
      </c>
    </row>
    <row r="54" spans="1:13" x14ac:dyDescent="0.3">
      <c r="A54" s="11">
        <v>53</v>
      </c>
      <c r="B54" s="3" t="s">
        <v>12</v>
      </c>
      <c r="C54" s="5">
        <v>36</v>
      </c>
      <c r="D54" s="3" t="s">
        <v>31</v>
      </c>
      <c r="E54" s="3" t="s">
        <v>25</v>
      </c>
      <c r="F54" s="3" t="s">
        <v>32</v>
      </c>
      <c r="G54" s="3" t="s">
        <v>27</v>
      </c>
      <c r="H54" s="3" t="s">
        <v>45</v>
      </c>
      <c r="I54" s="3" t="s">
        <v>20</v>
      </c>
      <c r="J54" s="3" t="s">
        <v>47</v>
      </c>
      <c r="K54" s="3" t="s">
        <v>43</v>
      </c>
      <c r="L54" s="6">
        <v>640</v>
      </c>
      <c r="M54" s="3" t="s">
        <v>22</v>
      </c>
    </row>
    <row r="55" spans="1:13" x14ac:dyDescent="0.3">
      <c r="A55" s="11">
        <v>54</v>
      </c>
      <c r="B55" s="3" t="s">
        <v>12</v>
      </c>
      <c r="C55" s="5">
        <v>28</v>
      </c>
      <c r="D55" s="3" t="s">
        <v>31</v>
      </c>
      <c r="E55" s="3" t="s">
        <v>14</v>
      </c>
      <c r="F55" s="3" t="s">
        <v>32</v>
      </c>
      <c r="G55" s="3" t="s">
        <v>27</v>
      </c>
      <c r="H55" s="3" t="s">
        <v>17</v>
      </c>
      <c r="I55" s="3" t="s">
        <v>20</v>
      </c>
      <c r="J55" s="3" t="s">
        <v>46</v>
      </c>
      <c r="K55" s="3" t="s">
        <v>43</v>
      </c>
      <c r="L55" s="6">
        <v>241</v>
      </c>
      <c r="M55" s="3" t="s">
        <v>44</v>
      </c>
    </row>
    <row r="56" spans="1:13" x14ac:dyDescent="0.3">
      <c r="A56" s="11">
        <v>55</v>
      </c>
      <c r="B56" s="3" t="s">
        <v>23</v>
      </c>
      <c r="C56" s="5">
        <v>40</v>
      </c>
      <c r="D56" s="3" t="s">
        <v>31</v>
      </c>
      <c r="E56" s="3" t="s">
        <v>25</v>
      </c>
      <c r="F56" s="3" t="s">
        <v>32</v>
      </c>
      <c r="G56" s="3" t="s">
        <v>27</v>
      </c>
      <c r="H56" s="3" t="s">
        <v>28</v>
      </c>
      <c r="I56" s="3" t="s">
        <v>38</v>
      </c>
      <c r="J56" s="3" t="s">
        <v>34</v>
      </c>
      <c r="K56" s="3" t="s">
        <v>43</v>
      </c>
      <c r="L56" s="6">
        <v>158</v>
      </c>
      <c r="M56" s="3" t="s">
        <v>44</v>
      </c>
    </row>
    <row r="57" spans="1:13" x14ac:dyDescent="0.3">
      <c r="A57" s="11">
        <v>56</v>
      </c>
      <c r="B57" s="3" t="s">
        <v>12</v>
      </c>
      <c r="C57" s="5">
        <v>25</v>
      </c>
      <c r="D57" s="3" t="s">
        <v>51</v>
      </c>
      <c r="E57" s="3" t="s">
        <v>25</v>
      </c>
      <c r="F57" s="3" t="s">
        <v>32</v>
      </c>
      <c r="G57" s="3" t="s">
        <v>16</v>
      </c>
      <c r="H57" s="3" t="s">
        <v>28</v>
      </c>
      <c r="I57" s="3" t="s">
        <v>20</v>
      </c>
      <c r="J57" s="3" t="s">
        <v>21</v>
      </c>
      <c r="K57" s="3" t="s">
        <v>43</v>
      </c>
      <c r="L57" s="6">
        <v>-76</v>
      </c>
      <c r="M57" s="3" t="s">
        <v>40</v>
      </c>
    </row>
    <row r="58" spans="1:13" x14ac:dyDescent="0.3">
      <c r="A58" s="11">
        <v>57</v>
      </c>
      <c r="B58" s="3" t="s">
        <v>23</v>
      </c>
      <c r="C58" s="5">
        <v>39</v>
      </c>
      <c r="D58" s="3" t="s">
        <v>13</v>
      </c>
      <c r="E58" s="3" t="s">
        <v>25</v>
      </c>
      <c r="F58" s="3" t="s">
        <v>32</v>
      </c>
      <c r="G58" s="3" t="s">
        <v>27</v>
      </c>
      <c r="H58" s="3" t="s">
        <v>28</v>
      </c>
      <c r="I58" s="3" t="s">
        <v>29</v>
      </c>
      <c r="J58" s="3" t="s">
        <v>42</v>
      </c>
      <c r="K58" s="3" t="s">
        <v>43</v>
      </c>
      <c r="L58" s="6">
        <v>51</v>
      </c>
      <c r="M58" s="3" t="s">
        <v>44</v>
      </c>
    </row>
    <row r="59" spans="1:13" x14ac:dyDescent="0.3">
      <c r="A59" s="11">
        <v>58</v>
      </c>
      <c r="B59" s="3" t="s">
        <v>12</v>
      </c>
      <c r="C59" s="5">
        <v>27</v>
      </c>
      <c r="D59" s="3" t="s">
        <v>31</v>
      </c>
      <c r="E59" s="3" t="s">
        <v>14</v>
      </c>
      <c r="F59" s="3" t="s">
        <v>32</v>
      </c>
      <c r="G59" s="3" t="s">
        <v>27</v>
      </c>
      <c r="H59" s="3" t="s">
        <v>17</v>
      </c>
      <c r="I59" s="3" t="s">
        <v>20</v>
      </c>
      <c r="J59" s="3" t="s">
        <v>34</v>
      </c>
      <c r="K59" s="3" t="s">
        <v>43</v>
      </c>
      <c r="L59" s="6">
        <v>60</v>
      </c>
      <c r="M59" s="3" t="s">
        <v>35</v>
      </c>
    </row>
    <row r="60" spans="1:13" x14ac:dyDescent="0.3">
      <c r="A60" s="11">
        <v>59</v>
      </c>
      <c r="B60" s="3" t="s">
        <v>12</v>
      </c>
      <c r="C60" s="5">
        <v>40</v>
      </c>
      <c r="D60" s="3" t="s">
        <v>24</v>
      </c>
      <c r="E60" s="3" t="s">
        <v>25</v>
      </c>
      <c r="F60" s="3" t="s">
        <v>32</v>
      </c>
      <c r="G60" s="3" t="s">
        <v>27</v>
      </c>
      <c r="H60" s="3" t="s">
        <v>28</v>
      </c>
      <c r="I60" s="3" t="s">
        <v>29</v>
      </c>
      <c r="J60" s="3" t="s">
        <v>46</v>
      </c>
      <c r="K60" s="3" t="s">
        <v>18</v>
      </c>
      <c r="L60" s="6">
        <v>-10</v>
      </c>
      <c r="M60" s="3" t="s">
        <v>22</v>
      </c>
    </row>
    <row r="61" spans="1:13" x14ac:dyDescent="0.3">
      <c r="A61" s="11">
        <v>60</v>
      </c>
      <c r="B61" s="3" t="s">
        <v>23</v>
      </c>
      <c r="C61" s="5">
        <v>27</v>
      </c>
      <c r="D61" s="3" t="s">
        <v>31</v>
      </c>
      <c r="E61" s="3" t="s">
        <v>25</v>
      </c>
      <c r="F61" s="3" t="s">
        <v>15</v>
      </c>
      <c r="G61" s="3" t="s">
        <v>27</v>
      </c>
      <c r="H61" s="3" t="s">
        <v>28</v>
      </c>
      <c r="I61" s="3" t="s">
        <v>20</v>
      </c>
      <c r="J61" s="3" t="s">
        <v>21</v>
      </c>
      <c r="K61" s="3" t="s">
        <v>43</v>
      </c>
      <c r="L61" s="6">
        <v>21</v>
      </c>
      <c r="M61" s="3" t="s">
        <v>22</v>
      </c>
    </row>
    <row r="62" spans="1:13" x14ac:dyDescent="0.3">
      <c r="A62" s="11">
        <v>61</v>
      </c>
      <c r="B62" s="3" t="s">
        <v>12</v>
      </c>
      <c r="C62" s="5">
        <v>53</v>
      </c>
      <c r="D62" s="3" t="s">
        <v>36</v>
      </c>
      <c r="E62" s="3" t="s">
        <v>25</v>
      </c>
      <c r="F62" s="3" t="s">
        <v>32</v>
      </c>
      <c r="G62" s="3" t="s">
        <v>27</v>
      </c>
      <c r="H62" s="3" t="s">
        <v>45</v>
      </c>
      <c r="I62" s="3" t="s">
        <v>38</v>
      </c>
      <c r="J62" s="3" t="s">
        <v>39</v>
      </c>
      <c r="K62" s="3" t="s">
        <v>43</v>
      </c>
      <c r="L62" s="6">
        <v>233</v>
      </c>
      <c r="M62" s="3" t="s">
        <v>44</v>
      </c>
    </row>
    <row r="63" spans="1:13" x14ac:dyDescent="0.3">
      <c r="A63" s="11">
        <v>62</v>
      </c>
      <c r="B63" s="3" t="s">
        <v>23</v>
      </c>
      <c r="C63" s="5">
        <v>39</v>
      </c>
      <c r="D63" s="3" t="s">
        <v>48</v>
      </c>
      <c r="E63" s="3" t="s">
        <v>25</v>
      </c>
      <c r="F63" s="3" t="s">
        <v>32</v>
      </c>
      <c r="G63" s="3" t="s">
        <v>27</v>
      </c>
      <c r="H63" s="3" t="s">
        <v>28</v>
      </c>
      <c r="I63" s="3" t="s">
        <v>20</v>
      </c>
      <c r="J63" s="3" t="s">
        <v>46</v>
      </c>
      <c r="K63" s="3" t="s">
        <v>43</v>
      </c>
      <c r="L63" s="6">
        <v>0</v>
      </c>
      <c r="M63" s="3" t="s">
        <v>35</v>
      </c>
    </row>
    <row r="64" spans="1:13" x14ac:dyDescent="0.3">
      <c r="A64" s="11">
        <v>63</v>
      </c>
      <c r="B64" s="3" t="s">
        <v>12</v>
      </c>
      <c r="C64" s="5">
        <v>47</v>
      </c>
      <c r="D64" s="3" t="s">
        <v>13</v>
      </c>
      <c r="E64" s="3" t="s">
        <v>25</v>
      </c>
      <c r="F64" s="3" t="s">
        <v>32</v>
      </c>
      <c r="G64" s="3" t="s">
        <v>27</v>
      </c>
      <c r="H64" s="3" t="s">
        <v>49</v>
      </c>
      <c r="I64" s="3" t="s">
        <v>20</v>
      </c>
      <c r="J64" s="3" t="s">
        <v>46</v>
      </c>
      <c r="K64" s="3" t="s">
        <v>43</v>
      </c>
      <c r="L64" s="6">
        <v>425</v>
      </c>
      <c r="M64" s="3" t="s">
        <v>22</v>
      </c>
    </row>
    <row r="65" spans="1:13" x14ac:dyDescent="0.3">
      <c r="A65" s="11">
        <v>64</v>
      </c>
      <c r="B65" s="3" t="s">
        <v>23</v>
      </c>
      <c r="C65" s="5">
        <v>27</v>
      </c>
      <c r="D65" s="3" t="s">
        <v>31</v>
      </c>
      <c r="E65" s="3" t="s">
        <v>25</v>
      </c>
      <c r="F65" s="3" t="s">
        <v>15</v>
      </c>
      <c r="G65" s="3" t="s">
        <v>27</v>
      </c>
      <c r="H65" s="3" t="s">
        <v>17</v>
      </c>
      <c r="I65" s="3" t="s">
        <v>29</v>
      </c>
      <c r="J65" s="3" t="s">
        <v>47</v>
      </c>
      <c r="K65" s="3" t="s">
        <v>43</v>
      </c>
      <c r="L65" s="6">
        <v>407</v>
      </c>
      <c r="M65" s="3" t="s">
        <v>44</v>
      </c>
    </row>
    <row r="66" spans="1:13" x14ac:dyDescent="0.3">
      <c r="A66" s="11">
        <v>65</v>
      </c>
      <c r="B66" s="3" t="s">
        <v>23</v>
      </c>
      <c r="C66" s="5">
        <v>40</v>
      </c>
      <c r="D66" s="3" t="s">
        <v>31</v>
      </c>
      <c r="E66" s="3" t="s">
        <v>25</v>
      </c>
      <c r="F66" s="3" t="s">
        <v>32</v>
      </c>
      <c r="G66" s="3" t="s">
        <v>27</v>
      </c>
      <c r="H66" s="3" t="s">
        <v>28</v>
      </c>
      <c r="I66" s="3" t="s">
        <v>29</v>
      </c>
      <c r="J66" s="3" t="s">
        <v>46</v>
      </c>
      <c r="K66" s="3" t="s">
        <v>43</v>
      </c>
      <c r="L66" s="6">
        <v>0</v>
      </c>
      <c r="M66" s="3" t="s">
        <v>22</v>
      </c>
    </row>
    <row r="67" spans="1:13" x14ac:dyDescent="0.3">
      <c r="A67" s="11">
        <v>66</v>
      </c>
      <c r="B67" s="3" t="s">
        <v>12</v>
      </c>
      <c r="C67" s="5">
        <v>27</v>
      </c>
      <c r="D67" s="3" t="s">
        <v>36</v>
      </c>
      <c r="E67" s="3" t="s">
        <v>25</v>
      </c>
      <c r="F67" s="3" t="s">
        <v>32</v>
      </c>
      <c r="G67" s="3" t="s">
        <v>27</v>
      </c>
      <c r="H67" s="3" t="s">
        <v>17</v>
      </c>
      <c r="I67" s="3" t="s">
        <v>20</v>
      </c>
      <c r="J67" s="3" t="s">
        <v>34</v>
      </c>
      <c r="K67" s="3" t="s">
        <v>18</v>
      </c>
      <c r="L67" s="6">
        <v>424</v>
      </c>
      <c r="M67" s="3" t="s">
        <v>22</v>
      </c>
    </row>
    <row r="68" spans="1:13" x14ac:dyDescent="0.3">
      <c r="A68" s="11">
        <v>67</v>
      </c>
      <c r="B68" s="3" t="s">
        <v>12</v>
      </c>
      <c r="C68" s="5">
        <v>60</v>
      </c>
      <c r="D68" s="3" t="s">
        <v>48</v>
      </c>
      <c r="E68" s="3" t="s">
        <v>14</v>
      </c>
      <c r="F68" s="3" t="s">
        <v>32</v>
      </c>
      <c r="G68" s="3" t="s">
        <v>27</v>
      </c>
      <c r="H68" s="3" t="s">
        <v>17</v>
      </c>
      <c r="I68" s="3" t="s">
        <v>38</v>
      </c>
      <c r="J68" s="3" t="s">
        <v>30</v>
      </c>
      <c r="K68" s="3" t="s">
        <v>43</v>
      </c>
      <c r="L68" s="6">
        <v>205</v>
      </c>
      <c r="M68" s="3" t="s">
        <v>44</v>
      </c>
    </row>
    <row r="69" spans="1:13" x14ac:dyDescent="0.3">
      <c r="A69" s="11">
        <v>68</v>
      </c>
      <c r="B69" s="3" t="s">
        <v>12</v>
      </c>
      <c r="C69" s="5">
        <v>25</v>
      </c>
      <c r="D69" s="3" t="s">
        <v>51</v>
      </c>
      <c r="E69" s="3" t="s">
        <v>25</v>
      </c>
      <c r="F69" s="3" t="s">
        <v>32</v>
      </c>
      <c r="G69" s="3" t="s">
        <v>27</v>
      </c>
      <c r="H69" s="3" t="s">
        <v>49</v>
      </c>
      <c r="I69" s="3" t="s">
        <v>33</v>
      </c>
      <c r="J69" s="3" t="s">
        <v>42</v>
      </c>
      <c r="K69" s="3" t="s">
        <v>43</v>
      </c>
      <c r="L69" s="6">
        <v>214</v>
      </c>
      <c r="M69" s="3" t="s">
        <v>44</v>
      </c>
    </row>
    <row r="70" spans="1:13" x14ac:dyDescent="0.3">
      <c r="A70" s="11">
        <v>69</v>
      </c>
      <c r="B70" s="3" t="s">
        <v>12</v>
      </c>
      <c r="C70" s="5">
        <v>53</v>
      </c>
      <c r="D70" s="3" t="s">
        <v>36</v>
      </c>
      <c r="E70" s="3" t="s">
        <v>25</v>
      </c>
      <c r="F70" s="3" t="s">
        <v>32</v>
      </c>
      <c r="G70" s="3" t="s">
        <v>27</v>
      </c>
      <c r="H70" s="3" t="s">
        <v>45</v>
      </c>
      <c r="I70" s="3" t="s">
        <v>29</v>
      </c>
      <c r="J70" s="3" t="s">
        <v>34</v>
      </c>
      <c r="K70" s="3" t="s">
        <v>43</v>
      </c>
      <c r="L70" s="6">
        <v>434</v>
      </c>
      <c r="M70" s="3" t="s">
        <v>44</v>
      </c>
    </row>
    <row r="71" spans="1:13" x14ac:dyDescent="0.3">
      <c r="A71" s="11">
        <v>70</v>
      </c>
      <c r="B71" s="3" t="s">
        <v>12</v>
      </c>
      <c r="C71" s="5">
        <v>35</v>
      </c>
      <c r="D71" s="3" t="s">
        <v>36</v>
      </c>
      <c r="E71" s="3" t="s">
        <v>25</v>
      </c>
      <c r="F71" s="3" t="s">
        <v>32</v>
      </c>
      <c r="G71" s="3" t="s">
        <v>27</v>
      </c>
      <c r="H71" s="3" t="s">
        <v>28</v>
      </c>
      <c r="I71" s="3" t="s">
        <v>29</v>
      </c>
      <c r="J71" s="3" t="s">
        <v>39</v>
      </c>
      <c r="K71" s="3" t="s">
        <v>18</v>
      </c>
      <c r="L71" s="6">
        <v>-30</v>
      </c>
      <c r="M71" s="3" t="s">
        <v>22</v>
      </c>
    </row>
    <row r="72" spans="1:13" x14ac:dyDescent="0.3">
      <c r="A72" s="11">
        <v>71</v>
      </c>
      <c r="B72" s="3" t="s">
        <v>12</v>
      </c>
      <c r="C72" s="5">
        <v>43</v>
      </c>
      <c r="D72" s="3" t="s">
        <v>13</v>
      </c>
      <c r="E72" s="3" t="s">
        <v>25</v>
      </c>
      <c r="F72" s="3" t="s">
        <v>32</v>
      </c>
      <c r="G72" s="3" t="s">
        <v>27</v>
      </c>
      <c r="H72" s="3" t="s">
        <v>28</v>
      </c>
      <c r="I72" s="3" t="s">
        <v>20</v>
      </c>
      <c r="J72" s="3" t="s">
        <v>46</v>
      </c>
      <c r="K72" s="3" t="s">
        <v>18</v>
      </c>
      <c r="L72" s="6">
        <v>-40</v>
      </c>
      <c r="M72" s="3" t="s">
        <v>44</v>
      </c>
    </row>
    <row r="73" spans="1:13" x14ac:dyDescent="0.3">
      <c r="A73" s="11">
        <v>72</v>
      </c>
      <c r="B73" s="3" t="s">
        <v>23</v>
      </c>
      <c r="C73" s="5">
        <v>33</v>
      </c>
      <c r="D73" s="3" t="s">
        <v>36</v>
      </c>
      <c r="E73" s="3" t="s">
        <v>14</v>
      </c>
      <c r="F73" s="3" t="s">
        <v>32</v>
      </c>
      <c r="G73" s="3" t="s">
        <v>27</v>
      </c>
      <c r="H73" s="3" t="s">
        <v>45</v>
      </c>
      <c r="I73" s="3" t="s">
        <v>20</v>
      </c>
      <c r="J73" s="3" t="s">
        <v>39</v>
      </c>
      <c r="K73" s="3" t="s">
        <v>43</v>
      </c>
      <c r="L73" s="6">
        <v>1273</v>
      </c>
      <c r="M73" s="3" t="s">
        <v>44</v>
      </c>
    </row>
    <row r="74" spans="1:13" x14ac:dyDescent="0.3">
      <c r="A74" s="11">
        <v>73</v>
      </c>
      <c r="B74" s="3" t="s">
        <v>12</v>
      </c>
      <c r="C74" s="5">
        <v>48</v>
      </c>
      <c r="D74" s="3" t="s">
        <v>51</v>
      </c>
      <c r="E74" s="3" t="s">
        <v>25</v>
      </c>
      <c r="F74" s="3" t="s">
        <v>32</v>
      </c>
      <c r="G74" s="3" t="s">
        <v>27</v>
      </c>
      <c r="H74" s="3" t="s">
        <v>28</v>
      </c>
      <c r="I74" s="3" t="s">
        <v>20</v>
      </c>
      <c r="J74" s="3" t="s">
        <v>42</v>
      </c>
      <c r="K74" s="3" t="s">
        <v>43</v>
      </c>
      <c r="L74" s="6">
        <v>12</v>
      </c>
      <c r="M74" s="3" t="s">
        <v>22</v>
      </c>
    </row>
    <row r="75" spans="1:13" x14ac:dyDescent="0.3">
      <c r="A75" s="11">
        <v>74</v>
      </c>
      <c r="B75" s="3" t="s">
        <v>12</v>
      </c>
      <c r="C75" s="5">
        <v>29</v>
      </c>
      <c r="D75" s="3" t="s">
        <v>31</v>
      </c>
      <c r="E75" s="3" t="s">
        <v>25</v>
      </c>
      <c r="F75" s="3" t="s">
        <v>32</v>
      </c>
      <c r="G75" s="3" t="s">
        <v>27</v>
      </c>
      <c r="H75" s="3" t="s">
        <v>28</v>
      </c>
      <c r="I75" s="3" t="s">
        <v>20</v>
      </c>
      <c r="J75" s="3" t="s">
        <v>47</v>
      </c>
      <c r="K75" s="3" t="s">
        <v>43</v>
      </c>
      <c r="L75" s="6">
        <v>-10</v>
      </c>
      <c r="M75" s="3" t="s">
        <v>22</v>
      </c>
    </row>
    <row r="76" spans="1:13" x14ac:dyDescent="0.3">
      <c r="A76" s="11">
        <v>75</v>
      </c>
      <c r="B76" s="3" t="s">
        <v>23</v>
      </c>
      <c r="C76" s="5">
        <v>26</v>
      </c>
      <c r="D76" s="3" t="s">
        <v>51</v>
      </c>
      <c r="E76" s="3" t="s">
        <v>25</v>
      </c>
      <c r="F76" s="3" t="s">
        <v>15</v>
      </c>
      <c r="G76" s="3" t="s">
        <v>27</v>
      </c>
      <c r="H76" s="3" t="s">
        <v>28</v>
      </c>
      <c r="I76" s="3" t="s">
        <v>20</v>
      </c>
      <c r="J76" s="3" t="s">
        <v>34</v>
      </c>
      <c r="K76" s="3" t="s">
        <v>43</v>
      </c>
      <c r="L76" s="6">
        <v>28</v>
      </c>
      <c r="M76" s="3" t="s">
        <v>22</v>
      </c>
    </row>
    <row r="77" spans="1:13" x14ac:dyDescent="0.3">
      <c r="A77" s="11">
        <v>76</v>
      </c>
      <c r="B77" s="3" t="s">
        <v>23</v>
      </c>
      <c r="C77" s="5">
        <v>23</v>
      </c>
      <c r="D77" s="3" t="s">
        <v>31</v>
      </c>
      <c r="E77" s="3" t="s">
        <v>25</v>
      </c>
      <c r="F77" s="3" t="s">
        <v>41</v>
      </c>
      <c r="G77" s="3" t="s">
        <v>27</v>
      </c>
      <c r="H77" s="3" t="s">
        <v>28</v>
      </c>
      <c r="I77" s="3" t="s">
        <v>33</v>
      </c>
      <c r="J77" s="3" t="s">
        <v>47</v>
      </c>
      <c r="K77" s="3" t="s">
        <v>43</v>
      </c>
      <c r="L77" s="6">
        <v>-34</v>
      </c>
      <c r="M77" s="3" t="s">
        <v>35</v>
      </c>
    </row>
    <row r="78" spans="1:13" x14ac:dyDescent="0.3">
      <c r="A78" s="11">
        <v>77</v>
      </c>
      <c r="B78" s="3" t="s">
        <v>23</v>
      </c>
      <c r="C78" s="5">
        <v>30</v>
      </c>
      <c r="D78" s="3" t="s">
        <v>51</v>
      </c>
      <c r="E78" s="3" t="s">
        <v>14</v>
      </c>
      <c r="F78" s="3" t="s">
        <v>37</v>
      </c>
      <c r="G78" s="3" t="s">
        <v>27</v>
      </c>
      <c r="H78" s="3" t="s">
        <v>28</v>
      </c>
      <c r="I78" s="3" t="s">
        <v>20</v>
      </c>
      <c r="J78" s="3" t="s">
        <v>46</v>
      </c>
      <c r="K78" s="3" t="s">
        <v>43</v>
      </c>
      <c r="L78" s="6">
        <v>247</v>
      </c>
      <c r="M78" s="3" t="s">
        <v>22</v>
      </c>
    </row>
    <row r="79" spans="1:13" x14ac:dyDescent="0.3">
      <c r="A79" s="11">
        <v>78</v>
      </c>
      <c r="B79" s="3" t="s">
        <v>23</v>
      </c>
      <c r="C79" s="5">
        <v>53</v>
      </c>
      <c r="D79" s="3" t="s">
        <v>13</v>
      </c>
      <c r="E79" s="3" t="s">
        <v>25</v>
      </c>
      <c r="F79" s="3" t="s">
        <v>32</v>
      </c>
      <c r="G79" s="3" t="s">
        <v>16</v>
      </c>
      <c r="H79" s="3" t="s">
        <v>45</v>
      </c>
      <c r="I79" s="3" t="s">
        <v>33</v>
      </c>
      <c r="J79" s="3" t="s">
        <v>39</v>
      </c>
      <c r="K79" s="3" t="s">
        <v>43</v>
      </c>
      <c r="L79" s="6">
        <v>357</v>
      </c>
      <c r="M79" s="3" t="s">
        <v>35</v>
      </c>
    </row>
    <row r="80" spans="1:13" x14ac:dyDescent="0.3">
      <c r="A80" s="11">
        <v>79</v>
      </c>
      <c r="B80" s="3" t="s">
        <v>12</v>
      </c>
      <c r="C80" s="5">
        <v>53</v>
      </c>
      <c r="D80" s="3" t="s">
        <v>31</v>
      </c>
      <c r="E80" s="3" t="s">
        <v>25</v>
      </c>
      <c r="F80" s="3" t="s">
        <v>32</v>
      </c>
      <c r="G80" s="3" t="s">
        <v>27</v>
      </c>
      <c r="H80" s="3" t="s">
        <v>45</v>
      </c>
      <c r="I80" s="3" t="s">
        <v>29</v>
      </c>
      <c r="J80" s="3" t="s">
        <v>30</v>
      </c>
      <c r="K80" s="3" t="s">
        <v>43</v>
      </c>
      <c r="L80" s="6">
        <v>676</v>
      </c>
      <c r="M80" s="3" t="s">
        <v>22</v>
      </c>
    </row>
    <row r="81" spans="1:13" x14ac:dyDescent="0.3">
      <c r="A81" s="11">
        <v>80</v>
      </c>
      <c r="B81" s="3" t="s">
        <v>12</v>
      </c>
      <c r="C81" s="5">
        <v>43</v>
      </c>
      <c r="D81" s="3" t="s">
        <v>13</v>
      </c>
      <c r="E81" s="3" t="s">
        <v>25</v>
      </c>
      <c r="F81" s="3" t="s">
        <v>26</v>
      </c>
      <c r="G81" s="3" t="s">
        <v>27</v>
      </c>
      <c r="H81" s="3" t="s">
        <v>28</v>
      </c>
      <c r="I81" s="3" t="s">
        <v>33</v>
      </c>
      <c r="J81" s="3" t="s">
        <v>39</v>
      </c>
      <c r="K81" s="3" t="s">
        <v>43</v>
      </c>
      <c r="L81" s="6">
        <v>38</v>
      </c>
      <c r="M81" s="3" t="s">
        <v>44</v>
      </c>
    </row>
    <row r="82" spans="1:13" x14ac:dyDescent="0.3">
      <c r="A82" s="11">
        <v>81</v>
      </c>
      <c r="B82" s="3" t="s">
        <v>12</v>
      </c>
      <c r="C82" s="5">
        <v>30</v>
      </c>
      <c r="D82" s="3" t="s">
        <v>48</v>
      </c>
      <c r="E82" s="3" t="s">
        <v>14</v>
      </c>
      <c r="F82" s="3" t="s">
        <v>32</v>
      </c>
      <c r="G82" s="3" t="s">
        <v>27</v>
      </c>
      <c r="H82" s="3" t="s">
        <v>28</v>
      </c>
      <c r="I82" s="3" t="s">
        <v>38</v>
      </c>
      <c r="J82" s="3" t="s">
        <v>34</v>
      </c>
      <c r="K82" s="3" t="s">
        <v>43</v>
      </c>
      <c r="L82" s="6">
        <v>63</v>
      </c>
      <c r="M82" s="3" t="s">
        <v>35</v>
      </c>
    </row>
    <row r="83" spans="1:13" x14ac:dyDescent="0.3">
      <c r="A83" s="11">
        <v>82</v>
      </c>
      <c r="B83" s="3" t="s">
        <v>12</v>
      </c>
      <c r="C83" s="5">
        <v>27</v>
      </c>
      <c r="D83" s="3" t="s">
        <v>13</v>
      </c>
      <c r="E83" s="3" t="s">
        <v>25</v>
      </c>
      <c r="F83" s="3" t="s">
        <v>32</v>
      </c>
      <c r="G83" s="3" t="s">
        <v>27</v>
      </c>
      <c r="H83" s="3" t="s">
        <v>45</v>
      </c>
      <c r="I83" s="3" t="s">
        <v>33</v>
      </c>
      <c r="J83" s="3" t="s">
        <v>47</v>
      </c>
      <c r="K83" s="3" t="s">
        <v>43</v>
      </c>
      <c r="L83" s="6">
        <v>366</v>
      </c>
      <c r="M83" s="3" t="s">
        <v>22</v>
      </c>
    </row>
    <row r="84" spans="1:13" x14ac:dyDescent="0.3">
      <c r="A84" s="11">
        <v>83</v>
      </c>
      <c r="B84" s="3" t="s">
        <v>12</v>
      </c>
      <c r="C84" s="5">
        <v>59</v>
      </c>
      <c r="D84" s="3" t="s">
        <v>13</v>
      </c>
      <c r="E84" s="3" t="s">
        <v>14</v>
      </c>
      <c r="F84" s="3" t="s">
        <v>32</v>
      </c>
      <c r="G84" s="3" t="s">
        <v>27</v>
      </c>
      <c r="H84" s="3" t="s">
        <v>17</v>
      </c>
      <c r="I84" s="3" t="s">
        <v>20</v>
      </c>
      <c r="J84" s="3" t="s">
        <v>34</v>
      </c>
      <c r="K84" s="3" t="s">
        <v>43</v>
      </c>
      <c r="L84" s="6">
        <v>126</v>
      </c>
      <c r="M84" s="3" t="s">
        <v>35</v>
      </c>
    </row>
    <row r="85" spans="1:13" x14ac:dyDescent="0.3">
      <c r="A85" s="11">
        <v>84</v>
      </c>
      <c r="B85" s="3" t="s">
        <v>23</v>
      </c>
      <c r="C85" s="5">
        <v>36</v>
      </c>
      <c r="D85" s="3" t="s">
        <v>31</v>
      </c>
      <c r="E85" s="3" t="s">
        <v>25</v>
      </c>
      <c r="F85" s="3" t="s">
        <v>32</v>
      </c>
      <c r="G85" s="3" t="s">
        <v>16</v>
      </c>
      <c r="H85" s="3" t="s">
        <v>28</v>
      </c>
      <c r="I85" s="3" t="s">
        <v>20</v>
      </c>
      <c r="J85" s="3" t="s">
        <v>42</v>
      </c>
      <c r="K85" s="3" t="s">
        <v>18</v>
      </c>
      <c r="L85" s="6">
        <v>110</v>
      </c>
      <c r="M85" s="3" t="s">
        <v>44</v>
      </c>
    </row>
    <row r="86" spans="1:13" x14ac:dyDescent="0.3">
      <c r="A86" s="11">
        <v>85</v>
      </c>
      <c r="B86" s="3" t="s">
        <v>12</v>
      </c>
      <c r="C86" s="5">
        <v>52</v>
      </c>
      <c r="D86" s="3" t="s">
        <v>36</v>
      </c>
      <c r="E86" s="3" t="s">
        <v>25</v>
      </c>
      <c r="F86" s="3" t="s">
        <v>32</v>
      </c>
      <c r="G86" s="3" t="s">
        <v>27</v>
      </c>
      <c r="H86" s="3" t="s">
        <v>28</v>
      </c>
      <c r="I86" s="3" t="s">
        <v>33</v>
      </c>
      <c r="J86" s="3" t="s">
        <v>39</v>
      </c>
      <c r="K86" s="3" t="s">
        <v>43</v>
      </c>
      <c r="L86" s="6">
        <v>-69</v>
      </c>
      <c r="M86" s="3" t="s">
        <v>40</v>
      </c>
    </row>
    <row r="87" spans="1:13" x14ac:dyDescent="0.3">
      <c r="A87" s="11">
        <v>86</v>
      </c>
      <c r="B87" s="3" t="s">
        <v>12</v>
      </c>
      <c r="C87" s="5">
        <v>40</v>
      </c>
      <c r="D87" s="3" t="s">
        <v>31</v>
      </c>
      <c r="E87" s="3" t="s">
        <v>25</v>
      </c>
      <c r="F87" s="3" t="s">
        <v>32</v>
      </c>
      <c r="G87" s="3" t="s">
        <v>27</v>
      </c>
      <c r="H87" s="3" t="s">
        <v>28</v>
      </c>
      <c r="I87" s="3" t="s">
        <v>20</v>
      </c>
      <c r="J87" s="3" t="s">
        <v>46</v>
      </c>
      <c r="K87" s="3" t="s">
        <v>43</v>
      </c>
      <c r="L87" s="6">
        <v>53</v>
      </c>
      <c r="M87" s="3" t="s">
        <v>44</v>
      </c>
    </row>
    <row r="88" spans="1:13" x14ac:dyDescent="0.3">
      <c r="A88" s="11">
        <v>87</v>
      </c>
      <c r="B88" s="3" t="s">
        <v>12</v>
      </c>
      <c r="C88" s="5">
        <v>29</v>
      </c>
      <c r="D88" s="3" t="s">
        <v>13</v>
      </c>
      <c r="E88" s="3" t="s">
        <v>25</v>
      </c>
      <c r="F88" s="3" t="s">
        <v>32</v>
      </c>
      <c r="G88" s="3" t="s">
        <v>16</v>
      </c>
      <c r="H88" s="3" t="s">
        <v>28</v>
      </c>
      <c r="I88" s="3" t="s">
        <v>20</v>
      </c>
      <c r="J88" s="3" t="s">
        <v>42</v>
      </c>
      <c r="K88" s="3" t="s">
        <v>43</v>
      </c>
      <c r="L88" s="6">
        <v>96</v>
      </c>
      <c r="M88" s="3" t="s">
        <v>44</v>
      </c>
    </row>
    <row r="89" spans="1:13" x14ac:dyDescent="0.3">
      <c r="A89" s="11">
        <v>88</v>
      </c>
      <c r="B89" s="3" t="s">
        <v>12</v>
      </c>
      <c r="C89" s="5">
        <v>40</v>
      </c>
      <c r="D89" s="3" t="s">
        <v>36</v>
      </c>
      <c r="E89" s="3" t="s">
        <v>25</v>
      </c>
      <c r="F89" s="3" t="s">
        <v>32</v>
      </c>
      <c r="G89" s="3" t="s">
        <v>27</v>
      </c>
      <c r="H89" s="3" t="s">
        <v>28</v>
      </c>
      <c r="I89" s="3" t="s">
        <v>20</v>
      </c>
      <c r="J89" s="3" t="s">
        <v>39</v>
      </c>
      <c r="K89" s="3" t="s">
        <v>43</v>
      </c>
      <c r="L89" s="6">
        <v>-54</v>
      </c>
      <c r="M89" s="3" t="s">
        <v>35</v>
      </c>
    </row>
    <row r="90" spans="1:13" x14ac:dyDescent="0.3">
      <c r="A90" s="11">
        <v>89</v>
      </c>
      <c r="B90" s="3" t="s">
        <v>23</v>
      </c>
      <c r="C90" s="5">
        <v>36</v>
      </c>
      <c r="D90" s="3" t="s">
        <v>36</v>
      </c>
      <c r="E90" s="3" t="s">
        <v>14</v>
      </c>
      <c r="F90" s="3" t="s">
        <v>32</v>
      </c>
      <c r="G90" s="3" t="s">
        <v>27</v>
      </c>
      <c r="H90" s="3" t="s">
        <v>28</v>
      </c>
      <c r="I90" s="3" t="s">
        <v>38</v>
      </c>
      <c r="J90" s="3" t="s">
        <v>34</v>
      </c>
      <c r="K90" s="3" t="s">
        <v>43</v>
      </c>
      <c r="L90" s="6">
        <v>21</v>
      </c>
      <c r="M90" s="3" t="s">
        <v>35</v>
      </c>
    </row>
    <row r="91" spans="1:13" x14ac:dyDescent="0.3">
      <c r="A91" s="11">
        <v>90</v>
      </c>
      <c r="B91" s="3" t="s">
        <v>12</v>
      </c>
      <c r="C91" s="5">
        <v>38</v>
      </c>
      <c r="D91" s="3" t="s">
        <v>36</v>
      </c>
      <c r="E91" s="3" t="s">
        <v>25</v>
      </c>
      <c r="F91" s="3" t="s">
        <v>32</v>
      </c>
      <c r="G91" s="3" t="s">
        <v>27</v>
      </c>
      <c r="H91" s="3" t="s">
        <v>45</v>
      </c>
      <c r="I91" s="3" t="s">
        <v>20</v>
      </c>
      <c r="J91" s="3" t="s">
        <v>21</v>
      </c>
      <c r="K91" s="3" t="s">
        <v>43</v>
      </c>
      <c r="L91" s="6">
        <v>307</v>
      </c>
      <c r="M91" s="3" t="s">
        <v>44</v>
      </c>
    </row>
    <row r="92" spans="1:13" x14ac:dyDescent="0.3">
      <c r="A92" s="11">
        <v>91</v>
      </c>
      <c r="B92" s="3" t="s">
        <v>23</v>
      </c>
      <c r="C92" s="5">
        <v>64</v>
      </c>
      <c r="D92" s="3" t="s">
        <v>13</v>
      </c>
      <c r="E92" s="3" t="s">
        <v>25</v>
      </c>
      <c r="F92" s="3" t="s">
        <v>15</v>
      </c>
      <c r="G92" s="3" t="s">
        <v>27</v>
      </c>
      <c r="H92" s="3" t="s">
        <v>28</v>
      </c>
      <c r="I92" s="3" t="s">
        <v>38</v>
      </c>
      <c r="J92" s="3" t="s">
        <v>34</v>
      </c>
      <c r="K92" s="3" t="s">
        <v>18</v>
      </c>
      <c r="L92" s="6">
        <v>33</v>
      </c>
      <c r="M92" s="3" t="s">
        <v>44</v>
      </c>
    </row>
    <row r="93" spans="1:13" x14ac:dyDescent="0.3">
      <c r="A93" s="11">
        <v>92</v>
      </c>
      <c r="B93" s="3" t="s">
        <v>23</v>
      </c>
      <c r="C93" s="5">
        <v>43</v>
      </c>
      <c r="D93" s="3" t="s">
        <v>31</v>
      </c>
      <c r="E93" s="3" t="s">
        <v>14</v>
      </c>
      <c r="F93" s="3" t="s">
        <v>32</v>
      </c>
      <c r="G93" s="3" t="s">
        <v>27</v>
      </c>
      <c r="H93" s="3" t="s">
        <v>28</v>
      </c>
      <c r="I93" s="3" t="s">
        <v>20</v>
      </c>
      <c r="J93" s="3" t="s">
        <v>42</v>
      </c>
      <c r="K93" s="3" t="s">
        <v>43</v>
      </c>
      <c r="L93" s="6">
        <v>105</v>
      </c>
      <c r="M93" s="3" t="s">
        <v>22</v>
      </c>
    </row>
    <row r="94" spans="1:13" x14ac:dyDescent="0.3">
      <c r="A94" s="11">
        <v>93</v>
      </c>
      <c r="B94" s="3" t="s">
        <v>23</v>
      </c>
      <c r="C94" s="5">
        <v>28</v>
      </c>
      <c r="D94" s="3" t="s">
        <v>13</v>
      </c>
      <c r="E94" s="3" t="s">
        <v>14</v>
      </c>
      <c r="F94" s="3" t="s">
        <v>32</v>
      </c>
      <c r="G94" s="3" t="s">
        <v>27</v>
      </c>
      <c r="H94" s="3" t="s">
        <v>28</v>
      </c>
      <c r="I94" s="3" t="s">
        <v>29</v>
      </c>
      <c r="J94" s="3" t="s">
        <v>46</v>
      </c>
      <c r="K94" s="3" t="s">
        <v>43</v>
      </c>
      <c r="L94" s="6">
        <v>-12</v>
      </c>
      <c r="M94" s="3" t="s">
        <v>35</v>
      </c>
    </row>
    <row r="95" spans="1:13" x14ac:dyDescent="0.3">
      <c r="A95" s="11">
        <v>94</v>
      </c>
      <c r="B95" s="3" t="s">
        <v>23</v>
      </c>
      <c r="C95" s="5">
        <v>52</v>
      </c>
      <c r="D95" s="3" t="s">
        <v>13</v>
      </c>
      <c r="E95" s="3" t="s">
        <v>25</v>
      </c>
      <c r="F95" s="3" t="s">
        <v>32</v>
      </c>
      <c r="G95" s="3" t="s">
        <v>27</v>
      </c>
      <c r="H95" s="3" t="s">
        <v>28</v>
      </c>
      <c r="I95" s="3" t="s">
        <v>33</v>
      </c>
      <c r="J95" s="3" t="s">
        <v>46</v>
      </c>
      <c r="K95" s="3" t="s">
        <v>43</v>
      </c>
      <c r="L95" s="6">
        <v>43</v>
      </c>
      <c r="M95" s="3" t="s">
        <v>22</v>
      </c>
    </row>
    <row r="96" spans="1:13" x14ac:dyDescent="0.3">
      <c r="A96" s="11">
        <v>95</v>
      </c>
      <c r="B96" s="3" t="s">
        <v>23</v>
      </c>
      <c r="C96" s="5">
        <v>48</v>
      </c>
      <c r="D96" s="3" t="s">
        <v>31</v>
      </c>
      <c r="E96" s="3" t="s">
        <v>25</v>
      </c>
      <c r="F96" s="3" t="s">
        <v>32</v>
      </c>
      <c r="G96" s="3" t="s">
        <v>16</v>
      </c>
      <c r="H96" s="3" t="s">
        <v>28</v>
      </c>
      <c r="I96" s="3" t="s">
        <v>20</v>
      </c>
      <c r="J96" s="3" t="s">
        <v>42</v>
      </c>
      <c r="K96" s="3" t="s">
        <v>43</v>
      </c>
      <c r="L96" s="6">
        <v>72</v>
      </c>
      <c r="M96" s="3" t="s">
        <v>44</v>
      </c>
    </row>
    <row r="97" spans="1:13" x14ac:dyDescent="0.3">
      <c r="A97" s="11">
        <v>96</v>
      </c>
      <c r="B97" s="3" t="s">
        <v>12</v>
      </c>
      <c r="C97" s="5">
        <v>52</v>
      </c>
      <c r="D97" s="3" t="s">
        <v>31</v>
      </c>
      <c r="E97" s="3" t="s">
        <v>25</v>
      </c>
      <c r="F97" s="3" t="s">
        <v>15</v>
      </c>
      <c r="G97" s="3" t="s">
        <v>27</v>
      </c>
      <c r="H97" s="3" t="s">
        <v>28</v>
      </c>
      <c r="I97" s="3" t="s">
        <v>38</v>
      </c>
      <c r="J97" s="3" t="s">
        <v>34</v>
      </c>
      <c r="K97" s="3" t="s">
        <v>43</v>
      </c>
      <c r="L97" s="6">
        <v>35</v>
      </c>
      <c r="M97" s="3" t="s">
        <v>44</v>
      </c>
    </row>
    <row r="98" spans="1:13" x14ac:dyDescent="0.3">
      <c r="A98" s="11">
        <v>97</v>
      </c>
      <c r="B98" s="3" t="s">
        <v>23</v>
      </c>
      <c r="C98" s="5">
        <v>43</v>
      </c>
      <c r="D98" s="3" t="s">
        <v>31</v>
      </c>
      <c r="E98" s="3" t="s">
        <v>25</v>
      </c>
      <c r="F98" s="3" t="s">
        <v>32</v>
      </c>
      <c r="G98" s="3" t="s">
        <v>16</v>
      </c>
      <c r="H98" s="3" t="s">
        <v>17</v>
      </c>
      <c r="I98" s="3" t="s">
        <v>29</v>
      </c>
      <c r="J98" s="3" t="s">
        <v>34</v>
      </c>
      <c r="K98" s="3" t="s">
        <v>43</v>
      </c>
      <c r="L98" s="6">
        <v>39</v>
      </c>
      <c r="M98" s="3" t="s">
        <v>44</v>
      </c>
    </row>
    <row r="99" spans="1:13" x14ac:dyDescent="0.3">
      <c r="A99" s="11">
        <v>98</v>
      </c>
      <c r="B99" s="3" t="s">
        <v>23</v>
      </c>
      <c r="C99" s="5">
        <v>39</v>
      </c>
      <c r="D99" s="3" t="s">
        <v>13</v>
      </c>
      <c r="E99" s="3" t="s">
        <v>25</v>
      </c>
      <c r="F99" s="3" t="s">
        <v>32</v>
      </c>
      <c r="G99" s="3" t="s">
        <v>27</v>
      </c>
      <c r="H99" s="3" t="s">
        <v>45</v>
      </c>
      <c r="I99" s="3" t="s">
        <v>29</v>
      </c>
      <c r="J99" s="3" t="s">
        <v>21</v>
      </c>
      <c r="K99" s="3" t="s">
        <v>43</v>
      </c>
      <c r="L99" s="6">
        <v>230</v>
      </c>
      <c r="M99" s="3" t="s">
        <v>44</v>
      </c>
    </row>
    <row r="100" spans="1:13" x14ac:dyDescent="0.3">
      <c r="A100" s="11">
        <v>99</v>
      </c>
      <c r="B100" s="3" t="s">
        <v>12</v>
      </c>
      <c r="C100" s="5">
        <v>29</v>
      </c>
      <c r="D100" s="3" t="s">
        <v>50</v>
      </c>
      <c r="E100" s="3" t="s">
        <v>25</v>
      </c>
      <c r="F100" s="3" t="s">
        <v>32</v>
      </c>
      <c r="G100" s="3" t="s">
        <v>27</v>
      </c>
      <c r="H100" s="3" t="s">
        <v>28</v>
      </c>
      <c r="I100" s="3" t="s">
        <v>33</v>
      </c>
      <c r="J100" s="3" t="s">
        <v>47</v>
      </c>
      <c r="K100" s="3" t="s">
        <v>43</v>
      </c>
      <c r="L100" s="6">
        <v>31</v>
      </c>
      <c r="M100" s="3" t="s">
        <v>44</v>
      </c>
    </row>
    <row r="101" spans="1:13" x14ac:dyDescent="0.3">
      <c r="A101" s="11">
        <v>100</v>
      </c>
      <c r="B101" s="3" t="s">
        <v>12</v>
      </c>
      <c r="C101" s="5">
        <v>34</v>
      </c>
      <c r="D101" s="3" t="s">
        <v>51</v>
      </c>
      <c r="E101" s="3" t="s">
        <v>14</v>
      </c>
      <c r="F101" s="3" t="s">
        <v>32</v>
      </c>
      <c r="G101" s="3" t="s">
        <v>27</v>
      </c>
      <c r="H101" s="3" t="s">
        <v>28</v>
      </c>
      <c r="I101" s="3" t="s">
        <v>20</v>
      </c>
      <c r="J101" s="3" t="s">
        <v>34</v>
      </c>
      <c r="K101" s="3" t="s">
        <v>43</v>
      </c>
      <c r="L101" s="6">
        <v>10</v>
      </c>
      <c r="M101" s="3" t="s">
        <v>44</v>
      </c>
    </row>
    <row r="102" spans="1:13" x14ac:dyDescent="0.3">
      <c r="A102" s="11">
        <v>101</v>
      </c>
      <c r="B102" s="3" t="s">
        <v>12</v>
      </c>
      <c r="C102" s="5">
        <v>25</v>
      </c>
      <c r="D102" s="3" t="s">
        <v>51</v>
      </c>
      <c r="E102" s="3" t="s">
        <v>25</v>
      </c>
      <c r="F102" s="3" t="s">
        <v>32</v>
      </c>
      <c r="G102" s="3" t="s">
        <v>27</v>
      </c>
      <c r="H102" s="3" t="s">
        <v>45</v>
      </c>
      <c r="I102" s="3" t="s">
        <v>33</v>
      </c>
      <c r="J102" s="3" t="s">
        <v>47</v>
      </c>
      <c r="K102" s="3" t="s">
        <v>43</v>
      </c>
      <c r="L102" s="6">
        <v>342</v>
      </c>
      <c r="M102" s="3" t="s">
        <v>22</v>
      </c>
    </row>
    <row r="103" spans="1:13" x14ac:dyDescent="0.3">
      <c r="A103" s="11">
        <v>102</v>
      </c>
      <c r="B103" s="3" t="s">
        <v>12</v>
      </c>
      <c r="C103" s="5">
        <v>32</v>
      </c>
      <c r="D103" s="3" t="s">
        <v>36</v>
      </c>
      <c r="E103" s="3" t="s">
        <v>25</v>
      </c>
      <c r="F103" s="3" t="s">
        <v>32</v>
      </c>
      <c r="G103" s="3" t="s">
        <v>27</v>
      </c>
      <c r="H103" s="3" t="s">
        <v>49</v>
      </c>
      <c r="I103" s="3" t="s">
        <v>20</v>
      </c>
      <c r="J103" s="3" t="s">
        <v>21</v>
      </c>
      <c r="K103" s="3" t="s">
        <v>43</v>
      </c>
      <c r="L103" s="6">
        <v>272</v>
      </c>
      <c r="M103" s="3" t="s">
        <v>22</v>
      </c>
    </row>
    <row r="104" spans="1:13" x14ac:dyDescent="0.3">
      <c r="A104" s="11">
        <v>103</v>
      </c>
      <c r="B104" s="3" t="s">
        <v>23</v>
      </c>
      <c r="C104" s="5">
        <v>49</v>
      </c>
      <c r="D104" s="3" t="s">
        <v>52</v>
      </c>
      <c r="E104" s="3" t="s">
        <v>25</v>
      </c>
      <c r="F104" s="3" t="s">
        <v>53</v>
      </c>
      <c r="G104" s="3" t="s">
        <v>27</v>
      </c>
      <c r="H104" s="3" t="s">
        <v>28</v>
      </c>
      <c r="I104" s="3" t="s">
        <v>33</v>
      </c>
      <c r="J104" s="3" t="s">
        <v>47</v>
      </c>
      <c r="K104" s="3" t="s">
        <v>43</v>
      </c>
      <c r="L104" s="6">
        <v>21</v>
      </c>
      <c r="M104" s="3" t="s">
        <v>44</v>
      </c>
    </row>
    <row r="105" spans="1:13" x14ac:dyDescent="0.3">
      <c r="A105" s="11">
        <v>104</v>
      </c>
      <c r="B105" s="3" t="s">
        <v>23</v>
      </c>
      <c r="C105" s="5">
        <v>40</v>
      </c>
      <c r="D105" s="3" t="s">
        <v>50</v>
      </c>
      <c r="E105" s="3" t="s">
        <v>25</v>
      </c>
      <c r="F105" s="3" t="s">
        <v>32</v>
      </c>
      <c r="G105" s="3" t="s">
        <v>27</v>
      </c>
      <c r="H105" s="3" t="s">
        <v>28</v>
      </c>
      <c r="I105" s="3" t="s">
        <v>29</v>
      </c>
      <c r="J105" s="3" t="s">
        <v>39</v>
      </c>
      <c r="K105" s="3" t="s">
        <v>18</v>
      </c>
      <c r="L105" s="6">
        <v>0</v>
      </c>
      <c r="M105" s="3" t="s">
        <v>35</v>
      </c>
    </row>
    <row r="106" spans="1:13" x14ac:dyDescent="0.3">
      <c r="A106" s="11">
        <v>105</v>
      </c>
      <c r="B106" s="3" t="s">
        <v>12</v>
      </c>
      <c r="C106" s="5">
        <v>39</v>
      </c>
      <c r="D106" s="3" t="s">
        <v>31</v>
      </c>
      <c r="E106" s="3" t="s">
        <v>25</v>
      </c>
      <c r="F106" s="3" t="s">
        <v>32</v>
      </c>
      <c r="G106" s="3" t="s">
        <v>27</v>
      </c>
      <c r="H106" s="3" t="s">
        <v>28</v>
      </c>
      <c r="I106" s="3" t="s">
        <v>29</v>
      </c>
      <c r="J106" s="3" t="s">
        <v>34</v>
      </c>
      <c r="K106" s="3" t="s">
        <v>43</v>
      </c>
      <c r="L106" s="6">
        <v>-19</v>
      </c>
      <c r="M106" s="3" t="s">
        <v>22</v>
      </c>
    </row>
    <row r="107" spans="1:13" x14ac:dyDescent="0.3">
      <c r="A107" s="11">
        <v>106</v>
      </c>
      <c r="B107" s="3" t="s">
        <v>12</v>
      </c>
      <c r="C107" s="5">
        <v>32</v>
      </c>
      <c r="D107" s="3" t="s">
        <v>48</v>
      </c>
      <c r="E107" s="3" t="s">
        <v>14</v>
      </c>
      <c r="F107" s="3" t="s">
        <v>32</v>
      </c>
      <c r="G107" s="3" t="s">
        <v>27</v>
      </c>
      <c r="H107" s="3" t="s">
        <v>28</v>
      </c>
      <c r="I107" s="3" t="s">
        <v>20</v>
      </c>
      <c r="J107" s="3" t="s">
        <v>30</v>
      </c>
      <c r="K107" s="3" t="s">
        <v>43</v>
      </c>
      <c r="L107" s="6">
        <v>41</v>
      </c>
      <c r="M107" s="3" t="s">
        <v>35</v>
      </c>
    </row>
    <row r="108" spans="1:13" x14ac:dyDescent="0.3">
      <c r="A108" s="11">
        <v>107</v>
      </c>
      <c r="B108" s="3" t="s">
        <v>12</v>
      </c>
      <c r="C108" s="5">
        <v>25</v>
      </c>
      <c r="D108" s="3" t="s">
        <v>13</v>
      </c>
      <c r="E108" s="3" t="s">
        <v>25</v>
      </c>
      <c r="F108" s="3" t="s">
        <v>37</v>
      </c>
      <c r="G108" s="3" t="s">
        <v>27</v>
      </c>
      <c r="H108" s="3" t="s">
        <v>28</v>
      </c>
      <c r="I108" s="3" t="s">
        <v>20</v>
      </c>
      <c r="J108" s="3" t="s">
        <v>39</v>
      </c>
      <c r="K108" s="3" t="s">
        <v>43</v>
      </c>
      <c r="L108" s="6">
        <v>141</v>
      </c>
      <c r="M108" s="3" t="s">
        <v>44</v>
      </c>
    </row>
    <row r="109" spans="1:13" x14ac:dyDescent="0.3">
      <c r="A109" s="11">
        <v>108</v>
      </c>
      <c r="B109" s="3" t="s">
        <v>23</v>
      </c>
      <c r="C109" s="5">
        <v>42</v>
      </c>
      <c r="D109" s="3" t="s">
        <v>13</v>
      </c>
      <c r="E109" s="3" t="s">
        <v>25</v>
      </c>
      <c r="F109" s="3" t="s">
        <v>15</v>
      </c>
      <c r="G109" s="3" t="s">
        <v>27</v>
      </c>
      <c r="H109" s="3" t="s">
        <v>49</v>
      </c>
      <c r="I109" s="3" t="s">
        <v>33</v>
      </c>
      <c r="J109" s="3" t="s">
        <v>46</v>
      </c>
      <c r="K109" s="3" t="s">
        <v>43</v>
      </c>
      <c r="L109" s="6">
        <v>416</v>
      </c>
      <c r="M109" s="3" t="s">
        <v>40</v>
      </c>
    </row>
    <row r="110" spans="1:13" x14ac:dyDescent="0.3">
      <c r="A110" s="11">
        <v>109</v>
      </c>
      <c r="B110" s="3" t="s">
        <v>12</v>
      </c>
      <c r="C110" s="5">
        <v>37</v>
      </c>
      <c r="D110" s="3" t="s">
        <v>36</v>
      </c>
      <c r="E110" s="3" t="s">
        <v>25</v>
      </c>
      <c r="F110" s="3" t="s">
        <v>32</v>
      </c>
      <c r="G110" s="3" t="s">
        <v>16</v>
      </c>
      <c r="H110" s="3" t="s">
        <v>45</v>
      </c>
      <c r="I110" s="3" t="s">
        <v>38</v>
      </c>
      <c r="J110" s="3" t="s">
        <v>34</v>
      </c>
      <c r="K110" s="3" t="s">
        <v>43</v>
      </c>
      <c r="L110" s="6">
        <v>253</v>
      </c>
      <c r="M110" s="3" t="s">
        <v>22</v>
      </c>
    </row>
    <row r="111" spans="1:13" x14ac:dyDescent="0.3">
      <c r="A111" s="11">
        <v>110</v>
      </c>
      <c r="B111" s="3" t="s">
        <v>23</v>
      </c>
      <c r="C111" s="5">
        <v>28</v>
      </c>
      <c r="D111" s="3" t="s">
        <v>36</v>
      </c>
      <c r="E111" s="3" t="s">
        <v>25</v>
      </c>
      <c r="F111" s="3" t="s">
        <v>32</v>
      </c>
      <c r="G111" s="3" t="s">
        <v>27</v>
      </c>
      <c r="H111" s="3" t="s">
        <v>28</v>
      </c>
      <c r="I111" s="3" t="s">
        <v>33</v>
      </c>
      <c r="J111" s="3" t="s">
        <v>42</v>
      </c>
      <c r="K111" s="3" t="s">
        <v>43</v>
      </c>
      <c r="L111" s="6">
        <v>0</v>
      </c>
      <c r="M111" s="3" t="s">
        <v>44</v>
      </c>
    </row>
    <row r="112" spans="1:13" x14ac:dyDescent="0.3">
      <c r="A112" s="11">
        <v>111</v>
      </c>
      <c r="B112" s="3" t="s">
        <v>12</v>
      </c>
      <c r="C112" s="5">
        <v>23</v>
      </c>
      <c r="D112" s="3" t="s">
        <v>31</v>
      </c>
      <c r="E112" s="3" t="s">
        <v>25</v>
      </c>
      <c r="F112" s="3" t="s">
        <v>37</v>
      </c>
      <c r="G112" s="3" t="s">
        <v>27</v>
      </c>
      <c r="H112" s="3" t="s">
        <v>49</v>
      </c>
      <c r="I112" s="3" t="s">
        <v>20</v>
      </c>
      <c r="J112" s="3" t="s">
        <v>47</v>
      </c>
      <c r="K112" s="3" t="s">
        <v>43</v>
      </c>
      <c r="L112" s="6">
        <v>850</v>
      </c>
      <c r="M112" s="3" t="s">
        <v>22</v>
      </c>
    </row>
    <row r="113" spans="1:13" x14ac:dyDescent="0.3">
      <c r="A113" s="11">
        <v>112</v>
      </c>
      <c r="B113" s="3" t="s">
        <v>23</v>
      </c>
      <c r="C113" s="5">
        <v>37</v>
      </c>
      <c r="D113" s="3" t="s">
        <v>36</v>
      </c>
      <c r="E113" s="3" t="s">
        <v>25</v>
      </c>
      <c r="F113" s="3" t="s">
        <v>53</v>
      </c>
      <c r="G113" s="3" t="s">
        <v>27</v>
      </c>
      <c r="H113" s="3" t="s">
        <v>45</v>
      </c>
      <c r="I113" s="3" t="s">
        <v>29</v>
      </c>
      <c r="J113" s="3" t="s">
        <v>34</v>
      </c>
      <c r="K113" s="3" t="s">
        <v>43</v>
      </c>
      <c r="L113" s="6">
        <v>418</v>
      </c>
      <c r="M113" s="3" t="s">
        <v>35</v>
      </c>
    </row>
    <row r="114" spans="1:13" x14ac:dyDescent="0.3">
      <c r="A114" s="11">
        <v>113</v>
      </c>
      <c r="B114" s="3" t="s">
        <v>23</v>
      </c>
      <c r="C114" s="5">
        <v>35</v>
      </c>
      <c r="D114" s="3" t="s">
        <v>31</v>
      </c>
      <c r="E114" s="3" t="s">
        <v>25</v>
      </c>
      <c r="F114" s="3" t="s">
        <v>32</v>
      </c>
      <c r="G114" s="3" t="s">
        <v>27</v>
      </c>
      <c r="H114" s="3" t="s">
        <v>28</v>
      </c>
      <c r="I114" s="3" t="s">
        <v>20</v>
      </c>
      <c r="J114" s="3" t="s">
        <v>47</v>
      </c>
      <c r="K114" s="3" t="s">
        <v>43</v>
      </c>
      <c r="L114" s="6">
        <v>0</v>
      </c>
      <c r="M114" s="3" t="s">
        <v>35</v>
      </c>
    </row>
    <row r="115" spans="1:13" x14ac:dyDescent="0.3">
      <c r="A115" s="11">
        <v>114</v>
      </c>
      <c r="B115" s="3" t="s">
        <v>23</v>
      </c>
      <c r="C115" s="5">
        <v>63</v>
      </c>
      <c r="D115" s="3" t="s">
        <v>31</v>
      </c>
      <c r="E115" s="3" t="s">
        <v>25</v>
      </c>
      <c r="F115" s="3" t="s">
        <v>15</v>
      </c>
      <c r="G115" s="3" t="s">
        <v>27</v>
      </c>
      <c r="H115" s="3" t="s">
        <v>28</v>
      </c>
      <c r="I115" s="3" t="s">
        <v>33</v>
      </c>
      <c r="J115" s="3" t="s">
        <v>30</v>
      </c>
      <c r="K115" s="3" t="s">
        <v>43</v>
      </c>
      <c r="L115" s="6">
        <v>25</v>
      </c>
      <c r="M115" s="3" t="s">
        <v>44</v>
      </c>
    </row>
    <row r="116" spans="1:13" x14ac:dyDescent="0.3">
      <c r="A116" s="11">
        <v>115</v>
      </c>
      <c r="B116" s="3" t="s">
        <v>12</v>
      </c>
      <c r="C116" s="5">
        <v>29</v>
      </c>
      <c r="D116" s="3" t="s">
        <v>13</v>
      </c>
      <c r="E116" s="3" t="s">
        <v>14</v>
      </c>
      <c r="F116" s="3" t="s">
        <v>32</v>
      </c>
      <c r="G116" s="3" t="s">
        <v>27</v>
      </c>
      <c r="H116" s="3" t="s">
        <v>17</v>
      </c>
      <c r="I116" s="3" t="s">
        <v>20</v>
      </c>
      <c r="J116" s="3" t="s">
        <v>46</v>
      </c>
      <c r="K116" s="3" t="s">
        <v>43</v>
      </c>
      <c r="L116" s="6">
        <v>40</v>
      </c>
      <c r="M116" s="3" t="s">
        <v>35</v>
      </c>
    </row>
    <row r="117" spans="1:13" x14ac:dyDescent="0.3">
      <c r="A117" s="11">
        <v>116</v>
      </c>
      <c r="B117" s="3" t="s">
        <v>12</v>
      </c>
      <c r="C117" s="5">
        <v>62</v>
      </c>
      <c r="D117" s="3" t="s">
        <v>36</v>
      </c>
      <c r="E117" s="3" t="s">
        <v>25</v>
      </c>
      <c r="F117" s="3" t="s">
        <v>32</v>
      </c>
      <c r="G117" s="3" t="s">
        <v>27</v>
      </c>
      <c r="H117" s="3" t="s">
        <v>28</v>
      </c>
      <c r="I117" s="3" t="s">
        <v>20</v>
      </c>
      <c r="J117" s="3" t="s">
        <v>42</v>
      </c>
      <c r="K117" s="3" t="s">
        <v>43</v>
      </c>
      <c r="L117" s="6">
        <v>-30</v>
      </c>
      <c r="M117" s="3" t="s">
        <v>44</v>
      </c>
    </row>
    <row r="118" spans="1:13" x14ac:dyDescent="0.3">
      <c r="A118" s="11">
        <v>117</v>
      </c>
      <c r="B118" s="3" t="s">
        <v>12</v>
      </c>
      <c r="C118" s="5">
        <v>26</v>
      </c>
      <c r="D118" s="3" t="s">
        <v>36</v>
      </c>
      <c r="E118" s="3" t="s">
        <v>25</v>
      </c>
      <c r="F118" s="3" t="s">
        <v>37</v>
      </c>
      <c r="G118" s="3" t="s">
        <v>27</v>
      </c>
      <c r="H118" s="3" t="s">
        <v>49</v>
      </c>
      <c r="I118" s="3" t="s">
        <v>20</v>
      </c>
      <c r="J118" s="3" t="s">
        <v>46</v>
      </c>
      <c r="K118" s="3" t="s">
        <v>43</v>
      </c>
      <c r="L118" s="6">
        <v>1956</v>
      </c>
      <c r="M118" s="3" t="s">
        <v>22</v>
      </c>
    </row>
    <row r="119" spans="1:13" x14ac:dyDescent="0.3">
      <c r="A119" s="11">
        <v>118</v>
      </c>
      <c r="B119" s="3" t="s">
        <v>23</v>
      </c>
      <c r="C119" s="5">
        <v>50</v>
      </c>
      <c r="D119" s="3" t="s">
        <v>31</v>
      </c>
      <c r="E119" s="3" t="s">
        <v>14</v>
      </c>
      <c r="F119" s="3" t="s">
        <v>32</v>
      </c>
      <c r="G119" s="3" t="s">
        <v>27</v>
      </c>
      <c r="H119" s="3" t="s">
        <v>28</v>
      </c>
      <c r="I119" s="3" t="s">
        <v>20</v>
      </c>
      <c r="J119" s="3" t="s">
        <v>46</v>
      </c>
      <c r="K119" s="3" t="s">
        <v>43</v>
      </c>
      <c r="L119" s="6">
        <v>28</v>
      </c>
      <c r="M119" s="3" t="s">
        <v>22</v>
      </c>
    </row>
    <row r="120" spans="1:13" x14ac:dyDescent="0.3">
      <c r="A120" s="11">
        <v>119</v>
      </c>
      <c r="B120" s="3" t="s">
        <v>23</v>
      </c>
      <c r="C120" s="5">
        <v>49</v>
      </c>
      <c r="D120" s="3" t="s">
        <v>36</v>
      </c>
      <c r="E120" s="3" t="s">
        <v>25</v>
      </c>
      <c r="F120" s="3" t="s">
        <v>32</v>
      </c>
      <c r="G120" s="3" t="s">
        <v>16</v>
      </c>
      <c r="H120" s="3" t="s">
        <v>28</v>
      </c>
      <c r="I120" s="3" t="s">
        <v>29</v>
      </c>
      <c r="J120" s="3" t="s">
        <v>21</v>
      </c>
      <c r="K120" s="3" t="s">
        <v>43</v>
      </c>
      <c r="L120" s="6">
        <v>61</v>
      </c>
      <c r="M120" s="3" t="s">
        <v>44</v>
      </c>
    </row>
    <row r="121" spans="1:13" x14ac:dyDescent="0.3">
      <c r="A121" s="11">
        <v>120</v>
      </c>
      <c r="B121" s="3" t="s">
        <v>12</v>
      </c>
      <c r="C121" s="5">
        <v>44</v>
      </c>
      <c r="D121" s="3" t="s">
        <v>31</v>
      </c>
      <c r="E121" s="3" t="s">
        <v>25</v>
      </c>
      <c r="F121" s="3" t="s">
        <v>32</v>
      </c>
      <c r="G121" s="3" t="s">
        <v>27</v>
      </c>
      <c r="H121" s="3" t="s">
        <v>49</v>
      </c>
      <c r="I121" s="3" t="s">
        <v>33</v>
      </c>
      <c r="J121" s="3" t="s">
        <v>46</v>
      </c>
      <c r="K121" s="3" t="s">
        <v>43</v>
      </c>
      <c r="L121" s="6">
        <v>562</v>
      </c>
      <c r="M121" s="3" t="s">
        <v>40</v>
      </c>
    </row>
    <row r="122" spans="1:13" x14ac:dyDescent="0.3">
      <c r="A122" s="11">
        <v>121</v>
      </c>
      <c r="B122" s="3" t="s">
        <v>12</v>
      </c>
      <c r="C122" s="5">
        <v>25</v>
      </c>
      <c r="D122" s="3" t="s">
        <v>36</v>
      </c>
      <c r="E122" s="3" t="s">
        <v>14</v>
      </c>
      <c r="F122" s="3" t="s">
        <v>32</v>
      </c>
      <c r="G122" s="3" t="s">
        <v>27</v>
      </c>
      <c r="H122" s="3" t="s">
        <v>17</v>
      </c>
      <c r="I122" s="3" t="s">
        <v>20</v>
      </c>
      <c r="J122" s="3" t="s">
        <v>46</v>
      </c>
      <c r="K122" s="3" t="s">
        <v>43</v>
      </c>
      <c r="L122" s="6">
        <v>365</v>
      </c>
      <c r="M122" s="3" t="s">
        <v>22</v>
      </c>
    </row>
    <row r="123" spans="1:13" x14ac:dyDescent="0.3">
      <c r="A123" s="11">
        <v>122</v>
      </c>
      <c r="B123" s="3" t="s">
        <v>23</v>
      </c>
      <c r="C123" s="5">
        <v>44</v>
      </c>
      <c r="D123" s="3" t="s">
        <v>36</v>
      </c>
      <c r="E123" s="3" t="s">
        <v>25</v>
      </c>
      <c r="F123" s="3" t="s">
        <v>32</v>
      </c>
      <c r="G123" s="3" t="s">
        <v>16</v>
      </c>
      <c r="H123" s="3" t="s">
        <v>28</v>
      </c>
      <c r="I123" s="3" t="s">
        <v>33</v>
      </c>
      <c r="J123" s="3" t="s">
        <v>39</v>
      </c>
      <c r="K123" s="3" t="s">
        <v>43</v>
      </c>
      <c r="L123" s="6">
        <v>-10</v>
      </c>
      <c r="M123" s="3" t="s">
        <v>35</v>
      </c>
    </row>
    <row r="124" spans="1:13" x14ac:dyDescent="0.3">
      <c r="A124" s="11">
        <v>123</v>
      </c>
      <c r="B124" s="3" t="s">
        <v>23</v>
      </c>
      <c r="C124" s="5">
        <v>42</v>
      </c>
      <c r="D124" s="3" t="s">
        <v>36</v>
      </c>
      <c r="E124" s="3" t="s">
        <v>25</v>
      </c>
      <c r="F124" s="3" t="s">
        <v>32</v>
      </c>
      <c r="G124" s="3" t="s">
        <v>27</v>
      </c>
      <c r="H124" s="3" t="s">
        <v>45</v>
      </c>
      <c r="I124" s="3" t="s">
        <v>33</v>
      </c>
      <c r="J124" s="3" t="s">
        <v>46</v>
      </c>
      <c r="K124" s="3" t="s">
        <v>43</v>
      </c>
      <c r="L124" s="6">
        <v>338</v>
      </c>
      <c r="M124" s="3" t="s">
        <v>44</v>
      </c>
    </row>
    <row r="125" spans="1:13" x14ac:dyDescent="0.3">
      <c r="A125" s="11">
        <v>124</v>
      </c>
      <c r="B125" s="3" t="s">
        <v>23</v>
      </c>
      <c r="C125" s="5">
        <v>36</v>
      </c>
      <c r="D125" s="3" t="s">
        <v>31</v>
      </c>
      <c r="E125" s="3" t="s">
        <v>14</v>
      </c>
      <c r="F125" s="3" t="s">
        <v>32</v>
      </c>
      <c r="G125" s="3" t="s">
        <v>27</v>
      </c>
      <c r="H125" s="3" t="s">
        <v>28</v>
      </c>
      <c r="I125" s="3" t="s">
        <v>29</v>
      </c>
      <c r="J125" s="3" t="s">
        <v>21</v>
      </c>
      <c r="K125" s="3" t="s">
        <v>43</v>
      </c>
      <c r="L125" s="6">
        <v>167</v>
      </c>
      <c r="M125" s="3" t="s">
        <v>22</v>
      </c>
    </row>
    <row r="126" spans="1:13" x14ac:dyDescent="0.3">
      <c r="A126" s="11">
        <v>125</v>
      </c>
      <c r="B126" s="3" t="s">
        <v>12</v>
      </c>
      <c r="C126" s="5">
        <v>41</v>
      </c>
      <c r="D126" s="3" t="s">
        <v>31</v>
      </c>
      <c r="E126" s="3" t="s">
        <v>14</v>
      </c>
      <c r="F126" s="3" t="s">
        <v>32</v>
      </c>
      <c r="G126" s="3" t="s">
        <v>27</v>
      </c>
      <c r="H126" s="3" t="s">
        <v>17</v>
      </c>
      <c r="I126" s="3" t="s">
        <v>29</v>
      </c>
      <c r="J126" s="3" t="s">
        <v>39</v>
      </c>
      <c r="K126" s="3" t="s">
        <v>43</v>
      </c>
      <c r="L126" s="6">
        <v>104</v>
      </c>
      <c r="M126" s="3" t="s">
        <v>35</v>
      </c>
    </row>
    <row r="127" spans="1:13" x14ac:dyDescent="0.3">
      <c r="A127" s="11">
        <v>126</v>
      </c>
      <c r="B127" s="3" t="s">
        <v>12</v>
      </c>
      <c r="C127" s="5">
        <v>26</v>
      </c>
      <c r="D127" s="3" t="s">
        <v>31</v>
      </c>
      <c r="E127" s="3" t="s">
        <v>25</v>
      </c>
      <c r="F127" s="3" t="s">
        <v>32</v>
      </c>
      <c r="G127" s="3" t="s">
        <v>27</v>
      </c>
      <c r="H127" s="3" t="s">
        <v>28</v>
      </c>
      <c r="I127" s="3" t="s">
        <v>20</v>
      </c>
      <c r="J127" s="3" t="s">
        <v>47</v>
      </c>
      <c r="K127" s="3" t="s">
        <v>43</v>
      </c>
      <c r="L127" s="6">
        <v>-22</v>
      </c>
      <c r="M127" s="3" t="s">
        <v>44</v>
      </c>
    </row>
    <row r="128" spans="1:13" x14ac:dyDescent="0.3">
      <c r="A128" s="11">
        <v>127</v>
      </c>
      <c r="B128" s="3" t="s">
        <v>23</v>
      </c>
      <c r="C128" s="5">
        <v>42</v>
      </c>
      <c r="D128" s="3" t="s">
        <v>13</v>
      </c>
      <c r="E128" s="3" t="s">
        <v>25</v>
      </c>
      <c r="F128" s="3" t="s">
        <v>32</v>
      </c>
      <c r="G128" s="3" t="s">
        <v>27</v>
      </c>
      <c r="H128" s="3" t="s">
        <v>28</v>
      </c>
      <c r="I128" s="3" t="s">
        <v>29</v>
      </c>
      <c r="J128" s="3" t="s">
        <v>39</v>
      </c>
      <c r="K128" s="3" t="s">
        <v>43</v>
      </c>
      <c r="L128" s="6">
        <v>-31</v>
      </c>
      <c r="M128" s="3" t="s">
        <v>44</v>
      </c>
    </row>
    <row r="129" spans="1:13" x14ac:dyDescent="0.3">
      <c r="A129" s="11">
        <v>128</v>
      </c>
      <c r="B129" s="3" t="s">
        <v>12</v>
      </c>
      <c r="C129" s="5">
        <v>27</v>
      </c>
      <c r="D129" s="3" t="s">
        <v>36</v>
      </c>
      <c r="E129" s="3" t="s">
        <v>25</v>
      </c>
      <c r="F129" s="3" t="s">
        <v>32</v>
      </c>
      <c r="G129" s="3" t="s">
        <v>27</v>
      </c>
      <c r="H129" s="3" t="s">
        <v>49</v>
      </c>
      <c r="I129" s="3" t="s">
        <v>20</v>
      </c>
      <c r="J129" s="3" t="s">
        <v>21</v>
      </c>
      <c r="K129" s="3" t="s">
        <v>43</v>
      </c>
      <c r="L129" s="6">
        <v>1008</v>
      </c>
      <c r="M129" s="3" t="s">
        <v>44</v>
      </c>
    </row>
    <row r="130" spans="1:13" x14ac:dyDescent="0.3">
      <c r="A130" s="11">
        <v>129</v>
      </c>
      <c r="B130" s="3" t="s">
        <v>23</v>
      </c>
      <c r="C130" s="5">
        <v>24</v>
      </c>
      <c r="D130" s="3" t="s">
        <v>13</v>
      </c>
      <c r="E130" s="3" t="s">
        <v>25</v>
      </c>
      <c r="F130" s="3" t="s">
        <v>15</v>
      </c>
      <c r="G130" s="3" t="s">
        <v>27</v>
      </c>
      <c r="H130" s="3" t="s">
        <v>45</v>
      </c>
      <c r="I130" s="3" t="s">
        <v>20</v>
      </c>
      <c r="J130" s="3" t="s">
        <v>30</v>
      </c>
      <c r="K130" s="3" t="s">
        <v>18</v>
      </c>
      <c r="L130" s="6">
        <v>1144</v>
      </c>
      <c r="M130" s="3" t="s">
        <v>22</v>
      </c>
    </row>
    <row r="131" spans="1:13" x14ac:dyDescent="0.3">
      <c r="A131" s="11">
        <v>130</v>
      </c>
      <c r="B131" s="3" t="s">
        <v>12</v>
      </c>
      <c r="C131" s="5">
        <v>65</v>
      </c>
      <c r="D131" s="3" t="s">
        <v>36</v>
      </c>
      <c r="E131" s="3" t="s">
        <v>25</v>
      </c>
      <c r="F131" s="3" t="s">
        <v>32</v>
      </c>
      <c r="G131" s="3" t="s">
        <v>27</v>
      </c>
      <c r="H131" s="3" t="s">
        <v>49</v>
      </c>
      <c r="I131" s="3" t="s">
        <v>20</v>
      </c>
      <c r="J131" s="3" t="s">
        <v>46</v>
      </c>
      <c r="K131" s="3" t="s">
        <v>43</v>
      </c>
      <c r="L131" s="6">
        <v>250</v>
      </c>
      <c r="M131" s="3" t="s">
        <v>40</v>
      </c>
    </row>
    <row r="132" spans="1:13" x14ac:dyDescent="0.3">
      <c r="A132" s="11">
        <v>131</v>
      </c>
      <c r="B132" s="3" t="s">
        <v>23</v>
      </c>
      <c r="C132" s="5">
        <v>65</v>
      </c>
      <c r="D132" s="3" t="s">
        <v>48</v>
      </c>
      <c r="E132" s="3" t="s">
        <v>14</v>
      </c>
      <c r="F132" s="3" t="s">
        <v>32</v>
      </c>
      <c r="G132" s="3" t="s">
        <v>27</v>
      </c>
      <c r="H132" s="3" t="s">
        <v>28</v>
      </c>
      <c r="I132" s="3" t="s">
        <v>20</v>
      </c>
      <c r="J132" s="3" t="s">
        <v>39</v>
      </c>
      <c r="K132" s="3" t="s">
        <v>43</v>
      </c>
      <c r="L132" s="6">
        <v>-7</v>
      </c>
      <c r="M132" s="3" t="s">
        <v>35</v>
      </c>
    </row>
    <row r="133" spans="1:13" x14ac:dyDescent="0.3">
      <c r="A133" s="11">
        <v>132</v>
      </c>
      <c r="B133" s="3" t="s">
        <v>12</v>
      </c>
      <c r="C133" s="5">
        <v>44</v>
      </c>
      <c r="D133" s="3" t="s">
        <v>48</v>
      </c>
      <c r="E133" s="3" t="s">
        <v>14</v>
      </c>
      <c r="F133" s="3" t="s">
        <v>32</v>
      </c>
      <c r="G133" s="3" t="s">
        <v>27</v>
      </c>
      <c r="H133" s="3" t="s">
        <v>28</v>
      </c>
      <c r="I133" s="3" t="s">
        <v>33</v>
      </c>
      <c r="J133" s="3" t="s">
        <v>39</v>
      </c>
      <c r="K133" s="3" t="s">
        <v>18</v>
      </c>
      <c r="L133" s="6">
        <v>18</v>
      </c>
      <c r="M133" s="3" t="s">
        <v>44</v>
      </c>
    </row>
    <row r="134" spans="1:13" x14ac:dyDescent="0.3">
      <c r="A134" s="11">
        <v>133</v>
      </c>
      <c r="B134" s="3" t="s">
        <v>12</v>
      </c>
      <c r="C134" s="5">
        <v>48</v>
      </c>
      <c r="D134" s="3" t="s">
        <v>13</v>
      </c>
      <c r="E134" s="3" t="s">
        <v>25</v>
      </c>
      <c r="F134" s="3" t="s">
        <v>32</v>
      </c>
      <c r="G134" s="3" t="s">
        <v>27</v>
      </c>
      <c r="H134" s="3" t="s">
        <v>45</v>
      </c>
      <c r="I134" s="3" t="s">
        <v>20</v>
      </c>
      <c r="J134" s="3" t="s">
        <v>47</v>
      </c>
      <c r="K134" s="3" t="s">
        <v>43</v>
      </c>
      <c r="L134" s="6">
        <v>629</v>
      </c>
      <c r="M134" s="3" t="s">
        <v>44</v>
      </c>
    </row>
    <row r="135" spans="1:13" x14ac:dyDescent="0.3">
      <c r="A135" s="11">
        <v>134</v>
      </c>
      <c r="B135" s="3" t="s">
        <v>12</v>
      </c>
      <c r="C135" s="5">
        <v>37</v>
      </c>
      <c r="D135" s="3" t="s">
        <v>13</v>
      </c>
      <c r="E135" s="3" t="s">
        <v>25</v>
      </c>
      <c r="F135" s="3" t="s">
        <v>32</v>
      </c>
      <c r="G135" s="3" t="s">
        <v>27</v>
      </c>
      <c r="H135" s="3" t="s">
        <v>28</v>
      </c>
      <c r="I135" s="3" t="s">
        <v>20</v>
      </c>
      <c r="J135" s="3" t="s">
        <v>42</v>
      </c>
      <c r="K135" s="3" t="s">
        <v>43</v>
      </c>
      <c r="L135" s="6">
        <v>-69</v>
      </c>
      <c r="M135" s="3" t="s">
        <v>40</v>
      </c>
    </row>
    <row r="136" spans="1:13" x14ac:dyDescent="0.3">
      <c r="A136" s="11">
        <v>135</v>
      </c>
      <c r="B136" s="3" t="s">
        <v>12</v>
      </c>
      <c r="C136" s="5">
        <v>52</v>
      </c>
      <c r="D136" s="3" t="s">
        <v>36</v>
      </c>
      <c r="E136" s="3" t="s">
        <v>25</v>
      </c>
      <c r="F136" s="3" t="s">
        <v>32</v>
      </c>
      <c r="G136" s="3" t="s">
        <v>16</v>
      </c>
      <c r="H136" s="3" t="s">
        <v>49</v>
      </c>
      <c r="I136" s="3" t="s">
        <v>33</v>
      </c>
      <c r="J136" s="3" t="s">
        <v>34</v>
      </c>
      <c r="K136" s="3" t="s">
        <v>43</v>
      </c>
      <c r="L136" s="6">
        <v>542</v>
      </c>
      <c r="M136" s="3" t="s">
        <v>35</v>
      </c>
    </row>
    <row r="137" spans="1:13" x14ac:dyDescent="0.3">
      <c r="A137" s="11">
        <v>136</v>
      </c>
      <c r="B137" s="3" t="s">
        <v>12</v>
      </c>
      <c r="C137" s="5">
        <v>38</v>
      </c>
      <c r="D137" s="3" t="s">
        <v>13</v>
      </c>
      <c r="E137" s="3" t="s">
        <v>25</v>
      </c>
      <c r="F137" s="3" t="s">
        <v>32</v>
      </c>
      <c r="G137" s="3" t="s">
        <v>27</v>
      </c>
      <c r="H137" s="3" t="s">
        <v>28</v>
      </c>
      <c r="I137" s="3" t="s">
        <v>29</v>
      </c>
      <c r="J137" s="3" t="s">
        <v>39</v>
      </c>
      <c r="K137" s="3" t="s">
        <v>43</v>
      </c>
      <c r="L137" s="6">
        <v>50</v>
      </c>
      <c r="M137" s="3" t="s">
        <v>22</v>
      </c>
    </row>
    <row r="138" spans="1:13" x14ac:dyDescent="0.3">
      <c r="A138" s="11">
        <v>137</v>
      </c>
      <c r="B138" s="3" t="s">
        <v>23</v>
      </c>
      <c r="C138" s="5">
        <v>35</v>
      </c>
      <c r="D138" s="3" t="s">
        <v>36</v>
      </c>
      <c r="E138" s="3" t="s">
        <v>25</v>
      </c>
      <c r="F138" s="3" t="s">
        <v>32</v>
      </c>
      <c r="G138" s="3" t="s">
        <v>27</v>
      </c>
      <c r="H138" s="3" t="s">
        <v>28</v>
      </c>
      <c r="I138" s="3" t="s">
        <v>29</v>
      </c>
      <c r="J138" s="3" t="s">
        <v>42</v>
      </c>
      <c r="K138" s="3" t="s">
        <v>43</v>
      </c>
      <c r="L138" s="6">
        <v>26</v>
      </c>
      <c r="M138" s="3" t="s">
        <v>44</v>
      </c>
    </row>
    <row r="139" spans="1:13" x14ac:dyDescent="0.3">
      <c r="A139" s="11">
        <v>138</v>
      </c>
      <c r="B139" s="3" t="s">
        <v>12</v>
      </c>
      <c r="C139" s="5">
        <v>34</v>
      </c>
      <c r="D139" s="3" t="s">
        <v>31</v>
      </c>
      <c r="E139" s="3" t="s">
        <v>25</v>
      </c>
      <c r="F139" s="3" t="s">
        <v>37</v>
      </c>
      <c r="G139" s="3" t="s">
        <v>27</v>
      </c>
      <c r="H139" s="3" t="s">
        <v>28</v>
      </c>
      <c r="I139" s="3" t="s">
        <v>20</v>
      </c>
      <c r="J139" s="3" t="s">
        <v>30</v>
      </c>
      <c r="K139" s="3" t="s">
        <v>43</v>
      </c>
      <c r="L139" s="6">
        <v>-19</v>
      </c>
      <c r="M139" s="3" t="s">
        <v>44</v>
      </c>
    </row>
    <row r="140" spans="1:13" x14ac:dyDescent="0.3">
      <c r="A140" s="11">
        <v>139</v>
      </c>
      <c r="B140" s="3" t="s">
        <v>12</v>
      </c>
      <c r="C140" s="5">
        <v>34</v>
      </c>
      <c r="D140" s="3" t="s">
        <v>51</v>
      </c>
      <c r="E140" s="3" t="s">
        <v>25</v>
      </c>
      <c r="F140" s="3" t="s">
        <v>32</v>
      </c>
      <c r="G140" s="3" t="s">
        <v>27</v>
      </c>
      <c r="H140" s="3" t="s">
        <v>28</v>
      </c>
      <c r="I140" s="3" t="s">
        <v>20</v>
      </c>
      <c r="J140" s="3" t="s">
        <v>46</v>
      </c>
      <c r="K140" s="3" t="s">
        <v>43</v>
      </c>
      <c r="L140" s="6">
        <v>-59</v>
      </c>
      <c r="M140" s="3" t="s">
        <v>40</v>
      </c>
    </row>
    <row r="141" spans="1:13" x14ac:dyDescent="0.3">
      <c r="A141" s="11">
        <v>140</v>
      </c>
      <c r="B141" s="3" t="s">
        <v>23</v>
      </c>
      <c r="C141" s="5">
        <v>27</v>
      </c>
      <c r="D141" s="3" t="s">
        <v>52</v>
      </c>
      <c r="E141" s="3" t="s">
        <v>14</v>
      </c>
      <c r="F141" s="3" t="s">
        <v>15</v>
      </c>
      <c r="G141" s="3" t="s">
        <v>27</v>
      </c>
      <c r="H141" s="3" t="s">
        <v>28</v>
      </c>
      <c r="I141" s="3" t="s">
        <v>20</v>
      </c>
      <c r="J141" s="3" t="s">
        <v>21</v>
      </c>
      <c r="K141" s="3" t="s">
        <v>43</v>
      </c>
      <c r="L141" s="6">
        <v>-44</v>
      </c>
      <c r="M141" s="3" t="s">
        <v>35</v>
      </c>
    </row>
    <row r="142" spans="1:13" x14ac:dyDescent="0.3">
      <c r="A142" s="11">
        <v>141</v>
      </c>
      <c r="B142" s="3" t="s">
        <v>12</v>
      </c>
      <c r="C142" s="5">
        <v>23</v>
      </c>
      <c r="D142" s="3" t="s">
        <v>31</v>
      </c>
      <c r="E142" s="3" t="s">
        <v>25</v>
      </c>
      <c r="F142" s="3" t="s">
        <v>26</v>
      </c>
      <c r="G142" s="3" t="s">
        <v>27</v>
      </c>
      <c r="H142" s="3" t="s">
        <v>28</v>
      </c>
      <c r="I142" s="3" t="s">
        <v>29</v>
      </c>
      <c r="J142" s="3" t="s">
        <v>47</v>
      </c>
      <c r="K142" s="3" t="s">
        <v>43</v>
      </c>
      <c r="L142" s="6">
        <v>-13</v>
      </c>
      <c r="M142" s="3" t="s">
        <v>22</v>
      </c>
    </row>
    <row r="143" spans="1:13" x14ac:dyDescent="0.3">
      <c r="A143" s="11">
        <v>142</v>
      </c>
      <c r="B143" s="3" t="s">
        <v>12</v>
      </c>
      <c r="C143" s="5">
        <v>62</v>
      </c>
      <c r="D143" s="3" t="s">
        <v>31</v>
      </c>
      <c r="E143" s="3" t="s">
        <v>25</v>
      </c>
      <c r="F143" s="3" t="s">
        <v>32</v>
      </c>
      <c r="G143" s="3" t="s">
        <v>27</v>
      </c>
      <c r="H143" s="3" t="s">
        <v>28</v>
      </c>
      <c r="I143" s="3" t="s">
        <v>29</v>
      </c>
      <c r="J143" s="3" t="s">
        <v>30</v>
      </c>
      <c r="K143" s="3" t="s">
        <v>43</v>
      </c>
      <c r="L143" s="6">
        <v>-17</v>
      </c>
      <c r="M143" s="3" t="s">
        <v>35</v>
      </c>
    </row>
    <row r="144" spans="1:13" x14ac:dyDescent="0.3">
      <c r="A144" s="11">
        <v>143</v>
      </c>
      <c r="B144" s="3" t="s">
        <v>12</v>
      </c>
      <c r="C144" s="5">
        <v>41</v>
      </c>
      <c r="D144" s="3" t="s">
        <v>31</v>
      </c>
      <c r="E144" s="3" t="s">
        <v>14</v>
      </c>
      <c r="F144" s="3" t="s">
        <v>15</v>
      </c>
      <c r="G144" s="3" t="s">
        <v>16</v>
      </c>
      <c r="H144" s="3" t="s">
        <v>17</v>
      </c>
      <c r="I144" s="3" t="s">
        <v>20</v>
      </c>
      <c r="J144" s="3" t="s">
        <v>46</v>
      </c>
      <c r="K144" s="3" t="s">
        <v>43</v>
      </c>
      <c r="L144" s="6">
        <v>563</v>
      </c>
      <c r="M144" s="3" t="s">
        <v>22</v>
      </c>
    </row>
    <row r="145" spans="1:13" x14ac:dyDescent="0.3">
      <c r="A145" s="11">
        <v>144</v>
      </c>
      <c r="B145" s="3" t="s">
        <v>12</v>
      </c>
      <c r="C145" s="5">
        <v>26</v>
      </c>
      <c r="D145" s="3" t="s">
        <v>51</v>
      </c>
      <c r="E145" s="3" t="s">
        <v>14</v>
      </c>
      <c r="F145" s="3" t="s">
        <v>32</v>
      </c>
      <c r="G145" s="3" t="s">
        <v>27</v>
      </c>
      <c r="H145" s="3" t="s">
        <v>28</v>
      </c>
      <c r="I145" s="3" t="s">
        <v>20</v>
      </c>
      <c r="J145" s="3" t="s">
        <v>47</v>
      </c>
      <c r="K145" s="3" t="s">
        <v>43</v>
      </c>
      <c r="L145" s="6">
        <v>72</v>
      </c>
      <c r="M145" s="3" t="s">
        <v>35</v>
      </c>
    </row>
    <row r="146" spans="1:13" x14ac:dyDescent="0.3">
      <c r="A146" s="11">
        <v>145</v>
      </c>
      <c r="B146" s="3" t="s">
        <v>23</v>
      </c>
      <c r="C146" s="5">
        <v>36</v>
      </c>
      <c r="D146" s="3" t="s">
        <v>13</v>
      </c>
      <c r="E146" s="3" t="s">
        <v>14</v>
      </c>
      <c r="F146" s="3" t="s">
        <v>32</v>
      </c>
      <c r="G146" s="3" t="s">
        <v>27</v>
      </c>
      <c r="H146" s="3" t="s">
        <v>28</v>
      </c>
      <c r="I146" s="3" t="s">
        <v>33</v>
      </c>
      <c r="J146" s="3" t="s">
        <v>46</v>
      </c>
      <c r="K146" s="3" t="s">
        <v>43</v>
      </c>
      <c r="L146" s="6">
        <v>27</v>
      </c>
      <c r="M146" s="3" t="s">
        <v>22</v>
      </c>
    </row>
    <row r="147" spans="1:13" x14ac:dyDescent="0.3">
      <c r="A147" s="11">
        <v>146</v>
      </c>
      <c r="B147" s="3" t="s">
        <v>12</v>
      </c>
      <c r="C147" s="5">
        <v>37</v>
      </c>
      <c r="D147" s="3" t="s">
        <v>36</v>
      </c>
      <c r="E147" s="3" t="s">
        <v>14</v>
      </c>
      <c r="F147" s="3" t="s">
        <v>32</v>
      </c>
      <c r="G147" s="3" t="s">
        <v>27</v>
      </c>
      <c r="H147" s="3" t="s">
        <v>17</v>
      </c>
      <c r="I147" s="3" t="s">
        <v>29</v>
      </c>
      <c r="J147" s="3" t="s">
        <v>46</v>
      </c>
      <c r="K147" s="3" t="s">
        <v>43</v>
      </c>
      <c r="L147" s="6">
        <v>311</v>
      </c>
      <c r="M147" s="3" t="s">
        <v>22</v>
      </c>
    </row>
    <row r="148" spans="1:13" x14ac:dyDescent="0.3">
      <c r="A148" s="11">
        <v>147</v>
      </c>
      <c r="B148" s="3" t="s">
        <v>23</v>
      </c>
      <c r="C148" s="5">
        <v>39</v>
      </c>
      <c r="D148" s="3" t="s">
        <v>36</v>
      </c>
      <c r="E148" s="3" t="s">
        <v>14</v>
      </c>
      <c r="F148" s="3" t="s">
        <v>32</v>
      </c>
      <c r="G148" s="3" t="s">
        <v>27</v>
      </c>
      <c r="H148" s="3" t="s">
        <v>17</v>
      </c>
      <c r="I148" s="3" t="s">
        <v>33</v>
      </c>
      <c r="J148" s="3" t="s">
        <v>42</v>
      </c>
      <c r="K148" s="3" t="s">
        <v>43</v>
      </c>
      <c r="L148" s="6">
        <v>146</v>
      </c>
      <c r="M148" s="3" t="s">
        <v>44</v>
      </c>
    </row>
    <row r="149" spans="1:13" x14ac:dyDescent="0.3">
      <c r="A149" s="11">
        <v>148</v>
      </c>
      <c r="B149" s="3" t="s">
        <v>12</v>
      </c>
      <c r="C149" s="5">
        <v>62</v>
      </c>
      <c r="D149" s="3" t="s">
        <v>13</v>
      </c>
      <c r="E149" s="3" t="s">
        <v>25</v>
      </c>
      <c r="F149" s="3" t="s">
        <v>32</v>
      </c>
      <c r="G149" s="3" t="s">
        <v>27</v>
      </c>
      <c r="H149" s="3" t="s">
        <v>49</v>
      </c>
      <c r="I149" s="3" t="s">
        <v>29</v>
      </c>
      <c r="J149" s="3" t="s">
        <v>46</v>
      </c>
      <c r="K149" s="3" t="s">
        <v>43</v>
      </c>
      <c r="L149" s="6">
        <v>756</v>
      </c>
      <c r="M149" s="3" t="s">
        <v>44</v>
      </c>
    </row>
    <row r="150" spans="1:13" x14ac:dyDescent="0.3">
      <c r="A150" s="11">
        <v>149</v>
      </c>
      <c r="B150" s="3" t="s">
        <v>23</v>
      </c>
      <c r="C150" s="5">
        <v>61</v>
      </c>
      <c r="D150" s="3" t="s">
        <v>48</v>
      </c>
      <c r="E150" s="3" t="s">
        <v>25</v>
      </c>
      <c r="F150" s="3" t="s">
        <v>15</v>
      </c>
      <c r="G150" s="3" t="s">
        <v>27</v>
      </c>
      <c r="H150" s="3" t="s">
        <v>28</v>
      </c>
      <c r="I150" s="3" t="s">
        <v>38</v>
      </c>
      <c r="J150" s="3" t="s">
        <v>39</v>
      </c>
      <c r="K150" s="3" t="s">
        <v>18</v>
      </c>
      <c r="L150" s="6">
        <v>84</v>
      </c>
      <c r="M150" s="3" t="s">
        <v>44</v>
      </c>
    </row>
    <row r="151" spans="1:13" x14ac:dyDescent="0.3">
      <c r="A151" s="11">
        <v>150</v>
      </c>
      <c r="B151" s="3" t="s">
        <v>12</v>
      </c>
      <c r="C151" s="5">
        <v>20</v>
      </c>
      <c r="D151" s="3" t="s">
        <v>36</v>
      </c>
      <c r="E151" s="3" t="s">
        <v>25</v>
      </c>
      <c r="F151" s="3" t="s">
        <v>15</v>
      </c>
      <c r="G151" s="3" t="s">
        <v>27</v>
      </c>
      <c r="H151" s="3" t="s">
        <v>28</v>
      </c>
      <c r="I151" s="3" t="s">
        <v>29</v>
      </c>
      <c r="J151" s="3" t="s">
        <v>46</v>
      </c>
      <c r="K151" s="3" t="s">
        <v>43</v>
      </c>
      <c r="L151" s="6">
        <v>242</v>
      </c>
      <c r="M151" s="3" t="s">
        <v>22</v>
      </c>
    </row>
    <row r="152" spans="1:13" x14ac:dyDescent="0.3">
      <c r="A152" s="11">
        <v>151</v>
      </c>
      <c r="B152" s="3" t="s">
        <v>12</v>
      </c>
      <c r="C152" s="5">
        <v>31</v>
      </c>
      <c r="D152" s="3" t="s">
        <v>48</v>
      </c>
      <c r="E152" s="3" t="s">
        <v>14</v>
      </c>
      <c r="F152" s="3" t="s">
        <v>32</v>
      </c>
      <c r="G152" s="3" t="s">
        <v>27</v>
      </c>
      <c r="H152" s="3" t="s">
        <v>28</v>
      </c>
      <c r="I152" s="3" t="s">
        <v>20</v>
      </c>
      <c r="J152" s="3" t="s">
        <v>46</v>
      </c>
      <c r="K152" s="3" t="s">
        <v>18</v>
      </c>
      <c r="L152" s="6">
        <v>105</v>
      </c>
      <c r="M152" s="3" t="s">
        <v>22</v>
      </c>
    </row>
    <row r="153" spans="1:13" x14ac:dyDescent="0.3">
      <c r="A153" s="11">
        <v>152</v>
      </c>
      <c r="B153" s="3" t="s">
        <v>12</v>
      </c>
      <c r="C153" s="5">
        <v>28</v>
      </c>
      <c r="D153" s="3" t="s">
        <v>31</v>
      </c>
      <c r="E153" s="3" t="s">
        <v>25</v>
      </c>
      <c r="F153" s="3" t="s">
        <v>32</v>
      </c>
      <c r="G153" s="3" t="s">
        <v>27</v>
      </c>
      <c r="H153" s="3" t="s">
        <v>49</v>
      </c>
      <c r="I153" s="3" t="s">
        <v>29</v>
      </c>
      <c r="J153" s="3" t="s">
        <v>47</v>
      </c>
      <c r="K153" s="3" t="s">
        <v>43</v>
      </c>
      <c r="L153" s="6">
        <v>627</v>
      </c>
      <c r="M153" s="3" t="s">
        <v>44</v>
      </c>
    </row>
    <row r="154" spans="1:13" x14ac:dyDescent="0.3">
      <c r="A154" s="11">
        <v>153</v>
      </c>
      <c r="B154" s="3" t="s">
        <v>12</v>
      </c>
      <c r="C154" s="5">
        <v>22</v>
      </c>
      <c r="D154" s="3" t="s">
        <v>48</v>
      </c>
      <c r="E154" s="3" t="s">
        <v>25</v>
      </c>
      <c r="F154" s="3" t="s">
        <v>26</v>
      </c>
      <c r="G154" s="3" t="s">
        <v>27</v>
      </c>
      <c r="H154" s="3" t="s">
        <v>28</v>
      </c>
      <c r="I154" s="3" t="s">
        <v>33</v>
      </c>
      <c r="J154" s="3" t="s">
        <v>34</v>
      </c>
      <c r="K154" s="3" t="s">
        <v>43</v>
      </c>
      <c r="L154" s="6">
        <v>145</v>
      </c>
      <c r="M154" s="3" t="s">
        <v>22</v>
      </c>
    </row>
    <row r="155" spans="1:13" x14ac:dyDescent="0.3">
      <c r="A155" s="11">
        <v>154</v>
      </c>
      <c r="B155" s="3" t="s">
        <v>12</v>
      </c>
      <c r="C155" s="5">
        <v>36</v>
      </c>
      <c r="D155" s="3" t="s">
        <v>31</v>
      </c>
      <c r="E155" s="3" t="s">
        <v>25</v>
      </c>
      <c r="F155" s="3" t="s">
        <v>32</v>
      </c>
      <c r="G155" s="3" t="s">
        <v>27</v>
      </c>
      <c r="H155" s="3" t="s">
        <v>28</v>
      </c>
      <c r="I155" s="3" t="s">
        <v>20</v>
      </c>
      <c r="J155" s="3" t="s">
        <v>47</v>
      </c>
      <c r="K155" s="3" t="s">
        <v>43</v>
      </c>
      <c r="L155" s="6">
        <v>96</v>
      </c>
      <c r="M155" s="3" t="s">
        <v>44</v>
      </c>
    </row>
    <row r="156" spans="1:13" x14ac:dyDescent="0.3">
      <c r="A156" s="11">
        <v>155</v>
      </c>
      <c r="B156" s="3" t="s">
        <v>23</v>
      </c>
      <c r="C156" s="5">
        <v>48</v>
      </c>
      <c r="D156" s="3" t="s">
        <v>31</v>
      </c>
      <c r="E156" s="3" t="s">
        <v>25</v>
      </c>
      <c r="F156" s="3" t="s">
        <v>32</v>
      </c>
      <c r="G156" s="3" t="s">
        <v>27</v>
      </c>
      <c r="H156" s="3" t="s">
        <v>49</v>
      </c>
      <c r="I156" s="3" t="s">
        <v>33</v>
      </c>
      <c r="J156" s="3" t="s">
        <v>39</v>
      </c>
      <c r="K156" s="3" t="s">
        <v>18</v>
      </c>
      <c r="L156" s="6">
        <v>1143</v>
      </c>
      <c r="M156" s="3" t="s">
        <v>44</v>
      </c>
    </row>
    <row r="157" spans="1:13" x14ac:dyDescent="0.3">
      <c r="A157" s="11">
        <v>156</v>
      </c>
      <c r="B157" s="3" t="s">
        <v>23</v>
      </c>
      <c r="C157" s="5">
        <v>47</v>
      </c>
      <c r="D157" s="3" t="s">
        <v>31</v>
      </c>
      <c r="E157" s="3" t="s">
        <v>25</v>
      </c>
      <c r="F157" s="3" t="s">
        <v>32</v>
      </c>
      <c r="G157" s="3" t="s">
        <v>27</v>
      </c>
      <c r="H157" s="3" t="s">
        <v>45</v>
      </c>
      <c r="I157" s="3" t="s">
        <v>20</v>
      </c>
      <c r="J157" s="3" t="s">
        <v>47</v>
      </c>
      <c r="K157" s="3" t="s">
        <v>43</v>
      </c>
      <c r="L157" s="6">
        <v>338</v>
      </c>
      <c r="M157" s="3" t="s">
        <v>44</v>
      </c>
    </row>
    <row r="158" spans="1:13" x14ac:dyDescent="0.3">
      <c r="A158" s="11">
        <v>157</v>
      </c>
      <c r="B158" s="3" t="s">
        <v>12</v>
      </c>
      <c r="C158" s="5">
        <v>51</v>
      </c>
      <c r="D158" s="3" t="s">
        <v>36</v>
      </c>
      <c r="E158" s="3" t="s">
        <v>25</v>
      </c>
      <c r="F158" s="3" t="s">
        <v>32</v>
      </c>
      <c r="G158" s="3" t="s">
        <v>27</v>
      </c>
      <c r="H158" s="3" t="s">
        <v>28</v>
      </c>
      <c r="I158" s="3" t="s">
        <v>20</v>
      </c>
      <c r="J158" s="3" t="s">
        <v>39</v>
      </c>
      <c r="K158" s="3" t="s">
        <v>43</v>
      </c>
      <c r="L158" s="6">
        <v>135</v>
      </c>
      <c r="M158" s="3" t="s">
        <v>22</v>
      </c>
    </row>
    <row r="159" spans="1:13" x14ac:dyDescent="0.3">
      <c r="A159" s="11">
        <v>158</v>
      </c>
      <c r="B159" s="3" t="s">
        <v>12</v>
      </c>
      <c r="C159" s="5">
        <v>48</v>
      </c>
      <c r="D159" s="3" t="s">
        <v>31</v>
      </c>
      <c r="E159" s="3" t="s">
        <v>14</v>
      </c>
      <c r="F159" s="3" t="s">
        <v>32</v>
      </c>
      <c r="G159" s="3" t="s">
        <v>27</v>
      </c>
      <c r="H159" s="3" t="s">
        <v>17</v>
      </c>
      <c r="I159" s="3" t="s">
        <v>20</v>
      </c>
      <c r="J159" s="3" t="s">
        <v>39</v>
      </c>
      <c r="K159" s="3" t="s">
        <v>43</v>
      </c>
      <c r="L159" s="6">
        <v>567</v>
      </c>
      <c r="M159" s="3" t="s">
        <v>22</v>
      </c>
    </row>
    <row r="160" spans="1:13" x14ac:dyDescent="0.3">
      <c r="A160" s="11">
        <v>159</v>
      </c>
      <c r="B160" s="3" t="s">
        <v>23</v>
      </c>
      <c r="C160" s="5">
        <v>30</v>
      </c>
      <c r="D160" s="3" t="s">
        <v>36</v>
      </c>
      <c r="E160" s="3" t="s">
        <v>14</v>
      </c>
      <c r="F160" s="3" t="s">
        <v>32</v>
      </c>
      <c r="G160" s="3" t="s">
        <v>27</v>
      </c>
      <c r="H160" s="3" t="s">
        <v>28</v>
      </c>
      <c r="I160" s="3" t="s">
        <v>20</v>
      </c>
      <c r="J160" s="3" t="s">
        <v>30</v>
      </c>
      <c r="K160" s="3" t="s">
        <v>43</v>
      </c>
      <c r="L160" s="6">
        <v>200</v>
      </c>
      <c r="M160" s="3" t="s">
        <v>40</v>
      </c>
    </row>
    <row r="161" spans="1:13" x14ac:dyDescent="0.3">
      <c r="A161" s="11">
        <v>160</v>
      </c>
      <c r="B161" s="3" t="s">
        <v>23</v>
      </c>
      <c r="C161" s="5">
        <v>40</v>
      </c>
      <c r="D161" s="3" t="s">
        <v>48</v>
      </c>
      <c r="E161" s="3" t="s">
        <v>25</v>
      </c>
      <c r="F161" s="3" t="s">
        <v>32</v>
      </c>
      <c r="G161" s="3" t="s">
        <v>27</v>
      </c>
      <c r="H161" s="3" t="s">
        <v>28</v>
      </c>
      <c r="I161" s="3" t="s">
        <v>20</v>
      </c>
      <c r="J161" s="3" t="s">
        <v>21</v>
      </c>
      <c r="K161" s="3" t="s">
        <v>43</v>
      </c>
      <c r="L161" s="6">
        <v>0</v>
      </c>
      <c r="M161" s="3" t="s">
        <v>44</v>
      </c>
    </row>
    <row r="162" spans="1:13" x14ac:dyDescent="0.3">
      <c r="A162" s="11">
        <v>161</v>
      </c>
      <c r="B162" s="3" t="s">
        <v>23</v>
      </c>
      <c r="C162" s="5">
        <v>29</v>
      </c>
      <c r="D162" s="3" t="s">
        <v>36</v>
      </c>
      <c r="E162" s="3" t="s">
        <v>25</v>
      </c>
      <c r="F162" s="3" t="s">
        <v>32</v>
      </c>
      <c r="G162" s="3" t="s">
        <v>27</v>
      </c>
      <c r="H162" s="3" t="s">
        <v>28</v>
      </c>
      <c r="I162" s="3" t="s">
        <v>20</v>
      </c>
      <c r="J162" s="3" t="s">
        <v>46</v>
      </c>
      <c r="K162" s="3" t="s">
        <v>43</v>
      </c>
      <c r="L162" s="6">
        <v>-31</v>
      </c>
      <c r="M162" s="3" t="s">
        <v>35</v>
      </c>
    </row>
    <row r="163" spans="1:13" x14ac:dyDescent="0.3">
      <c r="A163" s="11">
        <v>162</v>
      </c>
      <c r="B163" s="3" t="s">
        <v>12</v>
      </c>
      <c r="C163" s="5">
        <v>35</v>
      </c>
      <c r="D163" s="3" t="s">
        <v>13</v>
      </c>
      <c r="E163" s="3" t="s">
        <v>14</v>
      </c>
      <c r="F163" s="3" t="s">
        <v>32</v>
      </c>
      <c r="G163" s="3" t="s">
        <v>27</v>
      </c>
      <c r="H163" s="3" t="s">
        <v>28</v>
      </c>
      <c r="I163" s="3" t="s">
        <v>20</v>
      </c>
      <c r="J163" s="3" t="s">
        <v>21</v>
      </c>
      <c r="K163" s="3" t="s">
        <v>43</v>
      </c>
      <c r="L163" s="6">
        <v>54</v>
      </c>
      <c r="M163" s="3" t="s">
        <v>35</v>
      </c>
    </row>
    <row r="164" spans="1:13" x14ac:dyDescent="0.3">
      <c r="A164" s="11">
        <v>163</v>
      </c>
      <c r="B164" s="3" t="s">
        <v>23</v>
      </c>
      <c r="C164" s="5">
        <v>61</v>
      </c>
      <c r="D164" s="3" t="s">
        <v>36</v>
      </c>
      <c r="E164" s="3" t="s">
        <v>25</v>
      </c>
      <c r="F164" s="3" t="s">
        <v>15</v>
      </c>
      <c r="G164" s="3" t="s">
        <v>27</v>
      </c>
      <c r="H164" s="3" t="s">
        <v>28</v>
      </c>
      <c r="I164" s="3" t="s">
        <v>20</v>
      </c>
      <c r="J164" s="3" t="s">
        <v>46</v>
      </c>
      <c r="K164" s="3" t="s">
        <v>43</v>
      </c>
      <c r="L164" s="6">
        <v>0</v>
      </c>
      <c r="M164" s="3" t="s">
        <v>44</v>
      </c>
    </row>
    <row r="165" spans="1:13" x14ac:dyDescent="0.3">
      <c r="A165" s="11">
        <v>164</v>
      </c>
      <c r="B165" s="3" t="s">
        <v>12</v>
      </c>
      <c r="C165" s="5">
        <v>38</v>
      </c>
      <c r="D165" s="3" t="s">
        <v>50</v>
      </c>
      <c r="E165" s="3" t="s">
        <v>25</v>
      </c>
      <c r="F165" s="3" t="s">
        <v>32</v>
      </c>
      <c r="G165" s="3" t="s">
        <v>27</v>
      </c>
      <c r="H165" s="3" t="s">
        <v>28</v>
      </c>
      <c r="I165" s="3" t="s">
        <v>29</v>
      </c>
      <c r="J165" s="3" t="s">
        <v>42</v>
      </c>
      <c r="K165" s="3" t="s">
        <v>43</v>
      </c>
      <c r="L165" s="6">
        <v>0</v>
      </c>
      <c r="M165" s="3" t="s">
        <v>35</v>
      </c>
    </row>
    <row r="166" spans="1:13" x14ac:dyDescent="0.3">
      <c r="A166" s="11">
        <v>165</v>
      </c>
      <c r="B166" s="3" t="s">
        <v>12</v>
      </c>
      <c r="C166" s="5">
        <v>40</v>
      </c>
      <c r="D166" s="3" t="s">
        <v>31</v>
      </c>
      <c r="E166" s="3" t="s">
        <v>25</v>
      </c>
      <c r="F166" s="3" t="s">
        <v>32</v>
      </c>
      <c r="G166" s="3" t="s">
        <v>27</v>
      </c>
      <c r="H166" s="3" t="s">
        <v>49</v>
      </c>
      <c r="I166" s="3" t="s">
        <v>20</v>
      </c>
      <c r="J166" s="3" t="s">
        <v>47</v>
      </c>
      <c r="K166" s="3" t="s">
        <v>43</v>
      </c>
      <c r="L166" s="6">
        <v>827</v>
      </c>
      <c r="M166" s="3" t="s">
        <v>44</v>
      </c>
    </row>
    <row r="167" spans="1:13" x14ac:dyDescent="0.3">
      <c r="A167" s="11">
        <v>166</v>
      </c>
      <c r="B167" s="3" t="s">
        <v>23</v>
      </c>
      <c r="C167" s="5">
        <v>32</v>
      </c>
      <c r="D167" s="3" t="s">
        <v>52</v>
      </c>
      <c r="E167" s="3" t="s">
        <v>25</v>
      </c>
      <c r="F167" s="3" t="s">
        <v>32</v>
      </c>
      <c r="G167" s="3" t="s">
        <v>27</v>
      </c>
      <c r="H167" s="3" t="s">
        <v>28</v>
      </c>
      <c r="I167" s="3" t="s">
        <v>20</v>
      </c>
      <c r="J167" s="3" t="s">
        <v>46</v>
      </c>
      <c r="K167" s="3" t="s">
        <v>43</v>
      </c>
      <c r="L167" s="6">
        <v>-30</v>
      </c>
      <c r="M167" s="3" t="s">
        <v>44</v>
      </c>
    </row>
    <row r="168" spans="1:13" x14ac:dyDescent="0.3">
      <c r="A168" s="11">
        <v>167</v>
      </c>
      <c r="B168" s="3" t="s">
        <v>12</v>
      </c>
      <c r="C168" s="5">
        <v>32</v>
      </c>
      <c r="D168" s="3" t="s">
        <v>31</v>
      </c>
      <c r="E168" s="3" t="s">
        <v>25</v>
      </c>
      <c r="F168" s="3" t="s">
        <v>53</v>
      </c>
      <c r="G168" s="3" t="s">
        <v>27</v>
      </c>
      <c r="H168" s="3" t="s">
        <v>49</v>
      </c>
      <c r="I168" s="3" t="s">
        <v>20</v>
      </c>
      <c r="J168" s="3" t="s">
        <v>21</v>
      </c>
      <c r="K168" s="3" t="s">
        <v>43</v>
      </c>
      <c r="L168" s="6">
        <v>298</v>
      </c>
      <c r="M168" s="3" t="s">
        <v>44</v>
      </c>
    </row>
    <row r="169" spans="1:13" x14ac:dyDescent="0.3">
      <c r="A169" s="11">
        <v>168</v>
      </c>
      <c r="B169" s="3" t="s">
        <v>12</v>
      </c>
      <c r="C169" s="5">
        <v>68</v>
      </c>
      <c r="D169" s="3" t="s">
        <v>13</v>
      </c>
      <c r="E169" s="3" t="s">
        <v>25</v>
      </c>
      <c r="F169" s="3" t="s">
        <v>15</v>
      </c>
      <c r="G169" s="3" t="s">
        <v>27</v>
      </c>
      <c r="H169" s="3" t="s">
        <v>28</v>
      </c>
      <c r="I169" s="3" t="s">
        <v>29</v>
      </c>
      <c r="J169" s="3" t="s">
        <v>42</v>
      </c>
      <c r="K169" s="3" t="s">
        <v>43</v>
      </c>
      <c r="L169" s="6">
        <v>-44</v>
      </c>
      <c r="M169" s="3" t="s">
        <v>22</v>
      </c>
    </row>
    <row r="170" spans="1:13" x14ac:dyDescent="0.3">
      <c r="A170" s="11">
        <v>169</v>
      </c>
      <c r="B170" s="3" t="s">
        <v>12</v>
      </c>
      <c r="C170" s="5">
        <v>39</v>
      </c>
      <c r="D170" s="3" t="s">
        <v>36</v>
      </c>
      <c r="E170" s="3" t="s">
        <v>14</v>
      </c>
      <c r="F170" s="3" t="s">
        <v>15</v>
      </c>
      <c r="G170" s="3" t="s">
        <v>27</v>
      </c>
      <c r="H170" s="3" t="s">
        <v>17</v>
      </c>
      <c r="I170" s="3" t="s">
        <v>20</v>
      </c>
      <c r="J170" s="3" t="s">
        <v>46</v>
      </c>
      <c r="K170" s="3" t="s">
        <v>43</v>
      </c>
      <c r="L170" s="6">
        <v>312</v>
      </c>
      <c r="M170" s="3" t="s">
        <v>44</v>
      </c>
    </row>
    <row r="171" spans="1:13" x14ac:dyDescent="0.3">
      <c r="A171" s="11">
        <v>170</v>
      </c>
      <c r="B171" s="3" t="s">
        <v>23</v>
      </c>
      <c r="C171" s="5">
        <v>58</v>
      </c>
      <c r="D171" s="3" t="s">
        <v>13</v>
      </c>
      <c r="E171" s="3" t="s">
        <v>25</v>
      </c>
      <c r="F171" s="3" t="s">
        <v>37</v>
      </c>
      <c r="G171" s="3" t="s">
        <v>27</v>
      </c>
      <c r="H171" s="3" t="s">
        <v>28</v>
      </c>
      <c r="I171" s="3" t="s">
        <v>20</v>
      </c>
      <c r="J171" s="3" t="s">
        <v>30</v>
      </c>
      <c r="K171" s="3" t="s">
        <v>18</v>
      </c>
      <c r="L171" s="6">
        <v>63</v>
      </c>
      <c r="M171" s="3" t="s">
        <v>40</v>
      </c>
    </row>
    <row r="172" spans="1:13" x14ac:dyDescent="0.3">
      <c r="A172" s="11">
        <v>171</v>
      </c>
      <c r="B172" s="3" t="s">
        <v>12</v>
      </c>
      <c r="C172" s="5">
        <v>47</v>
      </c>
      <c r="D172" s="3" t="s">
        <v>52</v>
      </c>
      <c r="E172" s="3" t="s">
        <v>14</v>
      </c>
      <c r="F172" s="3" t="s">
        <v>37</v>
      </c>
      <c r="G172" s="3" t="s">
        <v>16</v>
      </c>
      <c r="H172" s="3" t="s">
        <v>28</v>
      </c>
      <c r="I172" s="3" t="s">
        <v>33</v>
      </c>
      <c r="J172" s="3" t="s">
        <v>42</v>
      </c>
      <c r="K172" s="3" t="s">
        <v>43</v>
      </c>
      <c r="L172" s="6">
        <v>82</v>
      </c>
      <c r="M172" s="3" t="s">
        <v>40</v>
      </c>
    </row>
    <row r="173" spans="1:13" x14ac:dyDescent="0.3">
      <c r="A173" s="11">
        <v>172</v>
      </c>
      <c r="B173" s="3" t="s">
        <v>12</v>
      </c>
      <c r="C173" s="5">
        <v>50</v>
      </c>
      <c r="D173" s="3" t="s">
        <v>51</v>
      </c>
      <c r="E173" s="3" t="s">
        <v>14</v>
      </c>
      <c r="F173" s="3" t="s">
        <v>15</v>
      </c>
      <c r="G173" s="3" t="s">
        <v>27</v>
      </c>
      <c r="H173" s="3" t="s">
        <v>28</v>
      </c>
      <c r="I173" s="3" t="s">
        <v>29</v>
      </c>
      <c r="J173" s="3" t="s">
        <v>21</v>
      </c>
      <c r="K173" s="3" t="s">
        <v>43</v>
      </c>
      <c r="L173" s="6">
        <v>-55</v>
      </c>
      <c r="M173" s="3" t="s">
        <v>22</v>
      </c>
    </row>
    <row r="174" spans="1:13" x14ac:dyDescent="0.3">
      <c r="A174" s="11">
        <v>173</v>
      </c>
      <c r="B174" s="3" t="s">
        <v>12</v>
      </c>
      <c r="C174" s="5">
        <v>24</v>
      </c>
      <c r="D174" s="3" t="s">
        <v>13</v>
      </c>
      <c r="E174" s="3" t="s">
        <v>25</v>
      </c>
      <c r="F174" s="3" t="s">
        <v>32</v>
      </c>
      <c r="G174" s="3" t="s">
        <v>16</v>
      </c>
      <c r="H174" s="3" t="s">
        <v>17</v>
      </c>
      <c r="I174" s="3" t="s">
        <v>20</v>
      </c>
      <c r="J174" s="3" t="s">
        <v>39</v>
      </c>
      <c r="K174" s="3" t="s">
        <v>43</v>
      </c>
      <c r="L174" s="6">
        <v>387</v>
      </c>
      <c r="M174" s="3" t="s">
        <v>35</v>
      </c>
    </row>
    <row r="175" spans="1:13" x14ac:dyDescent="0.3">
      <c r="A175" s="11">
        <v>174</v>
      </c>
      <c r="B175" s="3" t="s">
        <v>12</v>
      </c>
      <c r="C175" s="5">
        <v>30</v>
      </c>
      <c r="D175" s="3" t="s">
        <v>36</v>
      </c>
      <c r="E175" s="3" t="s">
        <v>25</v>
      </c>
      <c r="F175" s="3" t="s">
        <v>15</v>
      </c>
      <c r="G175" s="3" t="s">
        <v>27</v>
      </c>
      <c r="H175" s="3" t="s">
        <v>28</v>
      </c>
      <c r="I175" s="3" t="s">
        <v>20</v>
      </c>
      <c r="J175" s="3" t="s">
        <v>21</v>
      </c>
      <c r="K175" s="3" t="s">
        <v>43</v>
      </c>
      <c r="L175" s="6">
        <v>124</v>
      </c>
      <c r="M175" s="3" t="s">
        <v>44</v>
      </c>
    </row>
    <row r="176" spans="1:13" x14ac:dyDescent="0.3">
      <c r="A176" s="11">
        <v>175</v>
      </c>
      <c r="B176" s="3" t="s">
        <v>12</v>
      </c>
      <c r="C176" s="5">
        <v>31</v>
      </c>
      <c r="D176" s="3" t="s">
        <v>36</v>
      </c>
      <c r="E176" s="3" t="s">
        <v>14</v>
      </c>
      <c r="F176" s="3" t="s">
        <v>32</v>
      </c>
      <c r="G176" s="3" t="s">
        <v>27</v>
      </c>
      <c r="H176" s="3" t="s">
        <v>28</v>
      </c>
      <c r="I176" s="3" t="s">
        <v>20</v>
      </c>
      <c r="J176" s="3" t="s">
        <v>21</v>
      </c>
      <c r="K176" s="3" t="s">
        <v>43</v>
      </c>
      <c r="L176" s="6">
        <v>-17</v>
      </c>
      <c r="M176" s="3" t="s">
        <v>22</v>
      </c>
    </row>
    <row r="177" spans="1:13" x14ac:dyDescent="0.3">
      <c r="A177" s="11">
        <v>176</v>
      </c>
      <c r="B177" s="3" t="s">
        <v>12</v>
      </c>
      <c r="C177" s="5">
        <v>37</v>
      </c>
      <c r="D177" s="3" t="s">
        <v>31</v>
      </c>
      <c r="E177" s="3" t="s">
        <v>25</v>
      </c>
      <c r="F177" s="3" t="s">
        <v>32</v>
      </c>
      <c r="G177" s="3" t="s">
        <v>27</v>
      </c>
      <c r="H177" s="3" t="s">
        <v>28</v>
      </c>
      <c r="I177" s="3" t="s">
        <v>29</v>
      </c>
      <c r="J177" s="3" t="s">
        <v>42</v>
      </c>
      <c r="K177" s="3" t="s">
        <v>43</v>
      </c>
      <c r="L177" s="6">
        <v>-73</v>
      </c>
      <c r="M177" s="3" t="s">
        <v>40</v>
      </c>
    </row>
    <row r="178" spans="1:13" x14ac:dyDescent="0.3">
      <c r="A178" s="11">
        <v>177</v>
      </c>
      <c r="B178" s="3" t="s">
        <v>23</v>
      </c>
      <c r="C178" s="5">
        <v>44</v>
      </c>
      <c r="D178" s="3" t="s">
        <v>36</v>
      </c>
      <c r="E178" s="3" t="s">
        <v>14</v>
      </c>
      <c r="F178" s="3" t="s">
        <v>32</v>
      </c>
      <c r="G178" s="3" t="s">
        <v>27</v>
      </c>
      <c r="H178" s="3" t="s">
        <v>17</v>
      </c>
      <c r="I178" s="3" t="s">
        <v>33</v>
      </c>
      <c r="J178" s="3" t="s">
        <v>30</v>
      </c>
      <c r="K178" s="3" t="s">
        <v>43</v>
      </c>
      <c r="L178" s="6">
        <v>169</v>
      </c>
      <c r="M178" s="3" t="s">
        <v>22</v>
      </c>
    </row>
    <row r="179" spans="1:13" x14ac:dyDescent="0.3">
      <c r="A179" s="11">
        <v>178</v>
      </c>
      <c r="B179" s="3" t="s">
        <v>12</v>
      </c>
      <c r="C179" s="5">
        <v>41</v>
      </c>
      <c r="D179" s="3" t="s">
        <v>36</v>
      </c>
      <c r="E179" s="3" t="s">
        <v>25</v>
      </c>
      <c r="F179" s="3" t="s">
        <v>41</v>
      </c>
      <c r="G179" s="3" t="s">
        <v>27</v>
      </c>
      <c r="H179" s="3" t="s">
        <v>28</v>
      </c>
      <c r="I179" s="3" t="s">
        <v>20</v>
      </c>
      <c r="J179" s="3" t="s">
        <v>39</v>
      </c>
      <c r="K179" s="3" t="s">
        <v>43</v>
      </c>
      <c r="L179" s="6">
        <v>150</v>
      </c>
      <c r="M179" s="3" t="s">
        <v>44</v>
      </c>
    </row>
    <row r="180" spans="1:13" x14ac:dyDescent="0.3">
      <c r="A180" s="11">
        <v>179</v>
      </c>
      <c r="B180" s="3" t="s">
        <v>12</v>
      </c>
      <c r="C180" s="5">
        <v>46</v>
      </c>
      <c r="D180" s="3" t="s">
        <v>31</v>
      </c>
      <c r="E180" s="3" t="s">
        <v>25</v>
      </c>
      <c r="F180" s="3" t="s">
        <v>32</v>
      </c>
      <c r="G180" s="3" t="s">
        <v>27</v>
      </c>
      <c r="H180" s="3" t="s">
        <v>28</v>
      </c>
      <c r="I180" s="3" t="s">
        <v>33</v>
      </c>
      <c r="J180" s="3" t="s">
        <v>42</v>
      </c>
      <c r="K180" s="3" t="s">
        <v>43</v>
      </c>
      <c r="L180" s="6">
        <v>-59</v>
      </c>
      <c r="M180" s="3" t="s">
        <v>44</v>
      </c>
    </row>
    <row r="181" spans="1:13" x14ac:dyDescent="0.3">
      <c r="A181" s="11">
        <v>180</v>
      </c>
      <c r="B181" s="3" t="s">
        <v>12</v>
      </c>
      <c r="C181" s="5">
        <v>57</v>
      </c>
      <c r="D181" s="3" t="s">
        <v>36</v>
      </c>
      <c r="E181" s="3" t="s">
        <v>14</v>
      </c>
      <c r="F181" s="3" t="s">
        <v>32</v>
      </c>
      <c r="G181" s="3" t="s">
        <v>27</v>
      </c>
      <c r="H181" s="3" t="s">
        <v>28</v>
      </c>
      <c r="I181" s="3" t="s">
        <v>20</v>
      </c>
      <c r="J181" s="3" t="s">
        <v>30</v>
      </c>
      <c r="K181" s="3" t="s">
        <v>43</v>
      </c>
      <c r="L181" s="6">
        <v>22</v>
      </c>
      <c r="M181" s="3" t="s">
        <v>35</v>
      </c>
    </row>
    <row r="182" spans="1:13" x14ac:dyDescent="0.3">
      <c r="A182" s="11">
        <v>181</v>
      </c>
      <c r="B182" s="3" t="s">
        <v>12</v>
      </c>
      <c r="C182" s="5">
        <v>61</v>
      </c>
      <c r="D182" s="3" t="s">
        <v>51</v>
      </c>
      <c r="E182" s="3" t="s">
        <v>25</v>
      </c>
      <c r="F182" s="3" t="s">
        <v>32</v>
      </c>
      <c r="G182" s="3" t="s">
        <v>27</v>
      </c>
      <c r="H182" s="3" t="s">
        <v>45</v>
      </c>
      <c r="I182" s="3" t="s">
        <v>38</v>
      </c>
      <c r="J182" s="3" t="s">
        <v>30</v>
      </c>
      <c r="K182" s="3" t="s">
        <v>43</v>
      </c>
      <c r="L182" s="6">
        <v>108</v>
      </c>
      <c r="M182" s="3" t="s">
        <v>44</v>
      </c>
    </row>
    <row r="183" spans="1:13" x14ac:dyDescent="0.3">
      <c r="A183" s="11">
        <v>182</v>
      </c>
      <c r="B183" s="3" t="s">
        <v>12</v>
      </c>
      <c r="C183" s="5">
        <v>58</v>
      </c>
      <c r="D183" s="3" t="s">
        <v>51</v>
      </c>
      <c r="E183" s="3" t="s">
        <v>25</v>
      </c>
      <c r="F183" s="3" t="s">
        <v>32</v>
      </c>
      <c r="G183" s="3" t="s">
        <v>27</v>
      </c>
      <c r="H183" s="3" t="s">
        <v>49</v>
      </c>
      <c r="I183" s="3" t="s">
        <v>38</v>
      </c>
      <c r="J183" s="3" t="s">
        <v>30</v>
      </c>
      <c r="K183" s="3" t="s">
        <v>43</v>
      </c>
      <c r="L183" s="6">
        <v>361</v>
      </c>
      <c r="M183" s="3" t="s">
        <v>22</v>
      </c>
    </row>
    <row r="184" spans="1:13" x14ac:dyDescent="0.3">
      <c r="A184" s="11">
        <v>183</v>
      </c>
      <c r="B184" s="3" t="s">
        <v>12</v>
      </c>
      <c r="C184" s="5">
        <v>49</v>
      </c>
      <c r="D184" s="3" t="s">
        <v>36</v>
      </c>
      <c r="E184" s="3" t="s">
        <v>14</v>
      </c>
      <c r="F184" s="3" t="s">
        <v>32</v>
      </c>
      <c r="G184" s="3" t="s">
        <v>27</v>
      </c>
      <c r="H184" s="3" t="s">
        <v>28</v>
      </c>
      <c r="I184" s="3" t="s">
        <v>33</v>
      </c>
      <c r="J184" s="3" t="s">
        <v>39</v>
      </c>
      <c r="K184" s="3" t="s">
        <v>43</v>
      </c>
      <c r="L184" s="6">
        <v>51</v>
      </c>
      <c r="M184" s="3" t="s">
        <v>44</v>
      </c>
    </row>
    <row r="185" spans="1:13" x14ac:dyDescent="0.3">
      <c r="A185" s="11">
        <v>184</v>
      </c>
      <c r="B185" s="3" t="s">
        <v>23</v>
      </c>
      <c r="C185" s="5">
        <v>30</v>
      </c>
      <c r="D185" s="3" t="s">
        <v>31</v>
      </c>
      <c r="E185" s="3" t="s">
        <v>25</v>
      </c>
      <c r="F185" s="3" t="s">
        <v>32</v>
      </c>
      <c r="G185" s="3" t="s">
        <v>27</v>
      </c>
      <c r="H185" s="3" t="s">
        <v>28</v>
      </c>
      <c r="I185" s="3" t="s">
        <v>20</v>
      </c>
      <c r="J185" s="3" t="s">
        <v>46</v>
      </c>
      <c r="K185" s="3" t="s">
        <v>18</v>
      </c>
      <c r="L185" s="6">
        <v>163</v>
      </c>
      <c r="M185" s="3" t="s">
        <v>44</v>
      </c>
    </row>
    <row r="186" spans="1:13" x14ac:dyDescent="0.3">
      <c r="A186" s="11">
        <v>185</v>
      </c>
      <c r="B186" s="3" t="s">
        <v>23</v>
      </c>
      <c r="C186" s="5">
        <v>55</v>
      </c>
      <c r="D186" s="3" t="s">
        <v>31</v>
      </c>
      <c r="E186" s="3" t="s">
        <v>25</v>
      </c>
      <c r="F186" s="3" t="s">
        <v>32</v>
      </c>
      <c r="G186" s="3" t="s">
        <v>27</v>
      </c>
      <c r="H186" s="3" t="s">
        <v>28</v>
      </c>
      <c r="I186" s="3" t="s">
        <v>38</v>
      </c>
      <c r="J186" s="3" t="s">
        <v>34</v>
      </c>
      <c r="K186" s="3" t="s">
        <v>18</v>
      </c>
      <c r="L186" s="6">
        <v>43</v>
      </c>
      <c r="M186" s="3" t="s">
        <v>22</v>
      </c>
    </row>
    <row r="187" spans="1:13" x14ac:dyDescent="0.3">
      <c r="A187" s="11">
        <v>186</v>
      </c>
      <c r="B187" s="3" t="s">
        <v>12</v>
      </c>
      <c r="C187" s="5">
        <v>32</v>
      </c>
      <c r="D187" s="3" t="s">
        <v>51</v>
      </c>
      <c r="E187" s="3" t="s">
        <v>25</v>
      </c>
      <c r="F187" s="3" t="s">
        <v>32</v>
      </c>
      <c r="G187" s="3" t="s">
        <v>27</v>
      </c>
      <c r="H187" s="3" t="s">
        <v>28</v>
      </c>
      <c r="I187" s="3" t="s">
        <v>33</v>
      </c>
      <c r="J187" s="3" t="s">
        <v>39</v>
      </c>
      <c r="K187" s="3" t="s">
        <v>43</v>
      </c>
      <c r="L187" s="6">
        <v>54</v>
      </c>
      <c r="M187" s="3" t="s">
        <v>22</v>
      </c>
    </row>
    <row r="188" spans="1:13" x14ac:dyDescent="0.3">
      <c r="A188" s="11">
        <v>187</v>
      </c>
      <c r="B188" s="3" t="s">
        <v>23</v>
      </c>
      <c r="C188" s="5">
        <v>29</v>
      </c>
      <c r="D188" s="3" t="s">
        <v>48</v>
      </c>
      <c r="E188" s="3" t="s">
        <v>25</v>
      </c>
      <c r="F188" s="3" t="s">
        <v>32</v>
      </c>
      <c r="G188" s="3" t="s">
        <v>27</v>
      </c>
      <c r="H188" s="3" t="s">
        <v>28</v>
      </c>
      <c r="I188" s="3" t="s">
        <v>38</v>
      </c>
      <c r="J188" s="3" t="s">
        <v>46</v>
      </c>
      <c r="K188" s="3" t="s">
        <v>43</v>
      </c>
      <c r="L188" s="6">
        <v>105</v>
      </c>
      <c r="M188" s="3" t="s">
        <v>22</v>
      </c>
    </row>
    <row r="189" spans="1:13" x14ac:dyDescent="0.3">
      <c r="A189" s="11">
        <v>188</v>
      </c>
      <c r="B189" s="3" t="s">
        <v>23</v>
      </c>
      <c r="C189" s="5">
        <v>47</v>
      </c>
      <c r="D189" s="3" t="s">
        <v>13</v>
      </c>
      <c r="E189" s="3" t="s">
        <v>25</v>
      </c>
      <c r="F189" s="3" t="s">
        <v>32</v>
      </c>
      <c r="G189" s="3" t="s">
        <v>27</v>
      </c>
      <c r="H189" s="3" t="s">
        <v>28</v>
      </c>
      <c r="I189" s="3" t="s">
        <v>20</v>
      </c>
      <c r="J189" s="3" t="s">
        <v>42</v>
      </c>
      <c r="K189" s="3" t="s">
        <v>43</v>
      </c>
      <c r="L189" s="6">
        <v>202</v>
      </c>
      <c r="M189" s="3" t="s">
        <v>44</v>
      </c>
    </row>
    <row r="190" spans="1:13" x14ac:dyDescent="0.3">
      <c r="A190" s="11">
        <v>189</v>
      </c>
      <c r="B190" s="3" t="s">
        <v>12</v>
      </c>
      <c r="C190" s="5">
        <v>32</v>
      </c>
      <c r="D190" s="3" t="s">
        <v>31</v>
      </c>
      <c r="E190" s="3" t="s">
        <v>14</v>
      </c>
      <c r="F190" s="3" t="s">
        <v>15</v>
      </c>
      <c r="G190" s="3" t="s">
        <v>27</v>
      </c>
      <c r="H190" s="3" t="s">
        <v>17</v>
      </c>
      <c r="I190" s="3" t="s">
        <v>20</v>
      </c>
      <c r="J190" s="3" t="s">
        <v>46</v>
      </c>
      <c r="K190" s="3" t="s">
        <v>43</v>
      </c>
      <c r="L190" s="6">
        <v>-49</v>
      </c>
      <c r="M190" s="3" t="s">
        <v>40</v>
      </c>
    </row>
    <row r="191" spans="1:13" x14ac:dyDescent="0.3">
      <c r="A191" s="11">
        <v>190</v>
      </c>
      <c r="B191" s="3" t="s">
        <v>12</v>
      </c>
      <c r="C191" s="5">
        <v>44</v>
      </c>
      <c r="D191" s="3" t="s">
        <v>51</v>
      </c>
      <c r="E191" s="3" t="s">
        <v>14</v>
      </c>
      <c r="F191" s="3" t="s">
        <v>32</v>
      </c>
      <c r="G191" s="3" t="s">
        <v>27</v>
      </c>
      <c r="H191" s="3" t="s">
        <v>17</v>
      </c>
      <c r="I191" s="3" t="s">
        <v>33</v>
      </c>
      <c r="J191" s="3" t="s">
        <v>42</v>
      </c>
      <c r="K191" s="3" t="s">
        <v>18</v>
      </c>
      <c r="L191" s="6">
        <v>17</v>
      </c>
      <c r="M191" s="3" t="s">
        <v>22</v>
      </c>
    </row>
    <row r="192" spans="1:13" x14ac:dyDescent="0.3">
      <c r="A192" s="11">
        <v>191</v>
      </c>
      <c r="B192" s="3" t="s">
        <v>12</v>
      </c>
      <c r="C192" s="5">
        <v>34</v>
      </c>
      <c r="D192" s="3" t="s">
        <v>24</v>
      </c>
      <c r="E192" s="3" t="s">
        <v>25</v>
      </c>
      <c r="F192" s="3" t="s">
        <v>32</v>
      </c>
      <c r="G192" s="3" t="s">
        <v>27</v>
      </c>
      <c r="H192" s="3" t="s">
        <v>45</v>
      </c>
      <c r="I192" s="3" t="s">
        <v>38</v>
      </c>
      <c r="J192" s="3" t="s">
        <v>30</v>
      </c>
      <c r="K192" s="3" t="s">
        <v>18</v>
      </c>
      <c r="L192" s="6">
        <v>288</v>
      </c>
      <c r="M192" s="3" t="s">
        <v>44</v>
      </c>
    </row>
    <row r="193" spans="1:13" x14ac:dyDescent="0.3">
      <c r="A193" s="11">
        <v>192</v>
      </c>
      <c r="B193" s="3" t="s">
        <v>12</v>
      </c>
      <c r="C193" s="5">
        <v>38</v>
      </c>
      <c r="D193" s="3" t="s">
        <v>48</v>
      </c>
      <c r="E193" s="3" t="s">
        <v>14</v>
      </c>
      <c r="F193" s="3" t="s">
        <v>32</v>
      </c>
      <c r="G193" s="3" t="s">
        <v>27</v>
      </c>
      <c r="H193" s="3" t="s">
        <v>28</v>
      </c>
      <c r="I193" s="3" t="s">
        <v>20</v>
      </c>
      <c r="J193" s="3" t="s">
        <v>30</v>
      </c>
      <c r="K193" s="3" t="s">
        <v>43</v>
      </c>
      <c r="L193" s="6">
        <v>0</v>
      </c>
      <c r="M193" s="3" t="s">
        <v>44</v>
      </c>
    </row>
    <row r="194" spans="1:13" x14ac:dyDescent="0.3">
      <c r="A194" s="11">
        <v>193</v>
      </c>
      <c r="B194" s="3" t="s">
        <v>23</v>
      </c>
      <c r="C194" s="5">
        <v>42</v>
      </c>
      <c r="D194" s="3" t="s">
        <v>31</v>
      </c>
      <c r="E194" s="3" t="s">
        <v>25</v>
      </c>
      <c r="F194" s="3" t="s">
        <v>32</v>
      </c>
      <c r="G194" s="3" t="s">
        <v>27</v>
      </c>
      <c r="H194" s="3" t="s">
        <v>28</v>
      </c>
      <c r="I194" s="3" t="s">
        <v>20</v>
      </c>
      <c r="J194" s="3" t="s">
        <v>46</v>
      </c>
      <c r="K194" s="3" t="s">
        <v>43</v>
      </c>
      <c r="L194" s="6">
        <v>53</v>
      </c>
      <c r="M194" s="3" t="s">
        <v>22</v>
      </c>
    </row>
    <row r="195" spans="1:13" x14ac:dyDescent="0.3">
      <c r="A195" s="11">
        <v>194</v>
      </c>
      <c r="B195" s="3" t="s">
        <v>12</v>
      </c>
      <c r="C195" s="5">
        <v>30</v>
      </c>
      <c r="D195" s="3" t="s">
        <v>36</v>
      </c>
      <c r="E195" s="3" t="s">
        <v>25</v>
      </c>
      <c r="F195" s="3" t="s">
        <v>15</v>
      </c>
      <c r="G195" s="3" t="s">
        <v>27</v>
      </c>
      <c r="H195" s="3" t="s">
        <v>17</v>
      </c>
      <c r="I195" s="3" t="s">
        <v>33</v>
      </c>
      <c r="J195" s="3" t="s">
        <v>30</v>
      </c>
      <c r="K195" s="3" t="s">
        <v>43</v>
      </c>
      <c r="L195" s="6">
        <v>183</v>
      </c>
      <c r="M195" s="3" t="s">
        <v>22</v>
      </c>
    </row>
    <row r="196" spans="1:13" x14ac:dyDescent="0.3">
      <c r="A196" s="11">
        <v>195</v>
      </c>
      <c r="B196" s="3" t="s">
        <v>12</v>
      </c>
      <c r="C196" s="5">
        <v>29</v>
      </c>
      <c r="D196" s="3" t="s">
        <v>13</v>
      </c>
      <c r="E196" s="3" t="s">
        <v>14</v>
      </c>
      <c r="F196" s="3" t="s">
        <v>32</v>
      </c>
      <c r="G196" s="3" t="s">
        <v>27</v>
      </c>
      <c r="H196" s="3" t="s">
        <v>28</v>
      </c>
      <c r="I196" s="3" t="s">
        <v>20</v>
      </c>
      <c r="J196" s="3" t="s">
        <v>34</v>
      </c>
      <c r="K196" s="3" t="s">
        <v>43</v>
      </c>
      <c r="L196" s="6">
        <v>-33</v>
      </c>
      <c r="M196" s="3" t="s">
        <v>44</v>
      </c>
    </row>
    <row r="197" spans="1:13" x14ac:dyDescent="0.3">
      <c r="A197" s="11">
        <v>196</v>
      </c>
      <c r="B197" s="3" t="s">
        <v>23</v>
      </c>
      <c r="C197" s="5">
        <v>38</v>
      </c>
      <c r="D197" s="3" t="s">
        <v>52</v>
      </c>
      <c r="E197" s="3" t="s">
        <v>25</v>
      </c>
      <c r="F197" s="3" t="s">
        <v>32</v>
      </c>
      <c r="G197" s="3" t="s">
        <v>27</v>
      </c>
      <c r="H197" s="3" t="s">
        <v>28</v>
      </c>
      <c r="I197" s="3" t="s">
        <v>29</v>
      </c>
      <c r="J197" s="3" t="s">
        <v>21</v>
      </c>
      <c r="K197" s="3" t="s">
        <v>43</v>
      </c>
      <c r="L197" s="6">
        <v>134</v>
      </c>
      <c r="M197" s="3" t="s">
        <v>22</v>
      </c>
    </row>
    <row r="198" spans="1:13" x14ac:dyDescent="0.3">
      <c r="A198" s="11">
        <v>197</v>
      </c>
      <c r="B198" s="3" t="s">
        <v>23</v>
      </c>
      <c r="C198" s="5">
        <v>32</v>
      </c>
      <c r="D198" s="3" t="s">
        <v>48</v>
      </c>
      <c r="E198" s="3" t="s">
        <v>25</v>
      </c>
      <c r="F198" s="3" t="s">
        <v>32</v>
      </c>
      <c r="G198" s="3" t="s">
        <v>27</v>
      </c>
      <c r="H198" s="3" t="s">
        <v>28</v>
      </c>
      <c r="I198" s="3" t="s">
        <v>20</v>
      </c>
      <c r="J198" s="3" t="s">
        <v>39</v>
      </c>
      <c r="K198" s="3" t="s">
        <v>43</v>
      </c>
      <c r="L198" s="6">
        <v>149</v>
      </c>
      <c r="M198" s="3" t="s">
        <v>22</v>
      </c>
    </row>
    <row r="199" spans="1:13" x14ac:dyDescent="0.3">
      <c r="A199" s="11">
        <v>198</v>
      </c>
      <c r="B199" s="3" t="s">
        <v>23</v>
      </c>
      <c r="C199" s="5">
        <v>55</v>
      </c>
      <c r="D199" s="3" t="s">
        <v>13</v>
      </c>
      <c r="E199" s="3" t="s">
        <v>25</v>
      </c>
      <c r="F199" s="3" t="s">
        <v>32</v>
      </c>
      <c r="G199" s="3" t="s">
        <v>27</v>
      </c>
      <c r="H199" s="3" t="s">
        <v>28</v>
      </c>
      <c r="I199" s="3" t="s">
        <v>20</v>
      </c>
      <c r="J199" s="3" t="s">
        <v>30</v>
      </c>
      <c r="K199" s="3" t="s">
        <v>18</v>
      </c>
      <c r="L199" s="6">
        <v>-40</v>
      </c>
      <c r="M199" s="3" t="s">
        <v>44</v>
      </c>
    </row>
    <row r="200" spans="1:13" x14ac:dyDescent="0.3">
      <c r="A200" s="11">
        <v>199</v>
      </c>
      <c r="B200" s="3" t="s">
        <v>12</v>
      </c>
      <c r="C200" s="5">
        <v>47</v>
      </c>
      <c r="D200" s="3" t="s">
        <v>36</v>
      </c>
      <c r="E200" s="3" t="s">
        <v>25</v>
      </c>
      <c r="F200" s="3" t="s">
        <v>32</v>
      </c>
      <c r="G200" s="3" t="s">
        <v>27</v>
      </c>
      <c r="H200" s="3" t="s">
        <v>28</v>
      </c>
      <c r="I200" s="3" t="s">
        <v>20</v>
      </c>
      <c r="J200" s="3" t="s">
        <v>30</v>
      </c>
      <c r="K200" s="3" t="s">
        <v>43</v>
      </c>
      <c r="L200" s="6">
        <v>0</v>
      </c>
      <c r="M200" s="3" t="s">
        <v>35</v>
      </c>
    </row>
    <row r="201" spans="1:13" x14ac:dyDescent="0.3">
      <c r="A201" s="11">
        <v>200</v>
      </c>
      <c r="B201" s="3" t="s">
        <v>12</v>
      </c>
      <c r="C201" s="5">
        <v>40</v>
      </c>
      <c r="D201" s="3" t="s">
        <v>51</v>
      </c>
      <c r="E201" s="3" t="s">
        <v>14</v>
      </c>
      <c r="F201" s="3" t="s">
        <v>32</v>
      </c>
      <c r="G201" s="3" t="s">
        <v>27</v>
      </c>
      <c r="H201" s="3" t="s">
        <v>28</v>
      </c>
      <c r="I201" s="3" t="s">
        <v>29</v>
      </c>
      <c r="J201" s="3" t="s">
        <v>42</v>
      </c>
      <c r="K201" s="3" t="s">
        <v>43</v>
      </c>
      <c r="L201" s="6">
        <v>51</v>
      </c>
      <c r="M201" s="3" t="s">
        <v>22</v>
      </c>
    </row>
    <row r="202" spans="1:13" x14ac:dyDescent="0.3">
      <c r="A202" s="11">
        <v>201</v>
      </c>
      <c r="B202" s="3" t="s">
        <v>12</v>
      </c>
      <c r="C202" s="5">
        <v>37</v>
      </c>
      <c r="D202" s="3" t="s">
        <v>31</v>
      </c>
      <c r="E202" s="3" t="s">
        <v>25</v>
      </c>
      <c r="F202" s="3" t="s">
        <v>32</v>
      </c>
      <c r="G202" s="3" t="s">
        <v>27</v>
      </c>
      <c r="H202" s="3" t="s">
        <v>45</v>
      </c>
      <c r="I202" s="3" t="s">
        <v>20</v>
      </c>
      <c r="J202" s="3" t="s">
        <v>47</v>
      </c>
      <c r="K202" s="3" t="s">
        <v>43</v>
      </c>
      <c r="L202" s="6">
        <v>307</v>
      </c>
      <c r="M202" s="3" t="s">
        <v>44</v>
      </c>
    </row>
    <row r="203" spans="1:13" x14ac:dyDescent="0.3">
      <c r="A203" s="11">
        <v>202</v>
      </c>
      <c r="B203" s="3" t="s">
        <v>23</v>
      </c>
      <c r="C203" s="5">
        <v>43</v>
      </c>
      <c r="D203" s="3" t="s">
        <v>31</v>
      </c>
      <c r="E203" s="3" t="s">
        <v>14</v>
      </c>
      <c r="F203" s="3" t="s">
        <v>32</v>
      </c>
      <c r="G203" s="3" t="s">
        <v>27</v>
      </c>
      <c r="H203" s="3" t="s">
        <v>28</v>
      </c>
      <c r="I203" s="3" t="s">
        <v>33</v>
      </c>
      <c r="J203" s="3" t="s">
        <v>46</v>
      </c>
      <c r="K203" s="3" t="s">
        <v>43</v>
      </c>
      <c r="L203" s="6">
        <v>0</v>
      </c>
      <c r="M203" s="3" t="s">
        <v>44</v>
      </c>
    </row>
    <row r="204" spans="1:13" x14ac:dyDescent="0.3">
      <c r="A204" s="11">
        <v>203</v>
      </c>
      <c r="B204" s="3" t="s">
        <v>23</v>
      </c>
      <c r="C204" s="5">
        <v>32</v>
      </c>
      <c r="D204" s="3" t="s">
        <v>31</v>
      </c>
      <c r="E204" s="3" t="s">
        <v>25</v>
      </c>
      <c r="F204" s="3" t="s">
        <v>32</v>
      </c>
      <c r="G204" s="3" t="s">
        <v>16</v>
      </c>
      <c r="H204" s="3" t="s">
        <v>49</v>
      </c>
      <c r="I204" s="3" t="s">
        <v>20</v>
      </c>
      <c r="J204" s="3" t="s">
        <v>47</v>
      </c>
      <c r="K204" s="3" t="s">
        <v>43</v>
      </c>
      <c r="L204" s="6">
        <v>691</v>
      </c>
      <c r="M204" s="3" t="s">
        <v>22</v>
      </c>
    </row>
    <row r="205" spans="1:13" x14ac:dyDescent="0.3">
      <c r="A205" s="11">
        <v>204</v>
      </c>
      <c r="B205" s="3" t="s">
        <v>23</v>
      </c>
      <c r="C205" s="5">
        <v>31</v>
      </c>
      <c r="D205" s="3" t="s">
        <v>36</v>
      </c>
      <c r="E205" s="3" t="s">
        <v>25</v>
      </c>
      <c r="F205" s="3" t="s">
        <v>32</v>
      </c>
      <c r="G205" s="3" t="s">
        <v>27</v>
      </c>
      <c r="H205" s="3" t="s">
        <v>49</v>
      </c>
      <c r="I205" s="3" t="s">
        <v>20</v>
      </c>
      <c r="J205" s="3" t="s">
        <v>46</v>
      </c>
      <c r="K205" s="3" t="s">
        <v>43</v>
      </c>
      <c r="L205" s="6">
        <v>384</v>
      </c>
      <c r="M205" s="3" t="s">
        <v>40</v>
      </c>
    </row>
    <row r="206" spans="1:13" x14ac:dyDescent="0.3">
      <c r="A206" s="11">
        <v>205</v>
      </c>
      <c r="B206" s="3" t="s">
        <v>12</v>
      </c>
      <c r="C206" s="5">
        <v>44</v>
      </c>
      <c r="D206" s="3" t="s">
        <v>48</v>
      </c>
      <c r="E206" s="3" t="s">
        <v>25</v>
      </c>
      <c r="F206" s="3" t="s">
        <v>32</v>
      </c>
      <c r="G206" s="3" t="s">
        <v>27</v>
      </c>
      <c r="H206" s="3" t="s">
        <v>28</v>
      </c>
      <c r="I206" s="3" t="s">
        <v>29</v>
      </c>
      <c r="J206" s="3" t="s">
        <v>46</v>
      </c>
      <c r="K206" s="3" t="s">
        <v>43</v>
      </c>
      <c r="L206" s="6">
        <v>-68</v>
      </c>
      <c r="M206" s="3" t="s">
        <v>40</v>
      </c>
    </row>
    <row r="207" spans="1:13" x14ac:dyDescent="0.3">
      <c r="A207" s="11">
        <v>206</v>
      </c>
      <c r="B207" s="3" t="s">
        <v>12</v>
      </c>
      <c r="C207" s="5">
        <v>39</v>
      </c>
      <c r="D207" s="3" t="s">
        <v>36</v>
      </c>
      <c r="E207" s="3" t="s">
        <v>14</v>
      </c>
      <c r="F207" s="3" t="s">
        <v>32</v>
      </c>
      <c r="G207" s="3" t="s">
        <v>16</v>
      </c>
      <c r="H207" s="3" t="s">
        <v>17</v>
      </c>
      <c r="I207" s="3" t="s">
        <v>29</v>
      </c>
      <c r="J207" s="3" t="s">
        <v>34</v>
      </c>
      <c r="K207" s="3" t="s">
        <v>43</v>
      </c>
      <c r="L207" s="6">
        <v>272</v>
      </c>
      <c r="M207" s="3" t="s">
        <v>44</v>
      </c>
    </row>
    <row r="208" spans="1:13" x14ac:dyDescent="0.3">
      <c r="A208" s="11">
        <v>207</v>
      </c>
      <c r="B208" s="3" t="s">
        <v>12</v>
      </c>
      <c r="C208" s="5">
        <v>41</v>
      </c>
      <c r="D208" s="3" t="s">
        <v>31</v>
      </c>
      <c r="E208" s="3" t="s">
        <v>25</v>
      </c>
      <c r="F208" s="3" t="s">
        <v>32</v>
      </c>
      <c r="G208" s="3" t="s">
        <v>27</v>
      </c>
      <c r="H208" s="3" t="s">
        <v>28</v>
      </c>
      <c r="I208" s="3" t="s">
        <v>29</v>
      </c>
      <c r="J208" s="3" t="s">
        <v>46</v>
      </c>
      <c r="K208" s="3" t="s">
        <v>18</v>
      </c>
      <c r="L208" s="6">
        <v>-78</v>
      </c>
      <c r="M208" s="3" t="s">
        <v>35</v>
      </c>
    </row>
    <row r="209" spans="1:13" x14ac:dyDescent="0.3">
      <c r="A209" s="11">
        <v>208</v>
      </c>
      <c r="B209" s="3" t="s">
        <v>12</v>
      </c>
      <c r="C209" s="5">
        <v>30</v>
      </c>
      <c r="D209" s="3" t="s">
        <v>13</v>
      </c>
      <c r="E209" s="3" t="s">
        <v>25</v>
      </c>
      <c r="F209" s="3" t="s">
        <v>32</v>
      </c>
      <c r="G209" s="3" t="s">
        <v>27</v>
      </c>
      <c r="H209" s="3" t="s">
        <v>28</v>
      </c>
      <c r="I209" s="3" t="s">
        <v>20</v>
      </c>
      <c r="J209" s="3" t="s">
        <v>30</v>
      </c>
      <c r="K209" s="3" t="s">
        <v>43</v>
      </c>
      <c r="L209" s="6">
        <v>96</v>
      </c>
      <c r="M209" s="3" t="s">
        <v>44</v>
      </c>
    </row>
    <row r="210" spans="1:13" x14ac:dyDescent="0.3">
      <c r="A210" s="11">
        <v>209</v>
      </c>
      <c r="B210" s="3" t="s">
        <v>12</v>
      </c>
      <c r="C210" s="5">
        <v>58</v>
      </c>
      <c r="D210" s="3" t="s">
        <v>31</v>
      </c>
      <c r="E210" s="3" t="s">
        <v>25</v>
      </c>
      <c r="F210" s="3" t="s">
        <v>32</v>
      </c>
      <c r="G210" s="3" t="s">
        <v>16</v>
      </c>
      <c r="H210" s="3" t="s">
        <v>45</v>
      </c>
      <c r="I210" s="3" t="s">
        <v>20</v>
      </c>
      <c r="J210" s="3" t="s">
        <v>46</v>
      </c>
      <c r="K210" s="3" t="s">
        <v>18</v>
      </c>
      <c r="L210" s="6">
        <v>966</v>
      </c>
      <c r="M210" s="3" t="s">
        <v>44</v>
      </c>
    </row>
    <row r="211" spans="1:13" x14ac:dyDescent="0.3">
      <c r="A211" s="11">
        <v>210</v>
      </c>
      <c r="B211" s="3" t="s">
        <v>12</v>
      </c>
      <c r="C211" s="5">
        <v>55</v>
      </c>
      <c r="D211" s="3" t="s">
        <v>31</v>
      </c>
      <c r="E211" s="3" t="s">
        <v>25</v>
      </c>
      <c r="F211" s="3" t="s">
        <v>32</v>
      </c>
      <c r="G211" s="3" t="s">
        <v>27</v>
      </c>
      <c r="H211" s="3" t="s">
        <v>45</v>
      </c>
      <c r="I211" s="3" t="s">
        <v>38</v>
      </c>
      <c r="J211" s="3" t="s">
        <v>30</v>
      </c>
      <c r="K211" s="3" t="s">
        <v>43</v>
      </c>
      <c r="L211" s="6">
        <v>294</v>
      </c>
      <c r="M211" s="3" t="s">
        <v>22</v>
      </c>
    </row>
    <row r="212" spans="1:13" x14ac:dyDescent="0.3">
      <c r="A212" s="11">
        <v>211</v>
      </c>
      <c r="B212" s="3" t="s">
        <v>12</v>
      </c>
      <c r="C212" s="5">
        <v>60</v>
      </c>
      <c r="D212" s="3" t="s">
        <v>36</v>
      </c>
      <c r="E212" s="3" t="s">
        <v>25</v>
      </c>
      <c r="F212" s="3" t="s">
        <v>32</v>
      </c>
      <c r="G212" s="3" t="s">
        <v>27</v>
      </c>
      <c r="H212" s="3" t="s">
        <v>28</v>
      </c>
      <c r="I212" s="3" t="s">
        <v>38</v>
      </c>
      <c r="J212" s="3" t="s">
        <v>30</v>
      </c>
      <c r="K212" s="3" t="s">
        <v>43</v>
      </c>
      <c r="L212" s="6">
        <v>141</v>
      </c>
      <c r="M212" s="3" t="s">
        <v>44</v>
      </c>
    </row>
    <row r="213" spans="1:13" x14ac:dyDescent="0.3">
      <c r="A213" s="11">
        <v>212</v>
      </c>
      <c r="B213" s="3" t="s">
        <v>23</v>
      </c>
      <c r="C213" s="5">
        <v>29</v>
      </c>
      <c r="D213" s="3" t="s">
        <v>52</v>
      </c>
      <c r="E213" s="3" t="s">
        <v>25</v>
      </c>
      <c r="F213" s="3" t="s">
        <v>37</v>
      </c>
      <c r="G213" s="3" t="s">
        <v>27</v>
      </c>
      <c r="H213" s="3" t="s">
        <v>45</v>
      </c>
      <c r="I213" s="3" t="s">
        <v>20</v>
      </c>
      <c r="J213" s="3" t="s">
        <v>30</v>
      </c>
      <c r="K213" s="3" t="s">
        <v>43</v>
      </c>
      <c r="L213" s="6">
        <v>411</v>
      </c>
      <c r="M213" s="3" t="s">
        <v>44</v>
      </c>
    </row>
    <row r="214" spans="1:13" x14ac:dyDescent="0.3">
      <c r="A214" s="11">
        <v>213</v>
      </c>
      <c r="B214" s="3" t="s">
        <v>23</v>
      </c>
      <c r="C214" s="5">
        <v>42</v>
      </c>
      <c r="D214" s="3" t="s">
        <v>31</v>
      </c>
      <c r="E214" s="3" t="s">
        <v>25</v>
      </c>
      <c r="F214" s="3" t="s">
        <v>32</v>
      </c>
      <c r="G214" s="3" t="s">
        <v>27</v>
      </c>
      <c r="H214" s="3" t="s">
        <v>45</v>
      </c>
      <c r="I214" s="3" t="s">
        <v>33</v>
      </c>
      <c r="J214" s="3" t="s">
        <v>21</v>
      </c>
      <c r="K214" s="3" t="s">
        <v>43</v>
      </c>
      <c r="L214" s="6">
        <v>408</v>
      </c>
      <c r="M214" s="3" t="s">
        <v>44</v>
      </c>
    </row>
    <row r="215" spans="1:13" x14ac:dyDescent="0.3">
      <c r="A215" s="11">
        <v>214</v>
      </c>
      <c r="B215" s="3" t="s">
        <v>12</v>
      </c>
      <c r="C215" s="5">
        <v>41</v>
      </c>
      <c r="D215" s="3" t="s">
        <v>36</v>
      </c>
      <c r="E215" s="3" t="s">
        <v>25</v>
      </c>
      <c r="F215" s="3" t="s">
        <v>32</v>
      </c>
      <c r="G215" s="3" t="s">
        <v>27</v>
      </c>
      <c r="H215" s="3" t="s">
        <v>45</v>
      </c>
      <c r="I215" s="3" t="s">
        <v>20</v>
      </c>
      <c r="J215" s="3" t="s">
        <v>39</v>
      </c>
      <c r="K215" s="3" t="s">
        <v>43</v>
      </c>
      <c r="L215" s="6">
        <v>482</v>
      </c>
      <c r="M215" s="3" t="s">
        <v>22</v>
      </c>
    </row>
    <row r="216" spans="1:13" x14ac:dyDescent="0.3">
      <c r="A216" s="11">
        <v>215</v>
      </c>
      <c r="B216" s="3" t="s">
        <v>12</v>
      </c>
      <c r="C216" s="5">
        <v>35</v>
      </c>
      <c r="D216" s="3" t="s">
        <v>36</v>
      </c>
      <c r="E216" s="3" t="s">
        <v>25</v>
      </c>
      <c r="F216" s="3" t="s">
        <v>32</v>
      </c>
      <c r="G216" s="3" t="s">
        <v>16</v>
      </c>
      <c r="H216" s="3" t="s">
        <v>28</v>
      </c>
      <c r="I216" s="3" t="s">
        <v>29</v>
      </c>
      <c r="J216" s="3" t="s">
        <v>39</v>
      </c>
      <c r="K216" s="3" t="s">
        <v>18</v>
      </c>
      <c r="L216" s="6">
        <v>76</v>
      </c>
      <c r="M216" s="3" t="s">
        <v>22</v>
      </c>
    </row>
    <row r="217" spans="1:13" x14ac:dyDescent="0.3">
      <c r="A217" s="11">
        <v>216</v>
      </c>
      <c r="B217" s="3" t="s">
        <v>12</v>
      </c>
      <c r="C217" s="5">
        <v>24</v>
      </c>
      <c r="D217" s="3" t="s">
        <v>31</v>
      </c>
      <c r="E217" s="3" t="s">
        <v>25</v>
      </c>
      <c r="F217" s="3" t="s">
        <v>32</v>
      </c>
      <c r="G217" s="3" t="s">
        <v>27</v>
      </c>
      <c r="H217" s="3" t="s">
        <v>49</v>
      </c>
      <c r="I217" s="3" t="s">
        <v>20</v>
      </c>
      <c r="J217" s="3" t="s">
        <v>42</v>
      </c>
      <c r="K217" s="3" t="s">
        <v>18</v>
      </c>
      <c r="L217" s="6">
        <v>1799</v>
      </c>
      <c r="M217" s="3" t="s">
        <v>22</v>
      </c>
    </row>
    <row r="218" spans="1:13" x14ac:dyDescent="0.3">
      <c r="A218" s="11">
        <v>217</v>
      </c>
      <c r="B218" s="3" t="s">
        <v>12</v>
      </c>
      <c r="C218" s="5">
        <v>39</v>
      </c>
      <c r="D218" s="3" t="s">
        <v>31</v>
      </c>
      <c r="E218" s="3" t="s">
        <v>25</v>
      </c>
      <c r="F218" s="3" t="s">
        <v>32</v>
      </c>
      <c r="G218" s="3" t="s">
        <v>27</v>
      </c>
      <c r="H218" s="3" t="s">
        <v>28</v>
      </c>
      <c r="I218" s="3" t="s">
        <v>20</v>
      </c>
      <c r="J218" s="3" t="s">
        <v>21</v>
      </c>
      <c r="K218" s="3" t="s">
        <v>43</v>
      </c>
      <c r="L218" s="6">
        <v>-21</v>
      </c>
      <c r="M218" s="3" t="s">
        <v>35</v>
      </c>
    </row>
    <row r="219" spans="1:13" x14ac:dyDescent="0.3">
      <c r="A219" s="11">
        <v>218</v>
      </c>
      <c r="B219" s="3" t="s">
        <v>23</v>
      </c>
      <c r="C219" s="5">
        <v>38</v>
      </c>
      <c r="D219" s="3" t="s">
        <v>31</v>
      </c>
      <c r="E219" s="3" t="s">
        <v>25</v>
      </c>
      <c r="F219" s="3" t="s">
        <v>32</v>
      </c>
      <c r="G219" s="3" t="s">
        <v>27</v>
      </c>
      <c r="H219" s="3" t="s">
        <v>17</v>
      </c>
      <c r="I219" s="3" t="s">
        <v>29</v>
      </c>
      <c r="J219" s="3" t="s">
        <v>39</v>
      </c>
      <c r="K219" s="3" t="s">
        <v>43</v>
      </c>
      <c r="L219" s="6">
        <v>86</v>
      </c>
      <c r="M219" s="3" t="s">
        <v>44</v>
      </c>
    </row>
    <row r="220" spans="1:13" x14ac:dyDescent="0.3">
      <c r="A220" s="11">
        <v>219</v>
      </c>
      <c r="B220" s="3" t="s">
        <v>23</v>
      </c>
      <c r="C220" s="5">
        <v>37</v>
      </c>
      <c r="D220" s="3" t="s">
        <v>13</v>
      </c>
      <c r="E220" s="3" t="s">
        <v>25</v>
      </c>
      <c r="F220" s="3" t="s">
        <v>32</v>
      </c>
      <c r="G220" s="3" t="s">
        <v>27</v>
      </c>
      <c r="H220" s="3" t="s">
        <v>49</v>
      </c>
      <c r="I220" s="3" t="s">
        <v>33</v>
      </c>
      <c r="J220" s="3" t="s">
        <v>42</v>
      </c>
      <c r="K220" s="3" t="s">
        <v>43</v>
      </c>
      <c r="L220" s="6">
        <v>680</v>
      </c>
      <c r="M220" s="3" t="s">
        <v>44</v>
      </c>
    </row>
    <row r="221" spans="1:13" x14ac:dyDescent="0.3">
      <c r="A221" s="11">
        <v>220</v>
      </c>
      <c r="B221" s="3" t="s">
        <v>23</v>
      </c>
      <c r="C221" s="5">
        <v>47</v>
      </c>
      <c r="D221" s="3" t="s">
        <v>48</v>
      </c>
      <c r="E221" s="3" t="s">
        <v>25</v>
      </c>
      <c r="F221" s="3" t="s">
        <v>32</v>
      </c>
      <c r="G221" s="3" t="s">
        <v>27</v>
      </c>
      <c r="H221" s="3" t="s">
        <v>17</v>
      </c>
      <c r="I221" s="3" t="s">
        <v>33</v>
      </c>
      <c r="J221" s="3" t="s">
        <v>30</v>
      </c>
      <c r="K221" s="3" t="s">
        <v>18</v>
      </c>
      <c r="L221" s="6">
        <v>285</v>
      </c>
      <c r="M221" s="3" t="s">
        <v>22</v>
      </c>
    </row>
    <row r="222" spans="1:13" x14ac:dyDescent="0.3">
      <c r="A222" s="11">
        <v>221</v>
      </c>
      <c r="B222" s="3" t="s">
        <v>23</v>
      </c>
      <c r="C222" s="5">
        <v>38</v>
      </c>
      <c r="D222" s="3" t="s">
        <v>13</v>
      </c>
      <c r="E222" s="3" t="s">
        <v>14</v>
      </c>
      <c r="F222" s="3" t="s">
        <v>32</v>
      </c>
      <c r="G222" s="3" t="s">
        <v>27</v>
      </c>
      <c r="H222" s="3" t="s">
        <v>17</v>
      </c>
      <c r="I222" s="3" t="s">
        <v>33</v>
      </c>
      <c r="J222" s="3" t="s">
        <v>30</v>
      </c>
      <c r="K222" s="3" t="s">
        <v>18</v>
      </c>
      <c r="L222" s="6">
        <v>357</v>
      </c>
      <c r="M222" s="3" t="s">
        <v>44</v>
      </c>
    </row>
    <row r="223" spans="1:13" x14ac:dyDescent="0.3">
      <c r="A223" s="11">
        <v>222</v>
      </c>
      <c r="B223" s="3" t="s">
        <v>12</v>
      </c>
      <c r="C223" s="5">
        <v>41</v>
      </c>
      <c r="D223" s="3" t="s">
        <v>24</v>
      </c>
      <c r="E223" s="3" t="s">
        <v>25</v>
      </c>
      <c r="F223" s="3" t="s">
        <v>32</v>
      </c>
      <c r="G223" s="3" t="s">
        <v>27</v>
      </c>
      <c r="H223" s="3" t="s">
        <v>28</v>
      </c>
      <c r="I223" s="3" t="s">
        <v>38</v>
      </c>
      <c r="J223" s="3" t="s">
        <v>30</v>
      </c>
      <c r="K223" s="3" t="s">
        <v>18</v>
      </c>
      <c r="L223" s="6">
        <v>-31</v>
      </c>
      <c r="M223" s="3" t="s">
        <v>44</v>
      </c>
    </row>
    <row r="224" spans="1:13" x14ac:dyDescent="0.3">
      <c r="A224" s="11">
        <v>223</v>
      </c>
      <c r="B224" s="3" t="s">
        <v>23</v>
      </c>
      <c r="C224" s="5">
        <v>41</v>
      </c>
      <c r="D224" s="3" t="s">
        <v>31</v>
      </c>
      <c r="E224" s="3" t="s">
        <v>25</v>
      </c>
      <c r="F224" s="3" t="s">
        <v>32</v>
      </c>
      <c r="G224" s="3" t="s">
        <v>27</v>
      </c>
      <c r="H224" s="3" t="s">
        <v>45</v>
      </c>
      <c r="I224" s="3" t="s">
        <v>20</v>
      </c>
      <c r="J224" s="3" t="s">
        <v>46</v>
      </c>
      <c r="K224" s="3" t="s">
        <v>43</v>
      </c>
      <c r="L224" s="6">
        <v>954</v>
      </c>
      <c r="M224" s="3" t="s">
        <v>44</v>
      </c>
    </row>
    <row r="225" spans="1:13" x14ac:dyDescent="0.3">
      <c r="A225" s="11">
        <v>224</v>
      </c>
      <c r="B225" s="3" t="s">
        <v>12</v>
      </c>
      <c r="C225" s="5">
        <v>38</v>
      </c>
      <c r="D225" s="3" t="s">
        <v>31</v>
      </c>
      <c r="E225" s="3" t="s">
        <v>14</v>
      </c>
      <c r="F225" s="3" t="s">
        <v>32</v>
      </c>
      <c r="G225" s="3" t="s">
        <v>27</v>
      </c>
      <c r="H225" s="3" t="s">
        <v>17</v>
      </c>
      <c r="I225" s="3" t="s">
        <v>33</v>
      </c>
      <c r="J225" s="3" t="s">
        <v>47</v>
      </c>
      <c r="K225" s="3" t="s">
        <v>43</v>
      </c>
      <c r="L225" s="6">
        <v>384</v>
      </c>
      <c r="M225" s="3" t="s">
        <v>22</v>
      </c>
    </row>
    <row r="226" spans="1:13" x14ac:dyDescent="0.3">
      <c r="A226" s="11">
        <v>225</v>
      </c>
      <c r="B226" s="3" t="s">
        <v>12</v>
      </c>
      <c r="C226" s="5">
        <v>29</v>
      </c>
      <c r="D226" s="3" t="s">
        <v>48</v>
      </c>
      <c r="E226" s="3" t="s">
        <v>25</v>
      </c>
      <c r="F226" s="3" t="s">
        <v>32</v>
      </c>
      <c r="G226" s="3" t="s">
        <v>16</v>
      </c>
      <c r="H226" s="3" t="s">
        <v>28</v>
      </c>
      <c r="I226" s="3" t="s">
        <v>20</v>
      </c>
      <c r="J226" s="3" t="s">
        <v>46</v>
      </c>
      <c r="K226" s="3" t="s">
        <v>43</v>
      </c>
      <c r="L226" s="6">
        <v>263</v>
      </c>
      <c r="M226" s="3" t="s">
        <v>22</v>
      </c>
    </row>
    <row r="227" spans="1:13" x14ac:dyDescent="0.3">
      <c r="A227" s="11">
        <v>226</v>
      </c>
      <c r="B227" s="3" t="s">
        <v>12</v>
      </c>
      <c r="C227" s="5">
        <v>38</v>
      </c>
      <c r="D227" s="3" t="s">
        <v>24</v>
      </c>
      <c r="E227" s="3" t="s">
        <v>25</v>
      </c>
      <c r="F227" s="3" t="s">
        <v>26</v>
      </c>
      <c r="G227" s="3" t="s">
        <v>27</v>
      </c>
      <c r="H227" s="3" t="s">
        <v>28</v>
      </c>
      <c r="I227" s="3" t="s">
        <v>29</v>
      </c>
      <c r="J227" s="3" t="s">
        <v>34</v>
      </c>
      <c r="K227" s="3" t="s">
        <v>43</v>
      </c>
      <c r="L227" s="6">
        <v>56</v>
      </c>
      <c r="M227" s="3" t="s">
        <v>22</v>
      </c>
    </row>
    <row r="228" spans="1:13" x14ac:dyDescent="0.3">
      <c r="A228" s="11">
        <v>227</v>
      </c>
      <c r="B228" s="3" t="s">
        <v>12</v>
      </c>
      <c r="C228" s="5">
        <v>61</v>
      </c>
      <c r="D228" s="3" t="s">
        <v>31</v>
      </c>
      <c r="E228" s="3" t="s">
        <v>25</v>
      </c>
      <c r="F228" s="3" t="s">
        <v>32</v>
      </c>
      <c r="G228" s="3" t="s">
        <v>27</v>
      </c>
      <c r="H228" s="3" t="s">
        <v>49</v>
      </c>
      <c r="I228" s="3" t="s">
        <v>29</v>
      </c>
      <c r="J228" s="3" t="s">
        <v>34</v>
      </c>
      <c r="K228" s="3" t="s">
        <v>43</v>
      </c>
      <c r="L228" s="6">
        <v>373</v>
      </c>
      <c r="M228" s="3" t="s">
        <v>22</v>
      </c>
    </row>
    <row r="229" spans="1:13" x14ac:dyDescent="0.3">
      <c r="A229" s="11">
        <v>228</v>
      </c>
      <c r="B229" s="3" t="s">
        <v>23</v>
      </c>
      <c r="C229" s="5">
        <v>26</v>
      </c>
      <c r="D229" s="3" t="s">
        <v>13</v>
      </c>
      <c r="E229" s="3" t="s">
        <v>25</v>
      </c>
      <c r="F229" s="3" t="s">
        <v>26</v>
      </c>
      <c r="G229" s="3" t="s">
        <v>16</v>
      </c>
      <c r="H229" s="3" t="s">
        <v>28</v>
      </c>
      <c r="I229" s="3" t="s">
        <v>20</v>
      </c>
      <c r="J229" s="3" t="s">
        <v>30</v>
      </c>
      <c r="K229" s="3" t="s">
        <v>43</v>
      </c>
      <c r="L229" s="6">
        <v>24</v>
      </c>
      <c r="M229" s="3" t="s">
        <v>44</v>
      </c>
    </row>
    <row r="230" spans="1:13" x14ac:dyDescent="0.3">
      <c r="A230" s="11">
        <v>229</v>
      </c>
      <c r="B230" s="3" t="s">
        <v>12</v>
      </c>
      <c r="C230" s="5">
        <v>25</v>
      </c>
      <c r="D230" s="3" t="s">
        <v>52</v>
      </c>
      <c r="E230" s="3" t="s">
        <v>14</v>
      </c>
      <c r="F230" s="3" t="s">
        <v>15</v>
      </c>
      <c r="G230" s="3" t="s">
        <v>27</v>
      </c>
      <c r="H230" s="3" t="s">
        <v>17</v>
      </c>
      <c r="I230" s="3" t="s">
        <v>20</v>
      </c>
      <c r="J230" s="3" t="s">
        <v>39</v>
      </c>
      <c r="K230" s="3" t="s">
        <v>43</v>
      </c>
      <c r="L230" s="6">
        <v>366</v>
      </c>
      <c r="M230" s="3" t="s">
        <v>44</v>
      </c>
    </row>
    <row r="231" spans="1:13" x14ac:dyDescent="0.3">
      <c r="A231" s="11">
        <v>230</v>
      </c>
      <c r="B231" s="3" t="s">
        <v>12</v>
      </c>
      <c r="C231" s="5">
        <v>62</v>
      </c>
      <c r="D231" s="3" t="s">
        <v>51</v>
      </c>
      <c r="E231" s="3" t="s">
        <v>25</v>
      </c>
      <c r="F231" s="3" t="s">
        <v>32</v>
      </c>
      <c r="G231" s="3" t="s">
        <v>27</v>
      </c>
      <c r="H231" s="3" t="s">
        <v>28</v>
      </c>
      <c r="I231" s="3" t="s">
        <v>20</v>
      </c>
      <c r="J231" s="3" t="s">
        <v>39</v>
      </c>
      <c r="K231" s="3" t="s">
        <v>43</v>
      </c>
      <c r="L231" s="6">
        <v>0</v>
      </c>
      <c r="M231" s="3" t="s">
        <v>35</v>
      </c>
    </row>
    <row r="232" spans="1:13" x14ac:dyDescent="0.3">
      <c r="A232" s="11">
        <v>231</v>
      </c>
      <c r="B232" s="3" t="s">
        <v>12</v>
      </c>
      <c r="C232" s="5">
        <v>42</v>
      </c>
      <c r="D232" s="3" t="s">
        <v>31</v>
      </c>
      <c r="E232" s="3" t="s">
        <v>25</v>
      </c>
      <c r="F232" s="3" t="s">
        <v>32</v>
      </c>
      <c r="G232" s="3" t="s">
        <v>27</v>
      </c>
      <c r="H232" s="3" t="s">
        <v>17</v>
      </c>
      <c r="I232" s="3" t="s">
        <v>20</v>
      </c>
      <c r="J232" s="3" t="s">
        <v>39</v>
      </c>
      <c r="K232" s="3" t="s">
        <v>43</v>
      </c>
      <c r="L232" s="6">
        <v>169</v>
      </c>
      <c r="M232" s="3" t="s">
        <v>22</v>
      </c>
    </row>
    <row r="233" spans="1:13" x14ac:dyDescent="0.3">
      <c r="A233" s="11">
        <v>232</v>
      </c>
      <c r="B233" s="3" t="s">
        <v>23</v>
      </c>
      <c r="C233" s="5">
        <v>31</v>
      </c>
      <c r="D233" s="3" t="s">
        <v>52</v>
      </c>
      <c r="E233" s="3" t="s">
        <v>14</v>
      </c>
      <c r="F233" s="3" t="s">
        <v>15</v>
      </c>
      <c r="G233" s="3" t="s">
        <v>27</v>
      </c>
      <c r="H233" s="3" t="s">
        <v>45</v>
      </c>
      <c r="I233" s="3" t="s">
        <v>33</v>
      </c>
      <c r="J233" s="3" t="s">
        <v>47</v>
      </c>
      <c r="K233" s="3" t="s">
        <v>43</v>
      </c>
      <c r="L233" s="6">
        <v>485</v>
      </c>
      <c r="M233" s="3" t="s">
        <v>22</v>
      </c>
    </row>
    <row r="234" spans="1:13" x14ac:dyDescent="0.3">
      <c r="A234" s="11">
        <v>233</v>
      </c>
      <c r="B234" s="3" t="s">
        <v>12</v>
      </c>
      <c r="C234" s="5">
        <v>33</v>
      </c>
      <c r="D234" s="3" t="s">
        <v>36</v>
      </c>
      <c r="E234" s="3" t="s">
        <v>14</v>
      </c>
      <c r="F234" s="3" t="s">
        <v>15</v>
      </c>
      <c r="G234" s="3" t="s">
        <v>27</v>
      </c>
      <c r="H234" s="3" t="s">
        <v>28</v>
      </c>
      <c r="I234" s="3" t="s">
        <v>20</v>
      </c>
      <c r="J234" s="3" t="s">
        <v>42</v>
      </c>
      <c r="K234" s="3" t="s">
        <v>43</v>
      </c>
      <c r="L234" s="6">
        <v>-78</v>
      </c>
      <c r="M234" s="3" t="s">
        <v>40</v>
      </c>
    </row>
    <row r="235" spans="1:13" x14ac:dyDescent="0.3">
      <c r="A235" s="11">
        <v>234</v>
      </c>
      <c r="B235" s="3" t="s">
        <v>23</v>
      </c>
      <c r="C235" s="5">
        <v>21</v>
      </c>
      <c r="D235" s="3" t="s">
        <v>50</v>
      </c>
      <c r="E235" s="3" t="s">
        <v>25</v>
      </c>
      <c r="F235" s="3" t="s">
        <v>15</v>
      </c>
      <c r="G235" s="3" t="s">
        <v>27</v>
      </c>
      <c r="H235" s="3" t="s">
        <v>28</v>
      </c>
      <c r="I235" s="3" t="s">
        <v>29</v>
      </c>
      <c r="J235" s="3" t="s">
        <v>46</v>
      </c>
      <c r="K235" s="3" t="s">
        <v>18</v>
      </c>
      <c r="L235" s="6">
        <v>130</v>
      </c>
      <c r="M235" s="3" t="s">
        <v>35</v>
      </c>
    </row>
    <row r="236" spans="1:13" x14ac:dyDescent="0.3">
      <c r="A236" s="11">
        <v>235</v>
      </c>
      <c r="B236" s="3" t="s">
        <v>23</v>
      </c>
      <c r="C236" s="5">
        <v>50</v>
      </c>
      <c r="D236" s="3" t="s">
        <v>36</v>
      </c>
      <c r="E236" s="3" t="s">
        <v>25</v>
      </c>
      <c r="F236" s="3" t="s">
        <v>32</v>
      </c>
      <c r="G236" s="3" t="s">
        <v>27</v>
      </c>
      <c r="H236" s="3" t="s">
        <v>17</v>
      </c>
      <c r="I236" s="3" t="s">
        <v>33</v>
      </c>
      <c r="J236" s="3" t="s">
        <v>21</v>
      </c>
      <c r="K236" s="3" t="s">
        <v>43</v>
      </c>
      <c r="L236" s="6">
        <v>-26</v>
      </c>
      <c r="M236" s="3" t="s">
        <v>44</v>
      </c>
    </row>
    <row r="237" spans="1:13" x14ac:dyDescent="0.3">
      <c r="A237" s="11">
        <v>236</v>
      </c>
      <c r="B237" s="3" t="s">
        <v>23</v>
      </c>
      <c r="C237" s="5">
        <v>36</v>
      </c>
      <c r="D237" s="3" t="s">
        <v>48</v>
      </c>
      <c r="E237" s="3" t="s">
        <v>25</v>
      </c>
      <c r="F237" s="3" t="s">
        <v>37</v>
      </c>
      <c r="G237" s="3" t="s">
        <v>27</v>
      </c>
      <c r="H237" s="3" t="s">
        <v>28</v>
      </c>
      <c r="I237" s="3" t="s">
        <v>29</v>
      </c>
      <c r="J237" s="3" t="s">
        <v>46</v>
      </c>
      <c r="K237" s="3" t="s">
        <v>18</v>
      </c>
      <c r="L237" s="6">
        <v>128</v>
      </c>
      <c r="M237" s="3" t="s">
        <v>22</v>
      </c>
    </row>
    <row r="238" spans="1:13" x14ac:dyDescent="0.3">
      <c r="A238" s="11">
        <v>237</v>
      </c>
      <c r="B238" s="3" t="s">
        <v>23</v>
      </c>
      <c r="C238" s="5">
        <v>41</v>
      </c>
      <c r="D238" s="3" t="s">
        <v>13</v>
      </c>
      <c r="E238" s="3" t="s">
        <v>25</v>
      </c>
      <c r="F238" s="3" t="s">
        <v>32</v>
      </c>
      <c r="G238" s="3" t="s">
        <v>27</v>
      </c>
      <c r="H238" s="3" t="s">
        <v>28</v>
      </c>
      <c r="I238" s="3" t="s">
        <v>29</v>
      </c>
      <c r="J238" s="3" t="s">
        <v>39</v>
      </c>
      <c r="K238" s="3" t="s">
        <v>18</v>
      </c>
      <c r="L238" s="6">
        <v>143</v>
      </c>
      <c r="M238" s="3" t="s">
        <v>44</v>
      </c>
    </row>
    <row r="239" spans="1:13" x14ac:dyDescent="0.3">
      <c r="A239" s="11">
        <v>238</v>
      </c>
      <c r="B239" s="3" t="s">
        <v>12</v>
      </c>
      <c r="C239" s="5">
        <v>27</v>
      </c>
      <c r="D239" s="3" t="s">
        <v>31</v>
      </c>
      <c r="E239" s="3" t="s">
        <v>25</v>
      </c>
      <c r="F239" s="3" t="s">
        <v>32</v>
      </c>
      <c r="G239" s="3" t="s">
        <v>27</v>
      </c>
      <c r="H239" s="3" t="s">
        <v>28</v>
      </c>
      <c r="I239" s="3" t="s">
        <v>20</v>
      </c>
      <c r="J239" s="3" t="s">
        <v>46</v>
      </c>
      <c r="K239" s="3" t="s">
        <v>43</v>
      </c>
      <c r="L239" s="6">
        <v>-52</v>
      </c>
      <c r="M239" s="3" t="s">
        <v>40</v>
      </c>
    </row>
    <row r="240" spans="1:13" x14ac:dyDescent="0.3">
      <c r="A240" s="11">
        <v>239</v>
      </c>
      <c r="B240" s="3" t="s">
        <v>12</v>
      </c>
      <c r="C240" s="5">
        <v>42</v>
      </c>
      <c r="D240" s="3" t="s">
        <v>31</v>
      </c>
      <c r="E240" s="3" t="s">
        <v>25</v>
      </c>
      <c r="F240" s="3" t="s">
        <v>53</v>
      </c>
      <c r="G240" s="3" t="s">
        <v>27</v>
      </c>
      <c r="H240" s="3" t="s">
        <v>28</v>
      </c>
      <c r="I240" s="3" t="s">
        <v>29</v>
      </c>
      <c r="J240" s="3" t="s">
        <v>47</v>
      </c>
      <c r="K240" s="3" t="s">
        <v>18</v>
      </c>
      <c r="L240" s="6">
        <v>-66</v>
      </c>
      <c r="M240" s="3" t="s">
        <v>44</v>
      </c>
    </row>
    <row r="241" spans="1:13" x14ac:dyDescent="0.3">
      <c r="A241" s="11">
        <v>240</v>
      </c>
      <c r="B241" s="3" t="s">
        <v>12</v>
      </c>
      <c r="C241" s="5">
        <v>28</v>
      </c>
      <c r="D241" s="3" t="s">
        <v>48</v>
      </c>
      <c r="E241" s="3" t="s">
        <v>25</v>
      </c>
      <c r="F241" s="3" t="s">
        <v>53</v>
      </c>
      <c r="G241" s="3" t="s">
        <v>27</v>
      </c>
      <c r="H241" s="3" t="s">
        <v>28</v>
      </c>
      <c r="I241" s="3" t="s">
        <v>38</v>
      </c>
      <c r="J241" s="3" t="s">
        <v>30</v>
      </c>
      <c r="K241" s="3" t="s">
        <v>43</v>
      </c>
      <c r="L241" s="6">
        <v>13</v>
      </c>
      <c r="M241" s="3" t="s">
        <v>22</v>
      </c>
    </row>
    <row r="242" spans="1:13" x14ac:dyDescent="0.3">
      <c r="A242" s="11">
        <v>241</v>
      </c>
      <c r="B242" s="3" t="s">
        <v>12</v>
      </c>
      <c r="C242" s="5">
        <v>46</v>
      </c>
      <c r="D242" s="3" t="s">
        <v>36</v>
      </c>
      <c r="E242" s="3" t="s">
        <v>25</v>
      </c>
      <c r="F242" s="3" t="s">
        <v>32</v>
      </c>
      <c r="G242" s="3" t="s">
        <v>27</v>
      </c>
      <c r="H242" s="3" t="s">
        <v>49</v>
      </c>
      <c r="I242" s="3" t="s">
        <v>20</v>
      </c>
      <c r="J242" s="3" t="s">
        <v>46</v>
      </c>
      <c r="K242" s="3" t="s">
        <v>43</v>
      </c>
      <c r="L242" s="6">
        <v>442</v>
      </c>
      <c r="M242" s="3" t="s">
        <v>22</v>
      </c>
    </row>
    <row r="243" spans="1:13" x14ac:dyDescent="0.3">
      <c r="A243" s="11">
        <v>242</v>
      </c>
      <c r="B243" s="3" t="s">
        <v>23</v>
      </c>
      <c r="C243" s="5">
        <v>32</v>
      </c>
      <c r="D243" s="3" t="s">
        <v>48</v>
      </c>
      <c r="E243" s="3" t="s">
        <v>25</v>
      </c>
      <c r="F243" s="3" t="s">
        <v>32</v>
      </c>
      <c r="G243" s="3" t="s">
        <v>27</v>
      </c>
      <c r="H243" s="3" t="s">
        <v>45</v>
      </c>
      <c r="I243" s="3" t="s">
        <v>20</v>
      </c>
      <c r="J243" s="3" t="s">
        <v>42</v>
      </c>
      <c r="K243" s="3" t="s">
        <v>43</v>
      </c>
      <c r="L243" s="6">
        <v>470</v>
      </c>
      <c r="M243" s="3" t="s">
        <v>44</v>
      </c>
    </row>
    <row r="244" spans="1:13" x14ac:dyDescent="0.3">
      <c r="A244" s="11">
        <v>243</v>
      </c>
      <c r="B244" s="3" t="s">
        <v>12</v>
      </c>
      <c r="C244" s="5">
        <v>40</v>
      </c>
      <c r="D244" s="3" t="s">
        <v>36</v>
      </c>
      <c r="E244" s="3" t="s">
        <v>14</v>
      </c>
      <c r="F244" s="3" t="s">
        <v>32</v>
      </c>
      <c r="G244" s="3" t="s">
        <v>27</v>
      </c>
      <c r="H244" s="3" t="s">
        <v>17</v>
      </c>
      <c r="I244" s="3" t="s">
        <v>29</v>
      </c>
      <c r="J244" s="3" t="s">
        <v>47</v>
      </c>
      <c r="K244" s="3" t="s">
        <v>43</v>
      </c>
      <c r="L244" s="6">
        <v>17</v>
      </c>
      <c r="M244" s="3" t="s">
        <v>22</v>
      </c>
    </row>
    <row r="245" spans="1:13" x14ac:dyDescent="0.3">
      <c r="A245" s="11">
        <v>244</v>
      </c>
      <c r="B245" s="3" t="s">
        <v>23</v>
      </c>
      <c r="C245" s="5">
        <v>39</v>
      </c>
      <c r="D245" s="3" t="s">
        <v>50</v>
      </c>
      <c r="E245" s="3" t="s">
        <v>25</v>
      </c>
      <c r="F245" s="3" t="s">
        <v>41</v>
      </c>
      <c r="G245" s="3" t="s">
        <v>27</v>
      </c>
      <c r="H245" s="3" t="s">
        <v>28</v>
      </c>
      <c r="I245" s="3" t="s">
        <v>33</v>
      </c>
      <c r="J245" s="3" t="s">
        <v>30</v>
      </c>
      <c r="K245" s="3" t="s">
        <v>43</v>
      </c>
      <c r="L245" s="6">
        <v>156</v>
      </c>
      <c r="M245" s="3" t="s">
        <v>44</v>
      </c>
    </row>
    <row r="246" spans="1:13" x14ac:dyDescent="0.3">
      <c r="A246" s="11">
        <v>245</v>
      </c>
      <c r="B246" s="3" t="s">
        <v>23</v>
      </c>
      <c r="C246" s="5">
        <v>30</v>
      </c>
      <c r="D246" s="3" t="s">
        <v>13</v>
      </c>
      <c r="E246" s="3" t="s">
        <v>25</v>
      </c>
      <c r="F246" s="3" t="s">
        <v>32</v>
      </c>
      <c r="G246" s="3" t="s">
        <v>27</v>
      </c>
      <c r="H246" s="3" t="s">
        <v>49</v>
      </c>
      <c r="I246" s="3" t="s">
        <v>20</v>
      </c>
      <c r="J246" s="3" t="s">
        <v>21</v>
      </c>
      <c r="K246" s="3" t="s">
        <v>43</v>
      </c>
      <c r="L246" s="6">
        <v>914</v>
      </c>
      <c r="M246" s="3" t="s">
        <v>22</v>
      </c>
    </row>
    <row r="247" spans="1:13" x14ac:dyDescent="0.3">
      <c r="A247" s="11">
        <v>246</v>
      </c>
      <c r="B247" s="3" t="s">
        <v>23</v>
      </c>
      <c r="C247" s="5">
        <v>33</v>
      </c>
      <c r="D247" s="3" t="s">
        <v>51</v>
      </c>
      <c r="E247" s="3" t="s">
        <v>25</v>
      </c>
      <c r="F247" s="3" t="s">
        <v>32</v>
      </c>
      <c r="G247" s="3" t="s">
        <v>27</v>
      </c>
      <c r="H247" s="3" t="s">
        <v>28</v>
      </c>
      <c r="I247" s="3" t="s">
        <v>20</v>
      </c>
      <c r="J247" s="3" t="s">
        <v>34</v>
      </c>
      <c r="K247" s="3" t="s">
        <v>43</v>
      </c>
      <c r="L247" s="6">
        <v>72</v>
      </c>
      <c r="M247" s="3" t="s">
        <v>44</v>
      </c>
    </row>
    <row r="248" spans="1:13" x14ac:dyDescent="0.3">
      <c r="A248" s="11">
        <v>247</v>
      </c>
      <c r="B248" s="3" t="s">
        <v>23</v>
      </c>
      <c r="C248" s="5">
        <v>27</v>
      </c>
      <c r="D248" s="3" t="s">
        <v>31</v>
      </c>
      <c r="E248" s="3" t="s">
        <v>14</v>
      </c>
      <c r="F248" s="3" t="s">
        <v>15</v>
      </c>
      <c r="G248" s="3" t="s">
        <v>27</v>
      </c>
      <c r="H248" s="3" t="s">
        <v>17</v>
      </c>
      <c r="I248" s="3" t="s">
        <v>20</v>
      </c>
      <c r="J248" s="3" t="s">
        <v>34</v>
      </c>
      <c r="K248" s="3" t="s">
        <v>43</v>
      </c>
      <c r="L248" s="6">
        <v>172</v>
      </c>
      <c r="M248" s="3" t="s">
        <v>40</v>
      </c>
    </row>
    <row r="249" spans="1:13" x14ac:dyDescent="0.3">
      <c r="A249" s="11">
        <v>248</v>
      </c>
      <c r="B249" s="3" t="s">
        <v>23</v>
      </c>
      <c r="C249" s="5">
        <v>37</v>
      </c>
      <c r="D249" s="3" t="s">
        <v>31</v>
      </c>
      <c r="E249" s="3" t="s">
        <v>25</v>
      </c>
      <c r="F249" s="3" t="s">
        <v>32</v>
      </c>
      <c r="G249" s="3" t="s">
        <v>27</v>
      </c>
      <c r="H249" s="3" t="s">
        <v>17</v>
      </c>
      <c r="I249" s="3" t="s">
        <v>29</v>
      </c>
      <c r="J249" s="3" t="s">
        <v>47</v>
      </c>
      <c r="K249" s="3" t="s">
        <v>43</v>
      </c>
      <c r="L249" s="6">
        <v>372</v>
      </c>
      <c r="M249" s="3" t="s">
        <v>22</v>
      </c>
    </row>
    <row r="250" spans="1:13" x14ac:dyDescent="0.3">
      <c r="A250" s="11">
        <v>249</v>
      </c>
      <c r="B250" s="3" t="s">
        <v>12</v>
      </c>
      <c r="C250" s="5">
        <v>56</v>
      </c>
      <c r="D250" s="3" t="s">
        <v>48</v>
      </c>
      <c r="E250" s="3" t="s">
        <v>14</v>
      </c>
      <c r="F250" s="3" t="s">
        <v>15</v>
      </c>
      <c r="G250" s="3" t="s">
        <v>27</v>
      </c>
      <c r="H250" s="3" t="s">
        <v>45</v>
      </c>
      <c r="I250" s="3" t="s">
        <v>38</v>
      </c>
      <c r="J250" s="3" t="s">
        <v>34</v>
      </c>
      <c r="K250" s="3" t="s">
        <v>43</v>
      </c>
      <c r="L250" s="6">
        <v>257</v>
      </c>
      <c r="M250" s="3" t="s">
        <v>44</v>
      </c>
    </row>
    <row r="251" spans="1:13" x14ac:dyDescent="0.3">
      <c r="A251" s="11">
        <v>250</v>
      </c>
      <c r="B251" s="3" t="s">
        <v>12</v>
      </c>
      <c r="C251" s="5">
        <v>30</v>
      </c>
      <c r="D251" s="3" t="s">
        <v>48</v>
      </c>
      <c r="E251" s="3" t="s">
        <v>14</v>
      </c>
      <c r="F251" s="3" t="s">
        <v>32</v>
      </c>
      <c r="G251" s="3" t="s">
        <v>27</v>
      </c>
      <c r="H251" s="3" t="s">
        <v>28</v>
      </c>
      <c r="I251" s="3" t="s">
        <v>20</v>
      </c>
      <c r="J251" s="3" t="s">
        <v>30</v>
      </c>
      <c r="K251" s="3" t="s">
        <v>18</v>
      </c>
      <c r="L251" s="6">
        <v>-19</v>
      </c>
      <c r="M251" s="3" t="s">
        <v>35</v>
      </c>
    </row>
    <row r="252" spans="1:13" x14ac:dyDescent="0.3">
      <c r="A252" s="11">
        <v>251</v>
      </c>
      <c r="B252" s="3" t="s">
        <v>23</v>
      </c>
      <c r="C252" s="5">
        <v>36</v>
      </c>
      <c r="D252" s="3" t="s">
        <v>51</v>
      </c>
      <c r="E252" s="3" t="s">
        <v>25</v>
      </c>
      <c r="F252" s="3" t="s">
        <v>32</v>
      </c>
      <c r="G252" s="3" t="s">
        <v>27</v>
      </c>
      <c r="H252" s="3" t="s">
        <v>28</v>
      </c>
      <c r="I252" s="3" t="s">
        <v>29</v>
      </c>
      <c r="J252" s="3" t="s">
        <v>47</v>
      </c>
      <c r="K252" s="3" t="s">
        <v>43</v>
      </c>
      <c r="L252" s="6">
        <v>128</v>
      </c>
      <c r="M252" s="3" t="s">
        <v>35</v>
      </c>
    </row>
    <row r="253" spans="1:13" x14ac:dyDescent="0.3">
      <c r="A253" s="11">
        <v>252</v>
      </c>
      <c r="B253" s="3" t="s">
        <v>23</v>
      </c>
      <c r="C253" s="5">
        <v>32</v>
      </c>
      <c r="D253" s="3" t="s">
        <v>52</v>
      </c>
      <c r="E253" s="3" t="s">
        <v>25</v>
      </c>
      <c r="F253" s="3" t="s">
        <v>32</v>
      </c>
      <c r="G253" s="3" t="s">
        <v>27</v>
      </c>
      <c r="H253" s="3" t="s">
        <v>45</v>
      </c>
      <c r="I253" s="3" t="s">
        <v>20</v>
      </c>
      <c r="J253" s="3" t="s">
        <v>21</v>
      </c>
      <c r="K253" s="3" t="s">
        <v>43</v>
      </c>
      <c r="L253" s="6">
        <v>533</v>
      </c>
      <c r="M253" s="3" t="s">
        <v>44</v>
      </c>
    </row>
    <row r="254" spans="1:13" x14ac:dyDescent="0.3">
      <c r="A254" s="11">
        <v>253</v>
      </c>
      <c r="B254" s="3" t="s">
        <v>12</v>
      </c>
      <c r="C254" s="5">
        <v>44</v>
      </c>
      <c r="D254" s="3" t="s">
        <v>31</v>
      </c>
      <c r="E254" s="3" t="s">
        <v>25</v>
      </c>
      <c r="F254" s="3" t="s">
        <v>37</v>
      </c>
      <c r="G254" s="3" t="s">
        <v>27</v>
      </c>
      <c r="H254" s="3" t="s">
        <v>45</v>
      </c>
      <c r="I254" s="3" t="s">
        <v>20</v>
      </c>
      <c r="J254" s="3" t="s">
        <v>46</v>
      </c>
      <c r="K254" s="3" t="s">
        <v>18</v>
      </c>
      <c r="L254" s="6">
        <v>765</v>
      </c>
      <c r="M254" s="3" t="s">
        <v>44</v>
      </c>
    </row>
    <row r="255" spans="1:13" x14ac:dyDescent="0.3">
      <c r="A255" s="11">
        <v>254</v>
      </c>
      <c r="B255" s="3" t="s">
        <v>12</v>
      </c>
      <c r="C255" s="5">
        <v>48</v>
      </c>
      <c r="D255" s="3" t="s">
        <v>24</v>
      </c>
      <c r="E255" s="3" t="s">
        <v>25</v>
      </c>
      <c r="F255" s="3" t="s">
        <v>32</v>
      </c>
      <c r="G255" s="3" t="s">
        <v>16</v>
      </c>
      <c r="H255" s="3" t="s">
        <v>49</v>
      </c>
      <c r="I255" s="3" t="s">
        <v>33</v>
      </c>
      <c r="J255" s="3" t="s">
        <v>21</v>
      </c>
      <c r="K255" s="3" t="s">
        <v>43</v>
      </c>
      <c r="L255" s="6">
        <v>1576</v>
      </c>
      <c r="M255" s="3" t="s">
        <v>22</v>
      </c>
    </row>
    <row r="256" spans="1:13" x14ac:dyDescent="0.3">
      <c r="A256" s="11">
        <v>255</v>
      </c>
      <c r="B256" s="3" t="s">
        <v>12</v>
      </c>
      <c r="C256" s="5">
        <v>39</v>
      </c>
      <c r="D256" s="3" t="s">
        <v>13</v>
      </c>
      <c r="E256" s="3" t="s">
        <v>25</v>
      </c>
      <c r="F256" s="3" t="s">
        <v>32</v>
      </c>
      <c r="G256" s="3" t="s">
        <v>27</v>
      </c>
      <c r="H256" s="3" t="s">
        <v>28</v>
      </c>
      <c r="I256" s="3" t="s">
        <v>29</v>
      </c>
      <c r="J256" s="3" t="s">
        <v>42</v>
      </c>
      <c r="K256" s="3" t="s">
        <v>43</v>
      </c>
      <c r="L256" s="6">
        <v>-38</v>
      </c>
      <c r="M256" s="3" t="s">
        <v>44</v>
      </c>
    </row>
    <row r="257" spans="1:13" x14ac:dyDescent="0.3">
      <c r="A257" s="11">
        <v>256</v>
      </c>
      <c r="B257" s="3" t="s">
        <v>23</v>
      </c>
      <c r="C257" s="5">
        <v>31</v>
      </c>
      <c r="D257" s="3" t="s">
        <v>51</v>
      </c>
      <c r="E257" s="3" t="s">
        <v>14</v>
      </c>
      <c r="F257" s="3" t="s">
        <v>32</v>
      </c>
      <c r="G257" s="3" t="s">
        <v>27</v>
      </c>
      <c r="H257" s="3" t="s">
        <v>17</v>
      </c>
      <c r="I257" s="3" t="s">
        <v>20</v>
      </c>
      <c r="J257" s="3" t="s">
        <v>30</v>
      </c>
      <c r="K257" s="3" t="s">
        <v>43</v>
      </c>
      <c r="L257" s="6">
        <v>434</v>
      </c>
      <c r="M257" s="3" t="s">
        <v>22</v>
      </c>
    </row>
    <row r="258" spans="1:13" x14ac:dyDescent="0.3">
      <c r="A258" s="11">
        <v>257</v>
      </c>
      <c r="B258" s="3" t="s">
        <v>12</v>
      </c>
      <c r="C258" s="5">
        <v>39</v>
      </c>
      <c r="D258" s="3" t="s">
        <v>36</v>
      </c>
      <c r="E258" s="3" t="s">
        <v>25</v>
      </c>
      <c r="F258" s="3" t="s">
        <v>32</v>
      </c>
      <c r="G258" s="3" t="s">
        <v>27</v>
      </c>
      <c r="H258" s="3" t="s">
        <v>17</v>
      </c>
      <c r="I258" s="3" t="s">
        <v>38</v>
      </c>
      <c r="J258" s="3" t="s">
        <v>30</v>
      </c>
      <c r="K258" s="3" t="s">
        <v>18</v>
      </c>
      <c r="L258" s="6">
        <v>99</v>
      </c>
      <c r="M258" s="3" t="s">
        <v>22</v>
      </c>
    </row>
    <row r="259" spans="1:13" x14ac:dyDescent="0.3">
      <c r="A259" s="11">
        <v>258</v>
      </c>
      <c r="B259" s="3" t="s">
        <v>12</v>
      </c>
      <c r="C259" s="5">
        <v>62</v>
      </c>
      <c r="D259" s="3" t="s">
        <v>31</v>
      </c>
      <c r="E259" s="3" t="s">
        <v>14</v>
      </c>
      <c r="F259" s="3" t="s">
        <v>32</v>
      </c>
      <c r="G259" s="3" t="s">
        <v>27</v>
      </c>
      <c r="H259" s="3" t="s">
        <v>17</v>
      </c>
      <c r="I259" s="3" t="s">
        <v>38</v>
      </c>
      <c r="J259" s="3" t="s">
        <v>34</v>
      </c>
      <c r="K259" s="3" t="s">
        <v>43</v>
      </c>
      <c r="L259" s="6">
        <v>55</v>
      </c>
      <c r="M259" s="3" t="s">
        <v>44</v>
      </c>
    </row>
    <row r="260" spans="1:13" x14ac:dyDescent="0.3">
      <c r="A260" s="11">
        <v>259</v>
      </c>
      <c r="B260" s="3" t="s">
        <v>12</v>
      </c>
      <c r="C260" s="5">
        <v>21</v>
      </c>
      <c r="D260" s="3" t="s">
        <v>48</v>
      </c>
      <c r="E260" s="3" t="s">
        <v>25</v>
      </c>
      <c r="F260" s="3" t="s">
        <v>37</v>
      </c>
      <c r="G260" s="3" t="s">
        <v>27</v>
      </c>
      <c r="H260" s="3" t="s">
        <v>49</v>
      </c>
      <c r="I260" s="3" t="s">
        <v>20</v>
      </c>
      <c r="J260" s="3" t="s">
        <v>39</v>
      </c>
      <c r="K260" s="3" t="s">
        <v>43</v>
      </c>
      <c r="L260" s="6">
        <v>728</v>
      </c>
      <c r="M260" s="3" t="s">
        <v>44</v>
      </c>
    </row>
    <row r="261" spans="1:13" x14ac:dyDescent="0.3">
      <c r="A261" s="11">
        <v>260</v>
      </c>
      <c r="B261" s="3" t="s">
        <v>12</v>
      </c>
      <c r="C261" s="5">
        <v>62</v>
      </c>
      <c r="D261" s="3" t="s">
        <v>36</v>
      </c>
      <c r="E261" s="3" t="s">
        <v>25</v>
      </c>
      <c r="F261" s="3" t="s">
        <v>32</v>
      </c>
      <c r="G261" s="3" t="s">
        <v>27</v>
      </c>
      <c r="H261" s="3" t="s">
        <v>49</v>
      </c>
      <c r="I261" s="3" t="s">
        <v>38</v>
      </c>
      <c r="J261" s="3" t="s">
        <v>30</v>
      </c>
      <c r="K261" s="3" t="s">
        <v>43</v>
      </c>
      <c r="L261" s="6">
        <v>283</v>
      </c>
      <c r="M261" s="3" t="s">
        <v>22</v>
      </c>
    </row>
    <row r="262" spans="1:13" x14ac:dyDescent="0.3">
      <c r="A262" s="11">
        <v>261</v>
      </c>
      <c r="B262" s="3" t="s">
        <v>12</v>
      </c>
      <c r="C262" s="5">
        <v>34</v>
      </c>
      <c r="D262" s="3" t="s">
        <v>31</v>
      </c>
      <c r="E262" s="3" t="s">
        <v>25</v>
      </c>
      <c r="F262" s="3" t="s">
        <v>32</v>
      </c>
      <c r="G262" s="3" t="s">
        <v>27</v>
      </c>
      <c r="H262" s="3" t="s">
        <v>49</v>
      </c>
      <c r="I262" s="3" t="s">
        <v>20</v>
      </c>
      <c r="J262" s="3" t="s">
        <v>39</v>
      </c>
      <c r="K262" s="3" t="s">
        <v>18</v>
      </c>
      <c r="L262" s="6">
        <v>355</v>
      </c>
      <c r="M262" s="3" t="s">
        <v>22</v>
      </c>
    </row>
    <row r="263" spans="1:13" x14ac:dyDescent="0.3">
      <c r="A263" s="11">
        <v>262</v>
      </c>
      <c r="B263" s="3" t="s">
        <v>12</v>
      </c>
      <c r="C263" s="5">
        <v>35</v>
      </c>
      <c r="D263" s="3" t="s">
        <v>51</v>
      </c>
      <c r="E263" s="3" t="s">
        <v>25</v>
      </c>
      <c r="F263" s="3" t="s">
        <v>32</v>
      </c>
      <c r="G263" s="3" t="s">
        <v>27</v>
      </c>
      <c r="H263" s="3" t="s">
        <v>28</v>
      </c>
      <c r="I263" s="3" t="s">
        <v>20</v>
      </c>
      <c r="J263" s="3" t="s">
        <v>21</v>
      </c>
      <c r="K263" s="3" t="s">
        <v>18</v>
      </c>
      <c r="L263" s="6">
        <v>-20</v>
      </c>
      <c r="M263" s="3" t="s">
        <v>44</v>
      </c>
    </row>
    <row r="264" spans="1:13" x14ac:dyDescent="0.3">
      <c r="A264" s="11">
        <v>263</v>
      </c>
      <c r="B264" s="3" t="s">
        <v>12</v>
      </c>
      <c r="C264" s="5">
        <v>41</v>
      </c>
      <c r="D264" s="3" t="s">
        <v>36</v>
      </c>
      <c r="E264" s="3" t="s">
        <v>25</v>
      </c>
      <c r="F264" s="3" t="s">
        <v>32</v>
      </c>
      <c r="G264" s="3" t="s">
        <v>27</v>
      </c>
      <c r="H264" s="3" t="s">
        <v>45</v>
      </c>
      <c r="I264" s="3" t="s">
        <v>20</v>
      </c>
      <c r="J264" s="3" t="s">
        <v>30</v>
      </c>
      <c r="K264" s="3" t="s">
        <v>43</v>
      </c>
      <c r="L264" s="6">
        <v>1340</v>
      </c>
      <c r="M264" s="3" t="s">
        <v>44</v>
      </c>
    </row>
    <row r="265" spans="1:13" x14ac:dyDescent="0.3">
      <c r="A265" s="11">
        <v>264</v>
      </c>
      <c r="B265" s="3" t="s">
        <v>23</v>
      </c>
      <c r="C265" s="5">
        <v>45</v>
      </c>
      <c r="D265" s="3" t="s">
        <v>13</v>
      </c>
      <c r="E265" s="3" t="s">
        <v>25</v>
      </c>
      <c r="F265" s="3" t="s">
        <v>32</v>
      </c>
      <c r="G265" s="3" t="s">
        <v>27</v>
      </c>
      <c r="H265" s="3" t="s">
        <v>45</v>
      </c>
      <c r="I265" s="3" t="s">
        <v>20</v>
      </c>
      <c r="J265" s="3" t="s">
        <v>39</v>
      </c>
      <c r="K265" s="3" t="s">
        <v>43</v>
      </c>
      <c r="L265" s="6">
        <v>345</v>
      </c>
      <c r="M265" s="3" t="s">
        <v>22</v>
      </c>
    </row>
    <row r="266" spans="1:13" x14ac:dyDescent="0.3">
      <c r="A266" s="11">
        <v>265</v>
      </c>
      <c r="B266" s="3" t="s">
        <v>12</v>
      </c>
      <c r="C266" s="5">
        <v>54</v>
      </c>
      <c r="D266" s="3" t="s">
        <v>31</v>
      </c>
      <c r="E266" s="3" t="s">
        <v>25</v>
      </c>
      <c r="F266" s="3" t="s">
        <v>32</v>
      </c>
      <c r="G266" s="3" t="s">
        <v>27</v>
      </c>
      <c r="H266" s="3" t="s">
        <v>45</v>
      </c>
      <c r="I266" s="3" t="s">
        <v>29</v>
      </c>
      <c r="J266" s="3" t="s">
        <v>42</v>
      </c>
      <c r="K266" s="3" t="s">
        <v>43</v>
      </c>
      <c r="L266" s="6">
        <v>1208</v>
      </c>
      <c r="M266" s="3" t="s">
        <v>44</v>
      </c>
    </row>
    <row r="267" spans="1:13" x14ac:dyDescent="0.3">
      <c r="A267" s="11">
        <v>266</v>
      </c>
      <c r="B267" s="3" t="s">
        <v>12</v>
      </c>
      <c r="C267" s="5">
        <v>51</v>
      </c>
      <c r="D267" s="3" t="s">
        <v>31</v>
      </c>
      <c r="E267" s="3" t="s">
        <v>25</v>
      </c>
      <c r="F267" s="3" t="s">
        <v>32</v>
      </c>
      <c r="G267" s="3" t="s">
        <v>27</v>
      </c>
      <c r="H267" s="3" t="s">
        <v>45</v>
      </c>
      <c r="I267" s="3" t="s">
        <v>29</v>
      </c>
      <c r="J267" s="3" t="s">
        <v>47</v>
      </c>
      <c r="K267" s="3" t="s">
        <v>43</v>
      </c>
      <c r="L267" s="6">
        <v>401</v>
      </c>
      <c r="M267" s="3" t="s">
        <v>22</v>
      </c>
    </row>
    <row r="268" spans="1:13" x14ac:dyDescent="0.3">
      <c r="A268" s="11">
        <v>267</v>
      </c>
      <c r="B268" s="3" t="s">
        <v>12</v>
      </c>
      <c r="C268" s="5">
        <v>52</v>
      </c>
      <c r="D268" s="3" t="s">
        <v>31</v>
      </c>
      <c r="E268" s="3" t="s">
        <v>14</v>
      </c>
      <c r="F268" s="3" t="s">
        <v>41</v>
      </c>
      <c r="G268" s="3" t="s">
        <v>16</v>
      </c>
      <c r="H268" s="3" t="s">
        <v>17</v>
      </c>
      <c r="I268" s="3" t="s">
        <v>29</v>
      </c>
      <c r="J268" s="3" t="s">
        <v>21</v>
      </c>
      <c r="K268" s="3" t="s">
        <v>43</v>
      </c>
      <c r="L268" s="6">
        <v>392</v>
      </c>
      <c r="M268" s="3" t="s">
        <v>22</v>
      </c>
    </row>
    <row r="269" spans="1:13" x14ac:dyDescent="0.3">
      <c r="A269" s="11">
        <v>268</v>
      </c>
      <c r="B269" s="3" t="s">
        <v>12</v>
      </c>
      <c r="C269" s="5">
        <v>29</v>
      </c>
      <c r="D269" s="3" t="s">
        <v>31</v>
      </c>
      <c r="E269" s="3" t="s">
        <v>25</v>
      </c>
      <c r="F269" s="3" t="s">
        <v>26</v>
      </c>
      <c r="G269" s="3" t="s">
        <v>27</v>
      </c>
      <c r="H269" s="3" t="s">
        <v>28</v>
      </c>
      <c r="I269" s="3" t="s">
        <v>29</v>
      </c>
      <c r="J269" s="3" t="s">
        <v>47</v>
      </c>
      <c r="K269" s="3" t="s">
        <v>43</v>
      </c>
      <c r="L269" s="6">
        <v>36</v>
      </c>
      <c r="M269" s="3" t="s">
        <v>22</v>
      </c>
    </row>
    <row r="270" spans="1:13" x14ac:dyDescent="0.3">
      <c r="A270" s="11">
        <v>269</v>
      </c>
      <c r="B270" s="3" t="s">
        <v>23</v>
      </c>
      <c r="C270" s="5">
        <v>44</v>
      </c>
      <c r="D270" s="3" t="s">
        <v>51</v>
      </c>
      <c r="E270" s="3" t="s">
        <v>25</v>
      </c>
      <c r="F270" s="3" t="s">
        <v>32</v>
      </c>
      <c r="G270" s="3" t="s">
        <v>27</v>
      </c>
      <c r="H270" s="3" t="s">
        <v>45</v>
      </c>
      <c r="I270" s="3" t="s">
        <v>33</v>
      </c>
      <c r="J270" s="3" t="s">
        <v>39</v>
      </c>
      <c r="K270" s="3" t="s">
        <v>43</v>
      </c>
      <c r="L270" s="6">
        <v>403</v>
      </c>
      <c r="M270" s="3" t="s">
        <v>22</v>
      </c>
    </row>
    <row r="271" spans="1:13" x14ac:dyDescent="0.3">
      <c r="A271" s="11">
        <v>270</v>
      </c>
      <c r="B271" s="3" t="s">
        <v>12</v>
      </c>
      <c r="C271" s="5">
        <v>40</v>
      </c>
      <c r="D271" s="3" t="s">
        <v>31</v>
      </c>
      <c r="E271" s="3" t="s">
        <v>25</v>
      </c>
      <c r="F271" s="3" t="s">
        <v>32</v>
      </c>
      <c r="G271" s="3" t="s">
        <v>16</v>
      </c>
      <c r="H271" s="3" t="s">
        <v>45</v>
      </c>
      <c r="I271" s="3" t="s">
        <v>29</v>
      </c>
      <c r="J271" s="3" t="s">
        <v>47</v>
      </c>
      <c r="K271" s="3" t="s">
        <v>43</v>
      </c>
      <c r="L271" s="6">
        <v>440</v>
      </c>
      <c r="M271" s="3" t="s">
        <v>22</v>
      </c>
    </row>
    <row r="272" spans="1:13" x14ac:dyDescent="0.3">
      <c r="A272" s="11">
        <v>271</v>
      </c>
      <c r="B272" s="3" t="s">
        <v>23</v>
      </c>
      <c r="C272" s="5">
        <v>41</v>
      </c>
      <c r="D272" s="3" t="s">
        <v>13</v>
      </c>
      <c r="E272" s="3" t="s">
        <v>25</v>
      </c>
      <c r="F272" s="3" t="s">
        <v>32</v>
      </c>
      <c r="G272" s="3" t="s">
        <v>27</v>
      </c>
      <c r="H272" s="3" t="s">
        <v>45</v>
      </c>
      <c r="I272" s="3" t="s">
        <v>20</v>
      </c>
      <c r="J272" s="3" t="s">
        <v>30</v>
      </c>
      <c r="K272" s="3" t="s">
        <v>18</v>
      </c>
      <c r="L272" s="6">
        <v>691</v>
      </c>
      <c r="M272" s="3" t="s">
        <v>22</v>
      </c>
    </row>
    <row r="273" spans="1:13" x14ac:dyDescent="0.3">
      <c r="A273" s="11">
        <v>272</v>
      </c>
      <c r="B273" s="3" t="s">
        <v>12</v>
      </c>
      <c r="C273" s="5">
        <v>31</v>
      </c>
      <c r="D273" s="3" t="s">
        <v>13</v>
      </c>
      <c r="E273" s="3" t="s">
        <v>25</v>
      </c>
      <c r="F273" s="3" t="s">
        <v>32</v>
      </c>
      <c r="G273" s="3" t="s">
        <v>27</v>
      </c>
      <c r="H273" s="3" t="s">
        <v>49</v>
      </c>
      <c r="I273" s="3" t="s">
        <v>38</v>
      </c>
      <c r="J273" s="3" t="s">
        <v>30</v>
      </c>
      <c r="K273" s="3" t="s">
        <v>43</v>
      </c>
      <c r="L273" s="6">
        <v>294</v>
      </c>
      <c r="M273" s="3" t="s">
        <v>22</v>
      </c>
    </row>
    <row r="274" spans="1:13" x14ac:dyDescent="0.3">
      <c r="A274" s="11">
        <v>273</v>
      </c>
      <c r="B274" s="3" t="s">
        <v>23</v>
      </c>
      <c r="C274" s="5">
        <v>38</v>
      </c>
      <c r="D274" s="3" t="s">
        <v>31</v>
      </c>
      <c r="E274" s="3" t="s">
        <v>25</v>
      </c>
      <c r="F274" s="3" t="s">
        <v>32</v>
      </c>
      <c r="G274" s="3" t="s">
        <v>27</v>
      </c>
      <c r="H274" s="3" t="s">
        <v>28</v>
      </c>
      <c r="I274" s="3" t="s">
        <v>29</v>
      </c>
      <c r="J274" s="3" t="s">
        <v>46</v>
      </c>
      <c r="K274" s="3" t="s">
        <v>43</v>
      </c>
      <c r="L274" s="6">
        <v>122</v>
      </c>
      <c r="M274" s="3" t="s">
        <v>40</v>
      </c>
    </row>
    <row r="275" spans="1:13" x14ac:dyDescent="0.3">
      <c r="A275" s="11">
        <v>274</v>
      </c>
      <c r="B275" s="3" t="s">
        <v>23</v>
      </c>
      <c r="C275" s="5">
        <v>43</v>
      </c>
      <c r="D275" s="3" t="s">
        <v>36</v>
      </c>
      <c r="E275" s="3" t="s">
        <v>14</v>
      </c>
      <c r="F275" s="3" t="s">
        <v>32</v>
      </c>
      <c r="G275" s="3" t="s">
        <v>27</v>
      </c>
      <c r="H275" s="3" t="s">
        <v>17</v>
      </c>
      <c r="I275" s="3" t="s">
        <v>20</v>
      </c>
      <c r="J275" s="3" t="s">
        <v>30</v>
      </c>
      <c r="K275" s="3" t="s">
        <v>43</v>
      </c>
      <c r="L275" s="6">
        <v>365</v>
      </c>
      <c r="M275" s="3" t="s">
        <v>44</v>
      </c>
    </row>
    <row r="276" spans="1:13" x14ac:dyDescent="0.3">
      <c r="A276" s="11">
        <v>275</v>
      </c>
      <c r="B276" s="3" t="s">
        <v>12</v>
      </c>
      <c r="C276" s="5">
        <v>40</v>
      </c>
      <c r="D276" s="3" t="s">
        <v>31</v>
      </c>
      <c r="E276" s="3" t="s">
        <v>14</v>
      </c>
      <c r="F276" s="3" t="s">
        <v>32</v>
      </c>
      <c r="G276" s="3" t="s">
        <v>16</v>
      </c>
      <c r="H276" s="3" t="s">
        <v>17</v>
      </c>
      <c r="I276" s="3" t="s">
        <v>38</v>
      </c>
      <c r="J276" s="3" t="s">
        <v>30</v>
      </c>
      <c r="K276" s="3" t="s">
        <v>43</v>
      </c>
      <c r="L276" s="6">
        <v>100</v>
      </c>
      <c r="M276" s="3" t="s">
        <v>44</v>
      </c>
    </row>
    <row r="277" spans="1:13" x14ac:dyDescent="0.3">
      <c r="A277" s="11">
        <v>276</v>
      </c>
      <c r="B277" s="3" t="s">
        <v>23</v>
      </c>
      <c r="C277" s="5">
        <v>41</v>
      </c>
      <c r="D277" s="3" t="s">
        <v>31</v>
      </c>
      <c r="E277" s="3" t="s">
        <v>25</v>
      </c>
      <c r="F277" s="3" t="s">
        <v>32</v>
      </c>
      <c r="G277" s="3" t="s">
        <v>27</v>
      </c>
      <c r="H277" s="3" t="s">
        <v>28</v>
      </c>
      <c r="I277" s="3" t="s">
        <v>33</v>
      </c>
      <c r="J277" s="3" t="s">
        <v>34</v>
      </c>
      <c r="K277" s="3" t="s">
        <v>18</v>
      </c>
      <c r="L277" s="6">
        <v>26</v>
      </c>
      <c r="M277" s="3" t="s">
        <v>44</v>
      </c>
    </row>
    <row r="278" spans="1:13" x14ac:dyDescent="0.3">
      <c r="A278" s="11">
        <v>277</v>
      </c>
      <c r="B278" s="3" t="s">
        <v>12</v>
      </c>
      <c r="C278" s="5">
        <v>64</v>
      </c>
      <c r="D278" s="3" t="s">
        <v>51</v>
      </c>
      <c r="E278" s="3" t="s">
        <v>25</v>
      </c>
      <c r="F278" s="3" t="s">
        <v>32</v>
      </c>
      <c r="G278" s="3" t="s">
        <v>27</v>
      </c>
      <c r="H278" s="3" t="s">
        <v>28</v>
      </c>
      <c r="I278" s="3" t="s">
        <v>20</v>
      </c>
      <c r="J278" s="3" t="s">
        <v>39</v>
      </c>
      <c r="K278" s="3" t="s">
        <v>43</v>
      </c>
      <c r="L278" s="6">
        <v>43</v>
      </c>
      <c r="M278" s="3" t="s">
        <v>22</v>
      </c>
    </row>
    <row r="279" spans="1:13" x14ac:dyDescent="0.3">
      <c r="A279" s="11">
        <v>278</v>
      </c>
      <c r="B279" s="3" t="s">
        <v>23</v>
      </c>
      <c r="C279" s="5">
        <v>40</v>
      </c>
      <c r="D279" s="3" t="s">
        <v>51</v>
      </c>
      <c r="E279" s="3" t="s">
        <v>25</v>
      </c>
      <c r="F279" s="3" t="s">
        <v>32</v>
      </c>
      <c r="G279" s="3" t="s">
        <v>27</v>
      </c>
      <c r="H279" s="3" t="s">
        <v>28</v>
      </c>
      <c r="I279" s="3" t="s">
        <v>20</v>
      </c>
      <c r="J279" s="3" t="s">
        <v>46</v>
      </c>
      <c r="K279" s="3" t="s">
        <v>43</v>
      </c>
      <c r="L279" s="6">
        <v>128</v>
      </c>
      <c r="M279" s="3" t="s">
        <v>22</v>
      </c>
    </row>
    <row r="280" spans="1:13" x14ac:dyDescent="0.3">
      <c r="A280" s="11">
        <v>279</v>
      </c>
      <c r="B280" s="3" t="s">
        <v>12</v>
      </c>
      <c r="C280" s="5">
        <v>52</v>
      </c>
      <c r="D280" s="3" t="s">
        <v>48</v>
      </c>
      <c r="E280" s="3" t="s">
        <v>25</v>
      </c>
      <c r="F280" s="3" t="s">
        <v>32</v>
      </c>
      <c r="G280" s="3" t="s">
        <v>16</v>
      </c>
      <c r="H280" s="3" t="s">
        <v>45</v>
      </c>
      <c r="I280" s="3" t="s">
        <v>33</v>
      </c>
      <c r="J280" s="3" t="s">
        <v>46</v>
      </c>
      <c r="K280" s="3" t="s">
        <v>43</v>
      </c>
      <c r="L280" s="6">
        <v>835</v>
      </c>
      <c r="M280" s="3" t="s">
        <v>22</v>
      </c>
    </row>
    <row r="281" spans="1:13" x14ac:dyDescent="0.3">
      <c r="A281" s="11">
        <v>280</v>
      </c>
      <c r="B281" s="3" t="s">
        <v>23</v>
      </c>
      <c r="C281" s="5">
        <v>41</v>
      </c>
      <c r="D281" s="3" t="s">
        <v>36</v>
      </c>
      <c r="E281" s="3" t="s">
        <v>25</v>
      </c>
      <c r="F281" s="3" t="s">
        <v>37</v>
      </c>
      <c r="G281" s="3" t="s">
        <v>27</v>
      </c>
      <c r="H281" s="3" t="s">
        <v>45</v>
      </c>
      <c r="I281" s="3" t="s">
        <v>20</v>
      </c>
      <c r="J281" s="3" t="s">
        <v>42</v>
      </c>
      <c r="K281" s="3" t="s">
        <v>43</v>
      </c>
      <c r="L281" s="6">
        <v>363</v>
      </c>
      <c r="M281" s="3" t="s">
        <v>22</v>
      </c>
    </row>
    <row r="282" spans="1:13" x14ac:dyDescent="0.3">
      <c r="A282" s="11">
        <v>281</v>
      </c>
      <c r="B282" s="3" t="s">
        <v>12</v>
      </c>
      <c r="C282" s="5">
        <v>38</v>
      </c>
      <c r="D282" s="3" t="s">
        <v>31</v>
      </c>
      <c r="E282" s="3" t="s">
        <v>25</v>
      </c>
      <c r="F282" s="3" t="s">
        <v>32</v>
      </c>
      <c r="G282" s="3" t="s">
        <v>27</v>
      </c>
      <c r="H282" s="3" t="s">
        <v>28</v>
      </c>
      <c r="I282" s="3" t="s">
        <v>29</v>
      </c>
      <c r="J282" s="3" t="s">
        <v>21</v>
      </c>
      <c r="K282" s="3" t="s">
        <v>43</v>
      </c>
      <c r="L282" s="6">
        <v>-47</v>
      </c>
      <c r="M282" s="3" t="s">
        <v>40</v>
      </c>
    </row>
    <row r="283" spans="1:13" x14ac:dyDescent="0.3">
      <c r="A283" s="11">
        <v>282</v>
      </c>
      <c r="B283" s="3" t="s">
        <v>23</v>
      </c>
      <c r="C283" s="5">
        <v>69</v>
      </c>
      <c r="D283" s="3" t="s">
        <v>36</v>
      </c>
      <c r="E283" s="3" t="s">
        <v>25</v>
      </c>
      <c r="F283" s="3" t="s">
        <v>15</v>
      </c>
      <c r="G283" s="3" t="s">
        <v>27</v>
      </c>
      <c r="H283" s="3" t="s">
        <v>28</v>
      </c>
      <c r="I283" s="3" t="s">
        <v>33</v>
      </c>
      <c r="J283" s="3" t="s">
        <v>39</v>
      </c>
      <c r="K283" s="3" t="s">
        <v>43</v>
      </c>
      <c r="L283" s="6">
        <v>117</v>
      </c>
      <c r="M283" s="3" t="s">
        <v>44</v>
      </c>
    </row>
    <row r="284" spans="1:13" x14ac:dyDescent="0.3">
      <c r="A284" s="11">
        <v>283</v>
      </c>
      <c r="B284" s="3" t="s">
        <v>23</v>
      </c>
      <c r="C284" s="5">
        <v>26</v>
      </c>
      <c r="D284" s="3" t="s">
        <v>31</v>
      </c>
      <c r="E284" s="3" t="s">
        <v>25</v>
      </c>
      <c r="F284" s="3" t="s">
        <v>15</v>
      </c>
      <c r="G284" s="3" t="s">
        <v>27</v>
      </c>
      <c r="H284" s="3" t="s">
        <v>28</v>
      </c>
      <c r="I284" s="3" t="s">
        <v>20</v>
      </c>
      <c r="J284" s="3" t="s">
        <v>46</v>
      </c>
      <c r="K284" s="3" t="s">
        <v>18</v>
      </c>
      <c r="L284" s="6">
        <v>10</v>
      </c>
      <c r="M284" s="3" t="s">
        <v>44</v>
      </c>
    </row>
    <row r="285" spans="1:13" x14ac:dyDescent="0.3">
      <c r="A285" s="11">
        <v>284</v>
      </c>
      <c r="B285" s="3" t="s">
        <v>12</v>
      </c>
      <c r="C285" s="5">
        <v>26</v>
      </c>
      <c r="D285" s="3" t="s">
        <v>36</v>
      </c>
      <c r="E285" s="3" t="s">
        <v>14</v>
      </c>
      <c r="F285" s="3" t="s">
        <v>32</v>
      </c>
      <c r="G285" s="3" t="s">
        <v>27</v>
      </c>
      <c r="H285" s="3" t="s">
        <v>17</v>
      </c>
      <c r="I285" s="3" t="s">
        <v>20</v>
      </c>
      <c r="J285" s="3" t="s">
        <v>42</v>
      </c>
      <c r="K285" s="3" t="s">
        <v>43</v>
      </c>
      <c r="L285" s="6">
        <v>464</v>
      </c>
      <c r="M285" s="3" t="s">
        <v>44</v>
      </c>
    </row>
    <row r="286" spans="1:13" x14ac:dyDescent="0.3">
      <c r="A286" s="11">
        <v>285</v>
      </c>
      <c r="B286" s="3" t="s">
        <v>12</v>
      </c>
      <c r="C286" s="5">
        <v>45</v>
      </c>
      <c r="D286" s="3" t="s">
        <v>13</v>
      </c>
      <c r="E286" s="3" t="s">
        <v>14</v>
      </c>
      <c r="F286" s="3" t="s">
        <v>32</v>
      </c>
      <c r="G286" s="3" t="s">
        <v>27</v>
      </c>
      <c r="H286" s="3" t="s">
        <v>17</v>
      </c>
      <c r="I286" s="3" t="s">
        <v>33</v>
      </c>
      <c r="J286" s="3" t="s">
        <v>46</v>
      </c>
      <c r="K286" s="3" t="s">
        <v>18</v>
      </c>
      <c r="L286" s="6">
        <v>545</v>
      </c>
      <c r="M286" s="3" t="s">
        <v>22</v>
      </c>
    </row>
    <row r="287" spans="1:13" x14ac:dyDescent="0.3">
      <c r="A287" s="11">
        <v>286</v>
      </c>
      <c r="B287" s="3" t="s">
        <v>23</v>
      </c>
      <c r="C287" s="5">
        <v>26</v>
      </c>
      <c r="D287" s="3" t="s">
        <v>50</v>
      </c>
      <c r="E287" s="3" t="s">
        <v>25</v>
      </c>
      <c r="F287" s="3" t="s">
        <v>15</v>
      </c>
      <c r="G287" s="3" t="s">
        <v>27</v>
      </c>
      <c r="H287" s="3" t="s">
        <v>28</v>
      </c>
      <c r="I287" s="3" t="s">
        <v>20</v>
      </c>
      <c r="J287" s="3" t="s">
        <v>47</v>
      </c>
      <c r="K287" s="3" t="s">
        <v>43</v>
      </c>
      <c r="L287" s="6">
        <v>67</v>
      </c>
      <c r="M287" s="3" t="s">
        <v>44</v>
      </c>
    </row>
    <row r="288" spans="1:13" x14ac:dyDescent="0.3">
      <c r="A288" s="11">
        <v>287</v>
      </c>
      <c r="B288" s="3" t="s">
        <v>12</v>
      </c>
      <c r="C288" s="5">
        <v>33</v>
      </c>
      <c r="D288" s="3" t="s">
        <v>50</v>
      </c>
      <c r="E288" s="3" t="s">
        <v>25</v>
      </c>
      <c r="F288" s="3" t="s">
        <v>32</v>
      </c>
      <c r="G288" s="3" t="s">
        <v>27</v>
      </c>
      <c r="H288" s="3" t="s">
        <v>17</v>
      </c>
      <c r="I288" s="3" t="s">
        <v>20</v>
      </c>
      <c r="J288" s="3" t="s">
        <v>42</v>
      </c>
      <c r="K288" s="3" t="s">
        <v>43</v>
      </c>
      <c r="L288" s="6">
        <v>295</v>
      </c>
      <c r="M288" s="3" t="s">
        <v>22</v>
      </c>
    </row>
    <row r="289" spans="1:13" x14ac:dyDescent="0.3">
      <c r="A289" s="11">
        <v>288</v>
      </c>
      <c r="B289" s="3" t="s">
        <v>23</v>
      </c>
      <c r="C289" s="5">
        <v>38</v>
      </c>
      <c r="D289" s="3" t="s">
        <v>13</v>
      </c>
      <c r="E289" s="3" t="s">
        <v>25</v>
      </c>
      <c r="F289" s="3" t="s">
        <v>15</v>
      </c>
      <c r="G289" s="3" t="s">
        <v>27</v>
      </c>
      <c r="H289" s="3" t="s">
        <v>45</v>
      </c>
      <c r="I289" s="3" t="s">
        <v>38</v>
      </c>
      <c r="J289" s="3" t="s">
        <v>34</v>
      </c>
      <c r="K289" s="3" t="s">
        <v>43</v>
      </c>
      <c r="L289" s="6">
        <v>194</v>
      </c>
      <c r="M289" s="3" t="s">
        <v>40</v>
      </c>
    </row>
    <row r="290" spans="1:13" x14ac:dyDescent="0.3">
      <c r="A290" s="11">
        <v>289</v>
      </c>
      <c r="B290" s="3" t="s">
        <v>12</v>
      </c>
      <c r="C290" s="5">
        <v>36</v>
      </c>
      <c r="D290" s="3" t="s">
        <v>51</v>
      </c>
      <c r="E290" s="3" t="s">
        <v>25</v>
      </c>
      <c r="F290" s="3" t="s">
        <v>32</v>
      </c>
      <c r="G290" s="3" t="s">
        <v>27</v>
      </c>
      <c r="H290" s="3" t="s">
        <v>45</v>
      </c>
      <c r="I290" s="3" t="s">
        <v>29</v>
      </c>
      <c r="J290" s="3" t="s">
        <v>34</v>
      </c>
      <c r="K290" s="3" t="s">
        <v>43</v>
      </c>
      <c r="L290" s="6">
        <v>341</v>
      </c>
      <c r="M290" s="3" t="s">
        <v>40</v>
      </c>
    </row>
    <row r="291" spans="1:13" x14ac:dyDescent="0.3">
      <c r="A291" s="11">
        <v>290</v>
      </c>
      <c r="B291" s="3" t="s">
        <v>12</v>
      </c>
      <c r="C291" s="5">
        <v>36</v>
      </c>
      <c r="D291" s="3" t="s">
        <v>36</v>
      </c>
      <c r="E291" s="3" t="s">
        <v>25</v>
      </c>
      <c r="F291" s="3" t="s">
        <v>32</v>
      </c>
      <c r="G291" s="3" t="s">
        <v>27</v>
      </c>
      <c r="H291" s="3" t="s">
        <v>28</v>
      </c>
      <c r="I291" s="3" t="s">
        <v>20</v>
      </c>
      <c r="J291" s="3" t="s">
        <v>21</v>
      </c>
      <c r="K291" s="3" t="s">
        <v>43</v>
      </c>
      <c r="L291" s="6">
        <v>-38</v>
      </c>
      <c r="M291" s="3" t="s">
        <v>22</v>
      </c>
    </row>
    <row r="292" spans="1:13" x14ac:dyDescent="0.3">
      <c r="A292" s="11">
        <v>291</v>
      </c>
      <c r="B292" s="3" t="s">
        <v>23</v>
      </c>
      <c r="C292" s="5">
        <v>45</v>
      </c>
      <c r="D292" s="3" t="s">
        <v>48</v>
      </c>
      <c r="E292" s="3" t="s">
        <v>14</v>
      </c>
      <c r="F292" s="3" t="s">
        <v>32</v>
      </c>
      <c r="G292" s="3" t="s">
        <v>27</v>
      </c>
      <c r="H292" s="3" t="s">
        <v>28</v>
      </c>
      <c r="I292" s="3" t="s">
        <v>33</v>
      </c>
      <c r="J292" s="3" t="s">
        <v>30</v>
      </c>
      <c r="K292" s="3" t="s">
        <v>43</v>
      </c>
      <c r="L292" s="6">
        <v>16</v>
      </c>
      <c r="M292" s="3" t="s">
        <v>44</v>
      </c>
    </row>
    <row r="293" spans="1:13" x14ac:dyDescent="0.3">
      <c r="A293" s="11">
        <v>292</v>
      </c>
      <c r="B293" s="3" t="s">
        <v>12</v>
      </c>
      <c r="C293" s="5">
        <v>45</v>
      </c>
      <c r="D293" s="3" t="s">
        <v>51</v>
      </c>
      <c r="E293" s="3" t="s">
        <v>25</v>
      </c>
      <c r="F293" s="3" t="s">
        <v>32</v>
      </c>
      <c r="G293" s="3" t="s">
        <v>16</v>
      </c>
      <c r="H293" s="3" t="s">
        <v>49</v>
      </c>
      <c r="I293" s="3" t="s">
        <v>33</v>
      </c>
      <c r="J293" s="3" t="s">
        <v>46</v>
      </c>
      <c r="K293" s="3" t="s">
        <v>43</v>
      </c>
      <c r="L293" s="6">
        <v>430</v>
      </c>
      <c r="M293" s="3" t="s">
        <v>22</v>
      </c>
    </row>
    <row r="294" spans="1:13" x14ac:dyDescent="0.3">
      <c r="A294" s="11">
        <v>293</v>
      </c>
      <c r="B294" s="3" t="s">
        <v>23</v>
      </c>
      <c r="C294" s="5">
        <v>34</v>
      </c>
      <c r="D294" s="3" t="s">
        <v>13</v>
      </c>
      <c r="E294" s="3" t="s">
        <v>14</v>
      </c>
      <c r="F294" s="3" t="s">
        <v>32</v>
      </c>
      <c r="G294" s="3" t="s">
        <v>27</v>
      </c>
      <c r="H294" s="3" t="s">
        <v>28</v>
      </c>
      <c r="I294" s="3" t="s">
        <v>20</v>
      </c>
      <c r="J294" s="3" t="s">
        <v>21</v>
      </c>
      <c r="K294" s="3" t="s">
        <v>43</v>
      </c>
      <c r="L294" s="6">
        <v>-30</v>
      </c>
      <c r="M294" s="3" t="s">
        <v>44</v>
      </c>
    </row>
    <row r="295" spans="1:13" x14ac:dyDescent="0.3">
      <c r="A295" s="11">
        <v>294</v>
      </c>
      <c r="B295" s="3" t="s">
        <v>23</v>
      </c>
      <c r="C295" s="5">
        <v>51</v>
      </c>
      <c r="D295" s="3" t="s">
        <v>13</v>
      </c>
      <c r="E295" s="3" t="s">
        <v>25</v>
      </c>
      <c r="F295" s="3" t="s">
        <v>32</v>
      </c>
      <c r="G295" s="3" t="s">
        <v>27</v>
      </c>
      <c r="H295" s="3" t="s">
        <v>28</v>
      </c>
      <c r="I295" s="3" t="s">
        <v>33</v>
      </c>
      <c r="J295" s="3" t="s">
        <v>46</v>
      </c>
      <c r="K295" s="3" t="s">
        <v>43</v>
      </c>
      <c r="L295" s="6">
        <v>84</v>
      </c>
      <c r="M295" s="3" t="s">
        <v>44</v>
      </c>
    </row>
    <row r="296" spans="1:13" x14ac:dyDescent="0.3">
      <c r="A296" s="11">
        <v>295</v>
      </c>
      <c r="B296" s="3" t="s">
        <v>23</v>
      </c>
      <c r="C296" s="5">
        <v>38</v>
      </c>
      <c r="D296" s="3" t="s">
        <v>31</v>
      </c>
      <c r="E296" s="3" t="s">
        <v>25</v>
      </c>
      <c r="F296" s="3" t="s">
        <v>15</v>
      </c>
      <c r="G296" s="3" t="s">
        <v>27</v>
      </c>
      <c r="H296" s="3" t="s">
        <v>28</v>
      </c>
      <c r="I296" s="3" t="s">
        <v>20</v>
      </c>
      <c r="J296" s="3" t="s">
        <v>46</v>
      </c>
      <c r="K296" s="3" t="s">
        <v>43</v>
      </c>
      <c r="L296" s="6">
        <v>-38</v>
      </c>
      <c r="M296" s="3" t="s">
        <v>35</v>
      </c>
    </row>
    <row r="297" spans="1:13" x14ac:dyDescent="0.3">
      <c r="A297" s="11">
        <v>296</v>
      </c>
      <c r="B297" s="3" t="s">
        <v>23</v>
      </c>
      <c r="C297" s="5">
        <v>58</v>
      </c>
      <c r="D297" s="3" t="s">
        <v>52</v>
      </c>
      <c r="E297" s="3" t="s">
        <v>25</v>
      </c>
      <c r="F297" s="3" t="s">
        <v>15</v>
      </c>
      <c r="G297" s="3" t="s">
        <v>27</v>
      </c>
      <c r="H297" s="3" t="s">
        <v>28</v>
      </c>
      <c r="I297" s="3" t="s">
        <v>20</v>
      </c>
      <c r="J297" s="3" t="s">
        <v>47</v>
      </c>
      <c r="K297" s="3" t="s">
        <v>18</v>
      </c>
      <c r="L297" s="6">
        <v>70</v>
      </c>
      <c r="M297" s="3" t="s">
        <v>44</v>
      </c>
    </row>
    <row r="298" spans="1:13" x14ac:dyDescent="0.3">
      <c r="A298" s="11">
        <v>297</v>
      </c>
      <c r="B298" s="3" t="s">
        <v>12</v>
      </c>
      <c r="C298" s="5">
        <v>54</v>
      </c>
      <c r="D298" s="3" t="s">
        <v>36</v>
      </c>
      <c r="E298" s="3" t="s">
        <v>25</v>
      </c>
      <c r="F298" s="3" t="s">
        <v>41</v>
      </c>
      <c r="G298" s="3" t="s">
        <v>27</v>
      </c>
      <c r="H298" s="3" t="s">
        <v>28</v>
      </c>
      <c r="I298" s="3" t="s">
        <v>20</v>
      </c>
      <c r="J298" s="3" t="s">
        <v>42</v>
      </c>
      <c r="K298" s="3" t="s">
        <v>43</v>
      </c>
      <c r="L298" s="6">
        <v>0</v>
      </c>
      <c r="M298" s="3" t="s">
        <v>44</v>
      </c>
    </row>
    <row r="299" spans="1:13" x14ac:dyDescent="0.3">
      <c r="A299" s="11">
        <v>298</v>
      </c>
      <c r="B299" s="3" t="s">
        <v>12</v>
      </c>
      <c r="C299" s="5">
        <v>57</v>
      </c>
      <c r="D299" s="3" t="s">
        <v>24</v>
      </c>
      <c r="E299" s="3" t="s">
        <v>14</v>
      </c>
      <c r="F299" s="3" t="s">
        <v>32</v>
      </c>
      <c r="G299" s="3" t="s">
        <v>27</v>
      </c>
      <c r="H299" s="3" t="s">
        <v>28</v>
      </c>
      <c r="I299" s="3" t="s">
        <v>38</v>
      </c>
      <c r="J299" s="3" t="s">
        <v>30</v>
      </c>
      <c r="K299" s="3" t="s">
        <v>43</v>
      </c>
      <c r="L299" s="6">
        <v>53</v>
      </c>
      <c r="M299" s="3" t="s">
        <v>44</v>
      </c>
    </row>
    <row r="300" spans="1:13" x14ac:dyDescent="0.3">
      <c r="A300" s="11">
        <v>299</v>
      </c>
      <c r="B300" s="3" t="s">
        <v>12</v>
      </c>
      <c r="C300" s="5">
        <v>43</v>
      </c>
      <c r="D300" s="3" t="s">
        <v>36</v>
      </c>
      <c r="E300" s="3" t="s">
        <v>25</v>
      </c>
      <c r="F300" s="3" t="s">
        <v>32</v>
      </c>
      <c r="G300" s="3" t="s">
        <v>27</v>
      </c>
      <c r="H300" s="3" t="s">
        <v>49</v>
      </c>
      <c r="I300" s="3" t="s">
        <v>20</v>
      </c>
      <c r="J300" s="3" t="s">
        <v>46</v>
      </c>
      <c r="K300" s="3" t="s">
        <v>18</v>
      </c>
      <c r="L300" s="6">
        <v>413</v>
      </c>
      <c r="M300" s="3" t="s">
        <v>22</v>
      </c>
    </row>
    <row r="301" spans="1:13" x14ac:dyDescent="0.3">
      <c r="A301" s="11">
        <v>300</v>
      </c>
      <c r="B301" s="3" t="s">
        <v>23</v>
      </c>
      <c r="C301" s="5">
        <v>40</v>
      </c>
      <c r="D301" s="3" t="s">
        <v>31</v>
      </c>
      <c r="E301" s="3" t="s">
        <v>25</v>
      </c>
      <c r="F301" s="3" t="s">
        <v>32</v>
      </c>
      <c r="G301" s="3" t="s">
        <v>27</v>
      </c>
      <c r="H301" s="3" t="s">
        <v>28</v>
      </c>
      <c r="I301" s="3" t="s">
        <v>29</v>
      </c>
      <c r="J301" s="3" t="s">
        <v>21</v>
      </c>
      <c r="K301" s="3" t="s">
        <v>43</v>
      </c>
      <c r="L301" s="6">
        <v>165</v>
      </c>
      <c r="M301" s="3" t="s">
        <v>35</v>
      </c>
    </row>
    <row r="302" spans="1:13" x14ac:dyDescent="0.3">
      <c r="A302" s="11">
        <v>301</v>
      </c>
      <c r="B302" s="3" t="s">
        <v>23</v>
      </c>
      <c r="C302" s="5">
        <v>45</v>
      </c>
      <c r="D302" s="3" t="s">
        <v>36</v>
      </c>
      <c r="E302" s="3" t="s">
        <v>14</v>
      </c>
      <c r="F302" s="3" t="s">
        <v>32</v>
      </c>
      <c r="G302" s="3" t="s">
        <v>27</v>
      </c>
      <c r="H302" s="3" t="s">
        <v>17</v>
      </c>
      <c r="I302" s="3" t="s">
        <v>29</v>
      </c>
      <c r="J302" s="3" t="s">
        <v>21</v>
      </c>
      <c r="K302" s="3" t="s">
        <v>43</v>
      </c>
      <c r="L302" s="6">
        <v>198</v>
      </c>
      <c r="M302" s="3" t="s">
        <v>40</v>
      </c>
    </row>
    <row r="303" spans="1:13" x14ac:dyDescent="0.3">
      <c r="A303" s="11">
        <v>302</v>
      </c>
      <c r="B303" s="3" t="s">
        <v>12</v>
      </c>
      <c r="C303" s="5">
        <v>54</v>
      </c>
      <c r="D303" s="3" t="s">
        <v>52</v>
      </c>
      <c r="E303" s="3" t="s">
        <v>14</v>
      </c>
      <c r="F303" s="3" t="s">
        <v>15</v>
      </c>
      <c r="G303" s="3" t="s">
        <v>27</v>
      </c>
      <c r="H303" s="3" t="s">
        <v>17</v>
      </c>
      <c r="I303" s="3" t="s">
        <v>38</v>
      </c>
      <c r="J303" s="3" t="s">
        <v>34</v>
      </c>
      <c r="K303" s="3" t="s">
        <v>43</v>
      </c>
      <c r="L303" s="6">
        <v>202</v>
      </c>
      <c r="M303" s="3" t="s">
        <v>44</v>
      </c>
    </row>
    <row r="304" spans="1:13" x14ac:dyDescent="0.3">
      <c r="A304" s="11">
        <v>303</v>
      </c>
      <c r="B304" s="3" t="s">
        <v>12</v>
      </c>
      <c r="C304" s="5">
        <v>43</v>
      </c>
      <c r="D304" s="3" t="s">
        <v>31</v>
      </c>
      <c r="E304" s="3" t="s">
        <v>14</v>
      </c>
      <c r="F304" s="3" t="s">
        <v>32</v>
      </c>
      <c r="G304" s="3" t="s">
        <v>27</v>
      </c>
      <c r="H304" s="3" t="s">
        <v>28</v>
      </c>
      <c r="I304" s="3" t="s">
        <v>33</v>
      </c>
      <c r="J304" s="3" t="s">
        <v>46</v>
      </c>
      <c r="K304" s="3" t="s">
        <v>43</v>
      </c>
      <c r="L304" s="6">
        <v>159</v>
      </c>
      <c r="M304" s="3" t="s">
        <v>35</v>
      </c>
    </row>
    <row r="305" spans="1:13" x14ac:dyDescent="0.3">
      <c r="A305" s="11">
        <v>304</v>
      </c>
      <c r="B305" s="3" t="s">
        <v>23</v>
      </c>
      <c r="C305" s="5">
        <v>48</v>
      </c>
      <c r="D305" s="3" t="s">
        <v>48</v>
      </c>
      <c r="E305" s="3" t="s">
        <v>14</v>
      </c>
      <c r="F305" s="3" t="s">
        <v>32</v>
      </c>
      <c r="G305" s="3" t="s">
        <v>27</v>
      </c>
      <c r="H305" s="3" t="s">
        <v>45</v>
      </c>
      <c r="I305" s="3" t="s">
        <v>33</v>
      </c>
      <c r="J305" s="3" t="s">
        <v>46</v>
      </c>
      <c r="K305" s="3" t="s">
        <v>43</v>
      </c>
      <c r="L305" s="6">
        <v>417</v>
      </c>
      <c r="M305" s="3" t="s">
        <v>22</v>
      </c>
    </row>
    <row r="306" spans="1:13" x14ac:dyDescent="0.3">
      <c r="A306" s="11">
        <v>305</v>
      </c>
      <c r="B306" s="3" t="s">
        <v>12</v>
      </c>
      <c r="C306" s="5">
        <v>44</v>
      </c>
      <c r="D306" s="3" t="s">
        <v>51</v>
      </c>
      <c r="E306" s="3" t="s">
        <v>25</v>
      </c>
      <c r="F306" s="3" t="s">
        <v>32</v>
      </c>
      <c r="G306" s="3" t="s">
        <v>16</v>
      </c>
      <c r="H306" s="3" t="s">
        <v>28</v>
      </c>
      <c r="I306" s="3" t="s">
        <v>33</v>
      </c>
      <c r="J306" s="3" t="s">
        <v>39</v>
      </c>
      <c r="K306" s="3" t="s">
        <v>43</v>
      </c>
      <c r="L306" s="6">
        <v>72</v>
      </c>
      <c r="M306" s="3" t="s">
        <v>44</v>
      </c>
    </row>
    <row r="307" spans="1:13" x14ac:dyDescent="0.3">
      <c r="A307" s="11">
        <v>306</v>
      </c>
      <c r="B307" s="3" t="s">
        <v>23</v>
      </c>
      <c r="C307" s="5">
        <v>57</v>
      </c>
      <c r="D307" s="3" t="s">
        <v>13</v>
      </c>
      <c r="E307" s="3" t="s">
        <v>25</v>
      </c>
      <c r="F307" s="3" t="s">
        <v>15</v>
      </c>
      <c r="G307" s="3" t="s">
        <v>27</v>
      </c>
      <c r="H307" s="3" t="s">
        <v>28</v>
      </c>
      <c r="I307" s="3" t="s">
        <v>38</v>
      </c>
      <c r="J307" s="3" t="s">
        <v>34</v>
      </c>
      <c r="K307" s="3" t="s">
        <v>43</v>
      </c>
      <c r="L307" s="6">
        <v>143</v>
      </c>
      <c r="M307" s="3" t="s">
        <v>22</v>
      </c>
    </row>
    <row r="308" spans="1:13" x14ac:dyDescent="0.3">
      <c r="A308" s="11">
        <v>307</v>
      </c>
      <c r="B308" s="3" t="s">
        <v>23</v>
      </c>
      <c r="C308" s="5">
        <v>20</v>
      </c>
      <c r="D308" s="3" t="s">
        <v>31</v>
      </c>
      <c r="E308" s="3" t="s">
        <v>25</v>
      </c>
      <c r="F308" s="3" t="s">
        <v>26</v>
      </c>
      <c r="G308" s="3" t="s">
        <v>27</v>
      </c>
      <c r="H308" s="3" t="s">
        <v>49</v>
      </c>
      <c r="I308" s="3" t="s">
        <v>33</v>
      </c>
      <c r="J308" s="3" t="s">
        <v>42</v>
      </c>
      <c r="K308" s="3" t="s">
        <v>18</v>
      </c>
      <c r="L308" s="6">
        <v>1022</v>
      </c>
      <c r="M308" s="3" t="s">
        <v>44</v>
      </c>
    </row>
    <row r="309" spans="1:13" x14ac:dyDescent="0.3">
      <c r="A309" s="11">
        <v>308</v>
      </c>
      <c r="B309" s="3" t="s">
        <v>23</v>
      </c>
      <c r="C309" s="5">
        <v>49</v>
      </c>
      <c r="D309" s="3" t="s">
        <v>31</v>
      </c>
      <c r="E309" s="3" t="s">
        <v>25</v>
      </c>
      <c r="F309" s="3" t="s">
        <v>32</v>
      </c>
      <c r="G309" s="3" t="s">
        <v>27</v>
      </c>
      <c r="H309" s="3" t="s">
        <v>28</v>
      </c>
      <c r="I309" s="3" t="s">
        <v>20</v>
      </c>
      <c r="J309" s="3" t="s">
        <v>47</v>
      </c>
      <c r="K309" s="3" t="s">
        <v>43</v>
      </c>
      <c r="L309" s="6">
        <v>0</v>
      </c>
      <c r="M309" s="3" t="s">
        <v>22</v>
      </c>
    </row>
    <row r="310" spans="1:13" x14ac:dyDescent="0.3">
      <c r="A310" s="11">
        <v>309</v>
      </c>
      <c r="B310" s="3" t="s">
        <v>12</v>
      </c>
      <c r="C310" s="5">
        <v>39</v>
      </c>
      <c r="D310" s="3" t="s">
        <v>24</v>
      </c>
      <c r="E310" s="3" t="s">
        <v>25</v>
      </c>
      <c r="F310" s="3" t="s">
        <v>32</v>
      </c>
      <c r="G310" s="3" t="s">
        <v>27</v>
      </c>
      <c r="H310" s="3" t="s">
        <v>45</v>
      </c>
      <c r="I310" s="3" t="s">
        <v>29</v>
      </c>
      <c r="J310" s="3" t="s">
        <v>34</v>
      </c>
      <c r="K310" s="3" t="s">
        <v>43</v>
      </c>
      <c r="L310" s="6">
        <v>337</v>
      </c>
      <c r="M310" s="3" t="s">
        <v>44</v>
      </c>
    </row>
    <row r="311" spans="1:13" x14ac:dyDescent="0.3">
      <c r="A311" s="11">
        <v>310</v>
      </c>
      <c r="B311" s="3" t="s">
        <v>12</v>
      </c>
      <c r="C311" s="5">
        <v>41</v>
      </c>
      <c r="D311" s="3" t="s">
        <v>51</v>
      </c>
      <c r="E311" s="3" t="s">
        <v>25</v>
      </c>
      <c r="F311" s="3" t="s">
        <v>26</v>
      </c>
      <c r="G311" s="3" t="s">
        <v>27</v>
      </c>
      <c r="H311" s="3" t="s">
        <v>45</v>
      </c>
      <c r="I311" s="3" t="s">
        <v>29</v>
      </c>
      <c r="J311" s="3" t="s">
        <v>30</v>
      </c>
      <c r="K311" s="3" t="s">
        <v>43</v>
      </c>
      <c r="L311" s="6">
        <v>681</v>
      </c>
      <c r="M311" s="3" t="s">
        <v>44</v>
      </c>
    </row>
    <row r="312" spans="1:13" x14ac:dyDescent="0.3">
      <c r="A312" s="11">
        <v>311</v>
      </c>
      <c r="B312" s="3" t="s">
        <v>12</v>
      </c>
      <c r="C312" s="5">
        <v>37</v>
      </c>
      <c r="D312" s="3" t="s">
        <v>50</v>
      </c>
      <c r="E312" s="3" t="s">
        <v>25</v>
      </c>
      <c r="F312" s="3" t="s">
        <v>53</v>
      </c>
      <c r="G312" s="3" t="s">
        <v>27</v>
      </c>
      <c r="H312" s="3" t="s">
        <v>28</v>
      </c>
      <c r="I312" s="3" t="s">
        <v>20</v>
      </c>
      <c r="J312" s="3" t="s">
        <v>21</v>
      </c>
      <c r="K312" s="3" t="s">
        <v>18</v>
      </c>
      <c r="L312" s="6">
        <v>-31</v>
      </c>
      <c r="M312" s="3" t="s">
        <v>35</v>
      </c>
    </row>
    <row r="313" spans="1:13" x14ac:dyDescent="0.3">
      <c r="A313" s="11">
        <v>312</v>
      </c>
      <c r="B313" s="3" t="s">
        <v>23</v>
      </c>
      <c r="C313" s="5">
        <v>65</v>
      </c>
      <c r="D313" s="3" t="s">
        <v>31</v>
      </c>
      <c r="E313" s="3" t="s">
        <v>25</v>
      </c>
      <c r="F313" s="3" t="s">
        <v>15</v>
      </c>
      <c r="G313" s="3" t="s">
        <v>27</v>
      </c>
      <c r="H313" s="3" t="s">
        <v>28</v>
      </c>
      <c r="I313" s="3" t="s">
        <v>29</v>
      </c>
      <c r="J313" s="3" t="s">
        <v>30</v>
      </c>
      <c r="K313" s="3" t="s">
        <v>18</v>
      </c>
      <c r="L313" s="6">
        <v>161</v>
      </c>
      <c r="M313" s="3" t="s">
        <v>44</v>
      </c>
    </row>
    <row r="314" spans="1:13" x14ac:dyDescent="0.3">
      <c r="A314" s="11">
        <v>313</v>
      </c>
      <c r="B314" s="3" t="s">
        <v>12</v>
      </c>
      <c r="C314" s="5">
        <v>50</v>
      </c>
      <c r="D314" s="3" t="s">
        <v>31</v>
      </c>
      <c r="E314" s="3" t="s">
        <v>25</v>
      </c>
      <c r="F314" s="3" t="s">
        <v>32</v>
      </c>
      <c r="G314" s="3" t="s">
        <v>27</v>
      </c>
      <c r="H314" s="3" t="s">
        <v>49</v>
      </c>
      <c r="I314" s="3" t="s">
        <v>33</v>
      </c>
      <c r="J314" s="3" t="s">
        <v>46</v>
      </c>
      <c r="K314" s="3" t="s">
        <v>43</v>
      </c>
      <c r="L314" s="6">
        <v>590</v>
      </c>
      <c r="M314" s="3" t="s">
        <v>44</v>
      </c>
    </row>
    <row r="315" spans="1:13" x14ac:dyDescent="0.3">
      <c r="A315" s="11">
        <v>314</v>
      </c>
      <c r="B315" s="3" t="s">
        <v>23</v>
      </c>
      <c r="C315" s="5">
        <v>57</v>
      </c>
      <c r="D315" s="3" t="s">
        <v>51</v>
      </c>
      <c r="E315" s="3" t="s">
        <v>25</v>
      </c>
      <c r="F315" s="3" t="s">
        <v>15</v>
      </c>
      <c r="G315" s="3" t="s">
        <v>16</v>
      </c>
      <c r="H315" s="3" t="s">
        <v>17</v>
      </c>
      <c r="I315" s="3" t="s">
        <v>20</v>
      </c>
      <c r="J315" s="3" t="s">
        <v>42</v>
      </c>
      <c r="K315" s="3" t="s">
        <v>43</v>
      </c>
      <c r="L315" s="6">
        <v>262</v>
      </c>
      <c r="M315" s="3" t="s">
        <v>44</v>
      </c>
    </row>
    <row r="316" spans="1:13" x14ac:dyDescent="0.3">
      <c r="A316" s="11">
        <v>315</v>
      </c>
      <c r="B316" s="3" t="s">
        <v>12</v>
      </c>
      <c r="C316" s="5">
        <v>48</v>
      </c>
      <c r="D316" s="3" t="s">
        <v>31</v>
      </c>
      <c r="E316" s="3" t="s">
        <v>25</v>
      </c>
      <c r="F316" s="3" t="s">
        <v>32</v>
      </c>
      <c r="G316" s="3" t="s">
        <v>27</v>
      </c>
      <c r="H316" s="3" t="s">
        <v>28</v>
      </c>
      <c r="I316" s="3" t="s">
        <v>33</v>
      </c>
      <c r="J316" s="3" t="s">
        <v>47</v>
      </c>
      <c r="K316" s="3" t="s">
        <v>43</v>
      </c>
      <c r="L316" s="6">
        <v>-50</v>
      </c>
      <c r="M316" s="3" t="s">
        <v>44</v>
      </c>
    </row>
    <row r="317" spans="1:13" x14ac:dyDescent="0.3">
      <c r="A317" s="11">
        <v>316</v>
      </c>
      <c r="B317" s="3" t="s">
        <v>12</v>
      </c>
      <c r="C317" s="5">
        <v>53</v>
      </c>
      <c r="D317" s="3" t="s">
        <v>31</v>
      </c>
      <c r="E317" s="3" t="s">
        <v>25</v>
      </c>
      <c r="F317" s="3" t="s">
        <v>32</v>
      </c>
      <c r="G317" s="3" t="s">
        <v>27</v>
      </c>
      <c r="H317" s="3" t="s">
        <v>28</v>
      </c>
      <c r="I317" s="3" t="s">
        <v>33</v>
      </c>
      <c r="J317" s="3" t="s">
        <v>39</v>
      </c>
      <c r="K317" s="3" t="s">
        <v>43</v>
      </c>
      <c r="L317" s="6">
        <v>34</v>
      </c>
      <c r="M317" s="3" t="s">
        <v>44</v>
      </c>
    </row>
    <row r="318" spans="1:13" x14ac:dyDescent="0.3">
      <c r="A318" s="11">
        <v>317</v>
      </c>
      <c r="B318" s="3" t="s">
        <v>23</v>
      </c>
      <c r="C318" s="5">
        <v>52</v>
      </c>
      <c r="D318" s="3" t="s">
        <v>31</v>
      </c>
      <c r="E318" s="3" t="s">
        <v>25</v>
      </c>
      <c r="F318" s="3" t="s">
        <v>32</v>
      </c>
      <c r="G318" s="3" t="s">
        <v>27</v>
      </c>
      <c r="H318" s="3" t="s">
        <v>45</v>
      </c>
      <c r="I318" s="3" t="s">
        <v>33</v>
      </c>
      <c r="J318" s="3" t="s">
        <v>47</v>
      </c>
      <c r="K318" s="3" t="s">
        <v>43</v>
      </c>
      <c r="L318" s="6">
        <v>496</v>
      </c>
      <c r="M318" s="3" t="s">
        <v>22</v>
      </c>
    </row>
    <row r="319" spans="1:13" x14ac:dyDescent="0.3">
      <c r="A319" s="11">
        <v>318</v>
      </c>
      <c r="B319" s="3" t="s">
        <v>12</v>
      </c>
      <c r="C319" s="5">
        <v>38</v>
      </c>
      <c r="D319" s="3" t="s">
        <v>48</v>
      </c>
      <c r="E319" s="3" t="s">
        <v>14</v>
      </c>
      <c r="F319" s="3" t="s">
        <v>15</v>
      </c>
      <c r="G319" s="3" t="s">
        <v>27</v>
      </c>
      <c r="H319" s="3" t="s">
        <v>17</v>
      </c>
      <c r="I319" s="3" t="s">
        <v>20</v>
      </c>
      <c r="J319" s="3" t="s">
        <v>30</v>
      </c>
      <c r="K319" s="3" t="s">
        <v>43</v>
      </c>
      <c r="L319" s="6">
        <v>452</v>
      </c>
      <c r="M319" s="3" t="s">
        <v>22</v>
      </c>
    </row>
    <row r="320" spans="1:13" x14ac:dyDescent="0.3">
      <c r="A320" s="11">
        <v>319</v>
      </c>
      <c r="B320" s="3" t="s">
        <v>23</v>
      </c>
      <c r="C320" s="5">
        <v>33</v>
      </c>
      <c r="D320" s="3" t="s">
        <v>31</v>
      </c>
      <c r="E320" s="3" t="s">
        <v>14</v>
      </c>
      <c r="F320" s="3" t="s">
        <v>15</v>
      </c>
      <c r="G320" s="3" t="s">
        <v>27</v>
      </c>
      <c r="H320" s="3" t="s">
        <v>28</v>
      </c>
      <c r="I320" s="3" t="s">
        <v>20</v>
      </c>
      <c r="J320" s="3" t="s">
        <v>30</v>
      </c>
      <c r="K320" s="3" t="s">
        <v>43</v>
      </c>
      <c r="L320" s="6">
        <v>-33</v>
      </c>
      <c r="M320" s="3" t="s">
        <v>35</v>
      </c>
    </row>
    <row r="321" spans="1:13" x14ac:dyDescent="0.3">
      <c r="A321" s="11">
        <v>320</v>
      </c>
      <c r="B321" s="3" t="s">
        <v>12</v>
      </c>
      <c r="C321" s="5">
        <v>63</v>
      </c>
      <c r="D321" s="3" t="s">
        <v>52</v>
      </c>
      <c r="E321" s="3" t="s">
        <v>25</v>
      </c>
      <c r="F321" s="3" t="s">
        <v>32</v>
      </c>
      <c r="G321" s="3" t="s">
        <v>27</v>
      </c>
      <c r="H321" s="3" t="s">
        <v>28</v>
      </c>
      <c r="I321" s="3" t="s">
        <v>38</v>
      </c>
      <c r="J321" s="3" t="s">
        <v>30</v>
      </c>
      <c r="K321" s="3" t="s">
        <v>43</v>
      </c>
      <c r="L321" s="6">
        <v>12</v>
      </c>
      <c r="M321" s="3" t="s">
        <v>22</v>
      </c>
    </row>
    <row r="322" spans="1:13" x14ac:dyDescent="0.3">
      <c r="A322" s="11">
        <v>321</v>
      </c>
      <c r="B322" s="3" t="s">
        <v>23</v>
      </c>
      <c r="C322" s="5">
        <v>51</v>
      </c>
      <c r="D322" s="3" t="s">
        <v>31</v>
      </c>
      <c r="E322" s="3" t="s">
        <v>25</v>
      </c>
      <c r="F322" s="3" t="s">
        <v>32</v>
      </c>
      <c r="G322" s="3" t="s">
        <v>27</v>
      </c>
      <c r="H322" s="3" t="s">
        <v>45</v>
      </c>
      <c r="I322" s="3" t="s">
        <v>20</v>
      </c>
      <c r="J322" s="3" t="s">
        <v>42</v>
      </c>
      <c r="K322" s="3" t="s">
        <v>43</v>
      </c>
      <c r="L322" s="6">
        <v>601</v>
      </c>
      <c r="M322" s="3" t="s">
        <v>44</v>
      </c>
    </row>
    <row r="323" spans="1:13" x14ac:dyDescent="0.3">
      <c r="A323" s="11">
        <v>322</v>
      </c>
      <c r="B323" s="3" t="s">
        <v>23</v>
      </c>
      <c r="C323" s="5">
        <v>43</v>
      </c>
      <c r="D323" s="3" t="s">
        <v>31</v>
      </c>
      <c r="E323" s="3" t="s">
        <v>14</v>
      </c>
      <c r="F323" s="3" t="s">
        <v>32</v>
      </c>
      <c r="G323" s="3" t="s">
        <v>16</v>
      </c>
      <c r="H323" s="3" t="s">
        <v>45</v>
      </c>
      <c r="I323" s="3" t="s">
        <v>20</v>
      </c>
      <c r="J323" s="3" t="s">
        <v>46</v>
      </c>
      <c r="K323" s="3" t="s">
        <v>43</v>
      </c>
      <c r="L323" s="6">
        <v>479</v>
      </c>
      <c r="M323" s="3" t="s">
        <v>22</v>
      </c>
    </row>
    <row r="324" spans="1:13" x14ac:dyDescent="0.3">
      <c r="A324" s="11">
        <v>323</v>
      </c>
      <c r="B324" s="3" t="s">
        <v>12</v>
      </c>
      <c r="C324" s="5">
        <v>44</v>
      </c>
      <c r="D324" s="3" t="s">
        <v>36</v>
      </c>
      <c r="E324" s="3" t="s">
        <v>25</v>
      </c>
      <c r="F324" s="3" t="s">
        <v>32</v>
      </c>
      <c r="G324" s="3" t="s">
        <v>27</v>
      </c>
      <c r="H324" s="3" t="s">
        <v>49</v>
      </c>
      <c r="I324" s="3" t="s">
        <v>33</v>
      </c>
      <c r="J324" s="3" t="s">
        <v>30</v>
      </c>
      <c r="K324" s="3" t="s">
        <v>43</v>
      </c>
      <c r="L324" s="6">
        <v>675</v>
      </c>
      <c r="M324" s="3" t="s">
        <v>44</v>
      </c>
    </row>
    <row r="325" spans="1:13" x14ac:dyDescent="0.3">
      <c r="A325" s="11">
        <v>324</v>
      </c>
      <c r="B325" s="3" t="s">
        <v>12</v>
      </c>
      <c r="C325" s="5">
        <v>30</v>
      </c>
      <c r="D325" s="3" t="s">
        <v>51</v>
      </c>
      <c r="E325" s="3" t="s">
        <v>25</v>
      </c>
      <c r="F325" s="3" t="s">
        <v>32</v>
      </c>
      <c r="G325" s="3" t="s">
        <v>27</v>
      </c>
      <c r="H325" s="3" t="s">
        <v>28</v>
      </c>
      <c r="I325" s="3" t="s">
        <v>20</v>
      </c>
      <c r="J325" s="3" t="s">
        <v>46</v>
      </c>
      <c r="K325" s="3" t="s">
        <v>43</v>
      </c>
      <c r="L325" s="6">
        <v>0</v>
      </c>
      <c r="M325" s="3" t="s">
        <v>40</v>
      </c>
    </row>
    <row r="326" spans="1:13" x14ac:dyDescent="0.3">
      <c r="A326" s="11">
        <v>325</v>
      </c>
      <c r="B326" s="3" t="s">
        <v>23</v>
      </c>
      <c r="C326" s="5">
        <v>42</v>
      </c>
      <c r="D326" s="3" t="s">
        <v>51</v>
      </c>
      <c r="E326" s="3" t="s">
        <v>25</v>
      </c>
      <c r="F326" s="3" t="s">
        <v>32</v>
      </c>
      <c r="G326" s="3" t="s">
        <v>27</v>
      </c>
      <c r="H326" s="3" t="s">
        <v>28</v>
      </c>
      <c r="I326" s="3" t="s">
        <v>29</v>
      </c>
      <c r="J326" s="3" t="s">
        <v>21</v>
      </c>
      <c r="K326" s="3" t="s">
        <v>43</v>
      </c>
      <c r="L326" s="6">
        <v>188</v>
      </c>
      <c r="M326" s="3" t="s">
        <v>44</v>
      </c>
    </row>
    <row r="327" spans="1:13" x14ac:dyDescent="0.3">
      <c r="A327" s="11">
        <v>326</v>
      </c>
      <c r="B327" s="3" t="s">
        <v>12</v>
      </c>
      <c r="C327" s="5">
        <v>62</v>
      </c>
      <c r="D327" s="3" t="s">
        <v>13</v>
      </c>
      <c r="E327" s="3" t="s">
        <v>25</v>
      </c>
      <c r="F327" s="3" t="s">
        <v>15</v>
      </c>
      <c r="G327" s="3" t="s">
        <v>27</v>
      </c>
      <c r="H327" s="3" t="s">
        <v>28</v>
      </c>
      <c r="I327" s="3" t="s">
        <v>29</v>
      </c>
      <c r="J327" s="3" t="s">
        <v>39</v>
      </c>
      <c r="K327" s="3" t="s">
        <v>43</v>
      </c>
      <c r="L327" s="6">
        <v>17</v>
      </c>
      <c r="M327" s="3" t="s">
        <v>44</v>
      </c>
    </row>
    <row r="328" spans="1:13" x14ac:dyDescent="0.3">
      <c r="A328" s="11">
        <v>327</v>
      </c>
      <c r="B328" s="3" t="s">
        <v>12</v>
      </c>
      <c r="C328" s="5">
        <v>38</v>
      </c>
      <c r="D328" s="3" t="s">
        <v>24</v>
      </c>
      <c r="E328" s="3" t="s">
        <v>25</v>
      </c>
      <c r="F328" s="3" t="s">
        <v>32</v>
      </c>
      <c r="G328" s="3" t="s">
        <v>27</v>
      </c>
      <c r="H328" s="3" t="s">
        <v>28</v>
      </c>
      <c r="I328" s="3" t="s">
        <v>20</v>
      </c>
      <c r="J328" s="3" t="s">
        <v>21</v>
      </c>
      <c r="K328" s="3" t="s">
        <v>18</v>
      </c>
      <c r="L328" s="6">
        <v>-37</v>
      </c>
      <c r="M328" s="3" t="s">
        <v>35</v>
      </c>
    </row>
    <row r="329" spans="1:13" x14ac:dyDescent="0.3">
      <c r="A329" s="11">
        <v>328</v>
      </c>
      <c r="B329" s="3" t="s">
        <v>23</v>
      </c>
      <c r="C329" s="5">
        <v>54</v>
      </c>
      <c r="D329" s="3" t="s">
        <v>31</v>
      </c>
      <c r="E329" s="3" t="s">
        <v>25</v>
      </c>
      <c r="F329" s="3" t="s">
        <v>41</v>
      </c>
      <c r="G329" s="3" t="s">
        <v>27</v>
      </c>
      <c r="H329" s="3" t="s">
        <v>28</v>
      </c>
      <c r="I329" s="3" t="s">
        <v>20</v>
      </c>
      <c r="J329" s="3" t="s">
        <v>47</v>
      </c>
      <c r="K329" s="3" t="s">
        <v>43</v>
      </c>
      <c r="L329" s="6">
        <v>69</v>
      </c>
      <c r="M329" s="3" t="s">
        <v>44</v>
      </c>
    </row>
    <row r="330" spans="1:13" x14ac:dyDescent="0.3">
      <c r="A330" s="11">
        <v>329</v>
      </c>
      <c r="B330" s="3" t="s">
        <v>12</v>
      </c>
      <c r="C330" s="5">
        <v>52</v>
      </c>
      <c r="D330" s="3" t="s">
        <v>51</v>
      </c>
      <c r="E330" s="3" t="s">
        <v>25</v>
      </c>
      <c r="F330" s="3" t="s">
        <v>32</v>
      </c>
      <c r="G330" s="3" t="s">
        <v>27</v>
      </c>
      <c r="H330" s="3" t="s">
        <v>49</v>
      </c>
      <c r="I330" s="3" t="s">
        <v>29</v>
      </c>
      <c r="J330" s="3" t="s">
        <v>21</v>
      </c>
      <c r="K330" s="3" t="s">
        <v>43</v>
      </c>
      <c r="L330" s="6">
        <v>488</v>
      </c>
      <c r="M330" s="3" t="s">
        <v>40</v>
      </c>
    </row>
    <row r="331" spans="1:13" x14ac:dyDescent="0.3">
      <c r="A331" s="11">
        <v>330</v>
      </c>
      <c r="B331" s="3" t="s">
        <v>12</v>
      </c>
      <c r="C331" s="5">
        <v>38</v>
      </c>
      <c r="D331" s="3" t="s">
        <v>36</v>
      </c>
      <c r="E331" s="3" t="s">
        <v>25</v>
      </c>
      <c r="F331" s="3" t="s">
        <v>32</v>
      </c>
      <c r="G331" s="3" t="s">
        <v>27</v>
      </c>
      <c r="H331" s="3" t="s">
        <v>28</v>
      </c>
      <c r="I331" s="3" t="s">
        <v>29</v>
      </c>
      <c r="J331" s="3" t="s">
        <v>39</v>
      </c>
      <c r="K331" s="3" t="s">
        <v>43</v>
      </c>
      <c r="L331" s="6">
        <v>-20</v>
      </c>
      <c r="M331" s="3" t="s">
        <v>35</v>
      </c>
    </row>
    <row r="332" spans="1:13" x14ac:dyDescent="0.3">
      <c r="A332" s="11">
        <v>331</v>
      </c>
      <c r="B332" s="3" t="s">
        <v>12</v>
      </c>
      <c r="C332" s="5">
        <v>55</v>
      </c>
      <c r="D332" s="3" t="s">
        <v>50</v>
      </c>
      <c r="E332" s="3" t="s">
        <v>25</v>
      </c>
      <c r="F332" s="3" t="s">
        <v>32</v>
      </c>
      <c r="G332" s="3" t="s">
        <v>16</v>
      </c>
      <c r="H332" s="3" t="s">
        <v>17</v>
      </c>
      <c r="I332" s="3" t="s">
        <v>29</v>
      </c>
      <c r="J332" s="3" t="s">
        <v>46</v>
      </c>
      <c r="K332" s="3" t="s">
        <v>18</v>
      </c>
      <c r="L332" s="6">
        <v>198</v>
      </c>
      <c r="M332" s="3" t="s">
        <v>44</v>
      </c>
    </row>
    <row r="333" spans="1:13" x14ac:dyDescent="0.3">
      <c r="A333" s="11">
        <v>332</v>
      </c>
      <c r="B333" s="3" t="s">
        <v>12</v>
      </c>
      <c r="C333" s="5">
        <v>43</v>
      </c>
      <c r="D333" s="3" t="s">
        <v>36</v>
      </c>
      <c r="E333" s="3" t="s">
        <v>25</v>
      </c>
      <c r="F333" s="3" t="s">
        <v>32</v>
      </c>
      <c r="G333" s="3" t="s">
        <v>27</v>
      </c>
      <c r="H333" s="3" t="s">
        <v>28</v>
      </c>
      <c r="I333" s="3" t="s">
        <v>33</v>
      </c>
      <c r="J333" s="3" t="s">
        <v>39</v>
      </c>
      <c r="K333" s="3" t="s">
        <v>43</v>
      </c>
      <c r="L333" s="6">
        <v>39</v>
      </c>
      <c r="M333" s="3" t="s">
        <v>22</v>
      </c>
    </row>
    <row r="334" spans="1:13" x14ac:dyDescent="0.3">
      <c r="A334" s="11">
        <v>333</v>
      </c>
      <c r="B334" s="3" t="s">
        <v>12</v>
      </c>
      <c r="C334" s="5">
        <v>25</v>
      </c>
      <c r="D334" s="3" t="s">
        <v>36</v>
      </c>
      <c r="E334" s="3" t="s">
        <v>25</v>
      </c>
      <c r="F334" s="3" t="s">
        <v>32</v>
      </c>
      <c r="G334" s="3" t="s">
        <v>16</v>
      </c>
      <c r="H334" s="3" t="s">
        <v>28</v>
      </c>
      <c r="I334" s="3" t="s">
        <v>20</v>
      </c>
      <c r="J334" s="3" t="s">
        <v>42</v>
      </c>
      <c r="K334" s="3" t="s">
        <v>43</v>
      </c>
      <c r="L334" s="6">
        <v>-31</v>
      </c>
      <c r="M334" s="3" t="s">
        <v>35</v>
      </c>
    </row>
    <row r="335" spans="1:13" x14ac:dyDescent="0.3">
      <c r="A335" s="11">
        <v>334</v>
      </c>
      <c r="B335" s="3" t="s">
        <v>23</v>
      </c>
      <c r="C335" s="5">
        <v>36</v>
      </c>
      <c r="D335" s="3" t="s">
        <v>24</v>
      </c>
      <c r="E335" s="3" t="s">
        <v>25</v>
      </c>
      <c r="F335" s="3" t="s">
        <v>32</v>
      </c>
      <c r="G335" s="3" t="s">
        <v>27</v>
      </c>
      <c r="H335" s="3" t="s">
        <v>28</v>
      </c>
      <c r="I335" s="3" t="s">
        <v>20</v>
      </c>
      <c r="J335" s="3" t="s">
        <v>46</v>
      </c>
      <c r="K335" s="3" t="s">
        <v>43</v>
      </c>
      <c r="L335" s="6">
        <v>-19</v>
      </c>
      <c r="M335" s="3" t="s">
        <v>44</v>
      </c>
    </row>
    <row r="336" spans="1:13" x14ac:dyDescent="0.3">
      <c r="A336" s="11">
        <v>335</v>
      </c>
      <c r="B336" s="3" t="s">
        <v>12</v>
      </c>
      <c r="C336" s="5">
        <v>53</v>
      </c>
      <c r="D336" s="3" t="s">
        <v>36</v>
      </c>
      <c r="E336" s="3" t="s">
        <v>14</v>
      </c>
      <c r="F336" s="3" t="s">
        <v>32</v>
      </c>
      <c r="G336" s="3" t="s">
        <v>27</v>
      </c>
      <c r="H336" s="3" t="s">
        <v>17</v>
      </c>
      <c r="I336" s="3" t="s">
        <v>20</v>
      </c>
      <c r="J336" s="3" t="s">
        <v>46</v>
      </c>
      <c r="K336" s="3" t="s">
        <v>18</v>
      </c>
      <c r="L336" s="6">
        <v>-17</v>
      </c>
      <c r="M336" s="3" t="s">
        <v>22</v>
      </c>
    </row>
    <row r="337" spans="1:13" x14ac:dyDescent="0.3">
      <c r="A337" s="11">
        <v>336</v>
      </c>
      <c r="B337" s="3" t="s">
        <v>23</v>
      </c>
      <c r="C337" s="5">
        <v>28</v>
      </c>
      <c r="D337" s="3" t="s">
        <v>51</v>
      </c>
      <c r="E337" s="3" t="s">
        <v>25</v>
      </c>
      <c r="F337" s="3" t="s">
        <v>26</v>
      </c>
      <c r="G337" s="3" t="s">
        <v>27</v>
      </c>
      <c r="H337" s="3" t="s">
        <v>28</v>
      </c>
      <c r="I337" s="3" t="s">
        <v>20</v>
      </c>
      <c r="J337" s="3" t="s">
        <v>34</v>
      </c>
      <c r="K337" s="3" t="s">
        <v>43</v>
      </c>
      <c r="L337" s="6">
        <v>40</v>
      </c>
      <c r="M337" s="3" t="s">
        <v>44</v>
      </c>
    </row>
    <row r="338" spans="1:13" x14ac:dyDescent="0.3">
      <c r="A338" s="11">
        <v>337</v>
      </c>
      <c r="B338" s="3" t="s">
        <v>12</v>
      </c>
      <c r="C338" s="5">
        <v>32</v>
      </c>
      <c r="D338" s="3" t="s">
        <v>31</v>
      </c>
      <c r="E338" s="3" t="s">
        <v>25</v>
      </c>
      <c r="F338" s="3" t="s">
        <v>32</v>
      </c>
      <c r="G338" s="3" t="s">
        <v>27</v>
      </c>
      <c r="H338" s="3" t="s">
        <v>28</v>
      </c>
      <c r="I338" s="3" t="s">
        <v>20</v>
      </c>
      <c r="J338" s="3" t="s">
        <v>42</v>
      </c>
      <c r="K338" s="3" t="s">
        <v>43</v>
      </c>
      <c r="L338" s="6">
        <v>-74</v>
      </c>
      <c r="M338" s="3" t="s">
        <v>44</v>
      </c>
    </row>
    <row r="339" spans="1:13" x14ac:dyDescent="0.3">
      <c r="A339" s="11">
        <v>338</v>
      </c>
      <c r="B339" s="3" t="s">
        <v>12</v>
      </c>
      <c r="C339" s="5">
        <v>40</v>
      </c>
      <c r="D339" s="3" t="s">
        <v>36</v>
      </c>
      <c r="E339" s="3" t="s">
        <v>25</v>
      </c>
      <c r="F339" s="3" t="s">
        <v>32</v>
      </c>
      <c r="G339" s="3" t="s">
        <v>27</v>
      </c>
      <c r="H339" s="3" t="s">
        <v>28</v>
      </c>
      <c r="I339" s="3" t="s">
        <v>33</v>
      </c>
      <c r="J339" s="3" t="s">
        <v>46</v>
      </c>
      <c r="K339" s="3" t="s">
        <v>43</v>
      </c>
      <c r="L339" s="6">
        <v>-21</v>
      </c>
      <c r="M339" s="3" t="s">
        <v>35</v>
      </c>
    </row>
    <row r="340" spans="1:13" x14ac:dyDescent="0.3">
      <c r="A340" s="11">
        <v>339</v>
      </c>
      <c r="B340" s="3" t="s">
        <v>23</v>
      </c>
      <c r="C340" s="5">
        <v>57</v>
      </c>
      <c r="D340" s="3" t="s">
        <v>51</v>
      </c>
      <c r="E340" s="3" t="s">
        <v>14</v>
      </c>
      <c r="F340" s="3" t="s">
        <v>15</v>
      </c>
      <c r="G340" s="3" t="s">
        <v>27</v>
      </c>
      <c r="H340" s="3" t="s">
        <v>28</v>
      </c>
      <c r="I340" s="3" t="s">
        <v>20</v>
      </c>
      <c r="J340" s="3" t="s">
        <v>47</v>
      </c>
      <c r="K340" s="3" t="s">
        <v>43</v>
      </c>
      <c r="L340" s="6">
        <v>56</v>
      </c>
      <c r="M340" s="3" t="s">
        <v>44</v>
      </c>
    </row>
    <row r="341" spans="1:13" x14ac:dyDescent="0.3">
      <c r="A341" s="11">
        <v>340</v>
      </c>
      <c r="B341" s="3" t="s">
        <v>23</v>
      </c>
      <c r="C341" s="5">
        <v>27</v>
      </c>
      <c r="D341" s="3" t="s">
        <v>36</v>
      </c>
      <c r="E341" s="3" t="s">
        <v>25</v>
      </c>
      <c r="F341" s="3" t="s">
        <v>15</v>
      </c>
      <c r="G341" s="3" t="s">
        <v>27</v>
      </c>
      <c r="H341" s="3" t="s">
        <v>28</v>
      </c>
      <c r="I341" s="3" t="s">
        <v>33</v>
      </c>
      <c r="J341" s="3" t="s">
        <v>30</v>
      </c>
      <c r="K341" s="3" t="s">
        <v>43</v>
      </c>
      <c r="L341" s="6">
        <v>95</v>
      </c>
      <c r="M341" s="3" t="s">
        <v>35</v>
      </c>
    </row>
    <row r="342" spans="1:13" x14ac:dyDescent="0.3">
      <c r="A342" s="11">
        <v>341</v>
      </c>
      <c r="B342" s="3" t="s">
        <v>23</v>
      </c>
      <c r="C342" s="5">
        <v>38</v>
      </c>
      <c r="D342" s="3" t="s">
        <v>36</v>
      </c>
      <c r="E342" s="3" t="s">
        <v>25</v>
      </c>
      <c r="F342" s="3" t="s">
        <v>32</v>
      </c>
      <c r="G342" s="3" t="s">
        <v>27</v>
      </c>
      <c r="H342" s="3" t="s">
        <v>17</v>
      </c>
      <c r="I342" s="3" t="s">
        <v>38</v>
      </c>
      <c r="J342" s="3" t="s">
        <v>34</v>
      </c>
      <c r="K342" s="3" t="s">
        <v>43</v>
      </c>
      <c r="L342" s="6">
        <v>165</v>
      </c>
      <c r="M342" s="3" t="s">
        <v>44</v>
      </c>
    </row>
    <row r="343" spans="1:13" x14ac:dyDescent="0.3">
      <c r="A343" s="11">
        <v>342</v>
      </c>
      <c r="B343" s="3" t="s">
        <v>12</v>
      </c>
      <c r="C343" s="5">
        <v>28</v>
      </c>
      <c r="D343" s="3" t="s">
        <v>36</v>
      </c>
      <c r="E343" s="3" t="s">
        <v>25</v>
      </c>
      <c r="F343" s="3" t="s">
        <v>15</v>
      </c>
      <c r="G343" s="3" t="s">
        <v>16</v>
      </c>
      <c r="H343" s="3" t="s">
        <v>17</v>
      </c>
      <c r="I343" s="3" t="s">
        <v>20</v>
      </c>
      <c r="J343" s="3" t="s">
        <v>30</v>
      </c>
      <c r="K343" s="3" t="s">
        <v>18</v>
      </c>
      <c r="L343" s="6">
        <v>354</v>
      </c>
      <c r="M343" s="3" t="s">
        <v>44</v>
      </c>
    </row>
    <row r="344" spans="1:13" x14ac:dyDescent="0.3">
      <c r="A344" s="11">
        <v>343</v>
      </c>
      <c r="B344" s="3" t="s">
        <v>12</v>
      </c>
      <c r="C344" s="5">
        <v>52</v>
      </c>
      <c r="D344" s="3" t="s">
        <v>13</v>
      </c>
      <c r="E344" s="3" t="s">
        <v>25</v>
      </c>
      <c r="F344" s="3" t="s">
        <v>32</v>
      </c>
      <c r="G344" s="3" t="s">
        <v>27</v>
      </c>
      <c r="H344" s="3" t="s">
        <v>28</v>
      </c>
      <c r="I344" s="3" t="s">
        <v>33</v>
      </c>
      <c r="J344" s="3" t="s">
        <v>34</v>
      </c>
      <c r="K344" s="3" t="s">
        <v>18</v>
      </c>
      <c r="L344" s="6">
        <v>148</v>
      </c>
      <c r="M344" s="3" t="s">
        <v>44</v>
      </c>
    </row>
    <row r="345" spans="1:13" x14ac:dyDescent="0.3">
      <c r="A345" s="11">
        <v>344</v>
      </c>
      <c r="B345" s="3" t="s">
        <v>12</v>
      </c>
      <c r="C345" s="5">
        <v>39</v>
      </c>
      <c r="D345" s="3" t="s">
        <v>31</v>
      </c>
      <c r="E345" s="3" t="s">
        <v>25</v>
      </c>
      <c r="F345" s="3" t="s">
        <v>32</v>
      </c>
      <c r="G345" s="3" t="s">
        <v>27</v>
      </c>
      <c r="H345" s="3" t="s">
        <v>28</v>
      </c>
      <c r="I345" s="3" t="s">
        <v>29</v>
      </c>
      <c r="J345" s="3" t="s">
        <v>21</v>
      </c>
      <c r="K345" s="3" t="s">
        <v>43</v>
      </c>
      <c r="L345" s="6">
        <v>116</v>
      </c>
      <c r="M345" s="3" t="s">
        <v>44</v>
      </c>
    </row>
    <row r="346" spans="1:13" x14ac:dyDescent="0.3">
      <c r="A346" s="11">
        <v>345</v>
      </c>
      <c r="B346" s="3" t="s">
        <v>23</v>
      </c>
      <c r="C346" s="5">
        <v>36</v>
      </c>
      <c r="D346" s="3" t="s">
        <v>31</v>
      </c>
      <c r="E346" s="3" t="s">
        <v>25</v>
      </c>
      <c r="F346" s="3" t="s">
        <v>37</v>
      </c>
      <c r="G346" s="3" t="s">
        <v>27</v>
      </c>
      <c r="H346" s="3" t="s">
        <v>45</v>
      </c>
      <c r="I346" s="3" t="s">
        <v>20</v>
      </c>
      <c r="J346" s="3" t="s">
        <v>47</v>
      </c>
      <c r="K346" s="3" t="s">
        <v>43</v>
      </c>
      <c r="L346" s="6">
        <v>468</v>
      </c>
      <c r="M346" s="3" t="s">
        <v>22</v>
      </c>
    </row>
    <row r="347" spans="1:13" x14ac:dyDescent="0.3">
      <c r="A347" s="11">
        <v>346</v>
      </c>
      <c r="B347" s="3" t="s">
        <v>12</v>
      </c>
      <c r="C347" s="5">
        <v>38</v>
      </c>
      <c r="D347" s="3" t="s">
        <v>31</v>
      </c>
      <c r="E347" s="3" t="s">
        <v>25</v>
      </c>
      <c r="F347" s="3" t="s">
        <v>32</v>
      </c>
      <c r="G347" s="3" t="s">
        <v>27</v>
      </c>
      <c r="H347" s="3" t="s">
        <v>45</v>
      </c>
      <c r="I347" s="3" t="s">
        <v>29</v>
      </c>
      <c r="J347" s="3" t="s">
        <v>47</v>
      </c>
      <c r="K347" s="3" t="s">
        <v>43</v>
      </c>
      <c r="L347" s="6">
        <v>288</v>
      </c>
      <c r="M347" s="3" t="s">
        <v>44</v>
      </c>
    </row>
    <row r="348" spans="1:13" x14ac:dyDescent="0.3">
      <c r="A348" s="11">
        <v>347</v>
      </c>
      <c r="B348" s="3" t="s">
        <v>23</v>
      </c>
      <c r="C348" s="5">
        <v>41</v>
      </c>
      <c r="D348" s="3" t="s">
        <v>51</v>
      </c>
      <c r="E348" s="3" t="s">
        <v>14</v>
      </c>
      <c r="F348" s="3" t="s">
        <v>32</v>
      </c>
      <c r="G348" s="3" t="s">
        <v>27</v>
      </c>
      <c r="H348" s="3" t="s">
        <v>49</v>
      </c>
      <c r="I348" s="3" t="s">
        <v>29</v>
      </c>
      <c r="J348" s="3" t="s">
        <v>46</v>
      </c>
      <c r="K348" s="3" t="s">
        <v>43</v>
      </c>
      <c r="L348" s="6">
        <v>1271</v>
      </c>
      <c r="M348" s="3" t="s">
        <v>22</v>
      </c>
    </row>
    <row r="349" spans="1:13" x14ac:dyDescent="0.3">
      <c r="A349" s="11">
        <v>348</v>
      </c>
      <c r="B349" s="3" t="s">
        <v>12</v>
      </c>
      <c r="C349" s="5">
        <v>27</v>
      </c>
      <c r="D349" s="3" t="s">
        <v>31</v>
      </c>
      <c r="E349" s="3" t="s">
        <v>25</v>
      </c>
      <c r="F349" s="3" t="s">
        <v>41</v>
      </c>
      <c r="G349" s="3" t="s">
        <v>27</v>
      </c>
      <c r="H349" s="3" t="s">
        <v>49</v>
      </c>
      <c r="I349" s="3" t="s">
        <v>20</v>
      </c>
      <c r="J349" s="3" t="s">
        <v>46</v>
      </c>
      <c r="K349" s="3" t="s">
        <v>43</v>
      </c>
      <c r="L349" s="6">
        <v>690</v>
      </c>
      <c r="M349" s="3" t="s">
        <v>44</v>
      </c>
    </row>
    <row r="350" spans="1:13" x14ac:dyDescent="0.3">
      <c r="A350" s="11">
        <v>349</v>
      </c>
      <c r="B350" s="3" t="s">
        <v>12</v>
      </c>
      <c r="C350" s="5">
        <v>32</v>
      </c>
      <c r="D350" s="3" t="s">
        <v>51</v>
      </c>
      <c r="E350" s="3" t="s">
        <v>25</v>
      </c>
      <c r="F350" s="3" t="s">
        <v>32</v>
      </c>
      <c r="G350" s="3" t="s">
        <v>16</v>
      </c>
      <c r="H350" s="3" t="s">
        <v>28</v>
      </c>
      <c r="I350" s="3" t="s">
        <v>20</v>
      </c>
      <c r="J350" s="3" t="s">
        <v>34</v>
      </c>
      <c r="K350" s="3" t="s">
        <v>18</v>
      </c>
      <c r="L350" s="6">
        <v>-59</v>
      </c>
      <c r="M350" s="3" t="s">
        <v>40</v>
      </c>
    </row>
    <row r="351" spans="1:13" x14ac:dyDescent="0.3">
      <c r="A351" s="11">
        <v>350</v>
      </c>
      <c r="B351" s="3" t="s">
        <v>23</v>
      </c>
      <c r="C351" s="5">
        <v>39</v>
      </c>
      <c r="D351" s="3" t="s">
        <v>31</v>
      </c>
      <c r="E351" s="3" t="s">
        <v>25</v>
      </c>
      <c r="F351" s="3" t="s">
        <v>32</v>
      </c>
      <c r="G351" s="3" t="s">
        <v>27</v>
      </c>
      <c r="H351" s="3" t="s">
        <v>28</v>
      </c>
      <c r="I351" s="3" t="s">
        <v>20</v>
      </c>
      <c r="J351" s="3" t="s">
        <v>34</v>
      </c>
      <c r="K351" s="3" t="s">
        <v>43</v>
      </c>
      <c r="L351" s="6">
        <v>141</v>
      </c>
      <c r="M351" s="3" t="s">
        <v>44</v>
      </c>
    </row>
    <row r="352" spans="1:13" x14ac:dyDescent="0.3">
      <c r="A352" s="11">
        <v>351</v>
      </c>
      <c r="B352" s="3" t="s">
        <v>12</v>
      </c>
      <c r="C352" s="5">
        <v>51</v>
      </c>
      <c r="D352" s="3" t="s">
        <v>36</v>
      </c>
      <c r="E352" s="3" t="s">
        <v>25</v>
      </c>
      <c r="F352" s="3" t="s">
        <v>32</v>
      </c>
      <c r="G352" s="3" t="s">
        <v>27</v>
      </c>
      <c r="H352" s="3" t="s">
        <v>49</v>
      </c>
      <c r="I352" s="3" t="s">
        <v>33</v>
      </c>
      <c r="J352" s="3" t="s">
        <v>46</v>
      </c>
      <c r="K352" s="3" t="s">
        <v>43</v>
      </c>
      <c r="L352" s="6">
        <v>704</v>
      </c>
      <c r="M352" s="3" t="s">
        <v>22</v>
      </c>
    </row>
    <row r="353" spans="1:13" x14ac:dyDescent="0.3">
      <c r="A353" s="11">
        <v>352</v>
      </c>
      <c r="B353" s="3" t="s">
        <v>12</v>
      </c>
      <c r="C353" s="5">
        <v>42</v>
      </c>
      <c r="D353" s="3" t="s">
        <v>51</v>
      </c>
      <c r="E353" s="3" t="s">
        <v>25</v>
      </c>
      <c r="F353" s="3" t="s">
        <v>32</v>
      </c>
      <c r="G353" s="3" t="s">
        <v>27</v>
      </c>
      <c r="H353" s="3" t="s">
        <v>28</v>
      </c>
      <c r="I353" s="3" t="s">
        <v>20</v>
      </c>
      <c r="J353" s="3" t="s">
        <v>21</v>
      </c>
      <c r="K353" s="3" t="s">
        <v>43</v>
      </c>
      <c r="L353" s="6">
        <v>0</v>
      </c>
      <c r="M353" s="3" t="s">
        <v>35</v>
      </c>
    </row>
    <row r="354" spans="1:13" x14ac:dyDescent="0.3">
      <c r="A354" s="11">
        <v>353</v>
      </c>
      <c r="B354" s="3" t="s">
        <v>12</v>
      </c>
      <c r="C354" s="5">
        <v>30</v>
      </c>
      <c r="D354" s="3" t="s">
        <v>31</v>
      </c>
      <c r="E354" s="3" t="s">
        <v>14</v>
      </c>
      <c r="F354" s="3" t="s">
        <v>32</v>
      </c>
      <c r="G354" s="3" t="s">
        <v>27</v>
      </c>
      <c r="H354" s="3" t="s">
        <v>28</v>
      </c>
      <c r="I354" s="3" t="s">
        <v>20</v>
      </c>
      <c r="J354" s="3" t="s">
        <v>30</v>
      </c>
      <c r="K354" s="3" t="s">
        <v>43</v>
      </c>
      <c r="L354" s="6">
        <v>-65</v>
      </c>
      <c r="M354" s="3" t="s">
        <v>44</v>
      </c>
    </row>
    <row r="355" spans="1:13" x14ac:dyDescent="0.3">
      <c r="A355" s="11">
        <v>354</v>
      </c>
      <c r="B355" s="3" t="s">
        <v>23</v>
      </c>
      <c r="C355" s="5">
        <v>24</v>
      </c>
      <c r="D355" s="3" t="s">
        <v>48</v>
      </c>
      <c r="E355" s="3" t="s">
        <v>14</v>
      </c>
      <c r="F355" s="3" t="s">
        <v>15</v>
      </c>
      <c r="G355" s="3" t="s">
        <v>16</v>
      </c>
      <c r="H355" s="3" t="s">
        <v>17</v>
      </c>
      <c r="I355" s="3" t="s">
        <v>20</v>
      </c>
      <c r="J355" s="3" t="s">
        <v>46</v>
      </c>
      <c r="K355" s="3" t="s">
        <v>43</v>
      </c>
      <c r="L355" s="6">
        <v>700</v>
      </c>
      <c r="M355" s="3" t="s">
        <v>44</v>
      </c>
    </row>
    <row r="356" spans="1:13" x14ac:dyDescent="0.3">
      <c r="A356" s="11">
        <v>355</v>
      </c>
      <c r="B356" s="3" t="s">
        <v>23</v>
      </c>
      <c r="C356" s="5">
        <v>33</v>
      </c>
      <c r="D356" s="3" t="s">
        <v>13</v>
      </c>
      <c r="E356" s="3" t="s">
        <v>14</v>
      </c>
      <c r="F356" s="3" t="s">
        <v>32</v>
      </c>
      <c r="G356" s="3" t="s">
        <v>27</v>
      </c>
      <c r="H356" s="3" t="s">
        <v>28</v>
      </c>
      <c r="I356" s="3" t="s">
        <v>20</v>
      </c>
      <c r="J356" s="3" t="s">
        <v>21</v>
      </c>
      <c r="K356" s="3" t="s">
        <v>43</v>
      </c>
      <c r="L356" s="6">
        <v>0</v>
      </c>
      <c r="M356" s="3" t="s">
        <v>40</v>
      </c>
    </row>
    <row r="357" spans="1:13" x14ac:dyDescent="0.3">
      <c r="A357" s="11">
        <v>356</v>
      </c>
      <c r="B357" s="3" t="s">
        <v>23</v>
      </c>
      <c r="C357" s="5">
        <v>61</v>
      </c>
      <c r="D357" s="3" t="s">
        <v>48</v>
      </c>
      <c r="E357" s="3" t="s">
        <v>25</v>
      </c>
      <c r="F357" s="3" t="s">
        <v>15</v>
      </c>
      <c r="G357" s="3" t="s">
        <v>27</v>
      </c>
      <c r="H357" s="3" t="s">
        <v>28</v>
      </c>
      <c r="I357" s="3" t="s">
        <v>33</v>
      </c>
      <c r="J357" s="3" t="s">
        <v>30</v>
      </c>
      <c r="K357" s="3" t="s">
        <v>43</v>
      </c>
      <c r="L357" s="6">
        <v>-21</v>
      </c>
      <c r="M357" s="3" t="s">
        <v>44</v>
      </c>
    </row>
    <row r="358" spans="1:13" x14ac:dyDescent="0.3">
      <c r="A358" s="11">
        <v>357</v>
      </c>
      <c r="B358" s="3" t="s">
        <v>23</v>
      </c>
      <c r="C358" s="5">
        <v>37</v>
      </c>
      <c r="D358" s="3" t="s">
        <v>48</v>
      </c>
      <c r="E358" s="3" t="s">
        <v>25</v>
      </c>
      <c r="F358" s="3" t="s">
        <v>32</v>
      </c>
      <c r="G358" s="3" t="s">
        <v>27</v>
      </c>
      <c r="H358" s="3" t="s">
        <v>28</v>
      </c>
      <c r="I358" s="3" t="s">
        <v>29</v>
      </c>
      <c r="J358" s="3" t="s">
        <v>39</v>
      </c>
      <c r="K358" s="3" t="s">
        <v>43</v>
      </c>
      <c r="L358" s="6">
        <v>96</v>
      </c>
      <c r="M358" s="3" t="s">
        <v>44</v>
      </c>
    </row>
    <row r="359" spans="1:13" x14ac:dyDescent="0.3">
      <c r="A359" s="11">
        <v>358</v>
      </c>
      <c r="B359" s="3" t="s">
        <v>12</v>
      </c>
      <c r="C359" s="5">
        <v>39</v>
      </c>
      <c r="D359" s="3" t="s">
        <v>24</v>
      </c>
      <c r="E359" s="3" t="s">
        <v>25</v>
      </c>
      <c r="F359" s="3" t="s">
        <v>32</v>
      </c>
      <c r="G359" s="3" t="s">
        <v>27</v>
      </c>
      <c r="H359" s="3" t="s">
        <v>28</v>
      </c>
      <c r="I359" s="3" t="s">
        <v>29</v>
      </c>
      <c r="J359" s="3" t="s">
        <v>39</v>
      </c>
      <c r="K359" s="3" t="s">
        <v>43</v>
      </c>
      <c r="L359" s="6">
        <v>-56</v>
      </c>
      <c r="M359" s="3" t="s">
        <v>40</v>
      </c>
    </row>
    <row r="360" spans="1:13" x14ac:dyDescent="0.3">
      <c r="A360" s="11">
        <v>359</v>
      </c>
      <c r="B360" s="3" t="s">
        <v>23</v>
      </c>
      <c r="C360" s="5">
        <v>23</v>
      </c>
      <c r="D360" s="3" t="s">
        <v>52</v>
      </c>
      <c r="E360" s="3" t="s">
        <v>25</v>
      </c>
      <c r="F360" s="3" t="s">
        <v>41</v>
      </c>
      <c r="G360" s="3" t="s">
        <v>27</v>
      </c>
      <c r="H360" s="3" t="s">
        <v>28</v>
      </c>
      <c r="I360" s="3" t="s">
        <v>20</v>
      </c>
      <c r="J360" s="3" t="s">
        <v>42</v>
      </c>
      <c r="K360" s="3" t="s">
        <v>43</v>
      </c>
      <c r="L360" s="6">
        <v>-74</v>
      </c>
      <c r="M360" s="3" t="s">
        <v>40</v>
      </c>
    </row>
    <row r="361" spans="1:13" x14ac:dyDescent="0.3">
      <c r="A361" s="11">
        <v>360</v>
      </c>
      <c r="B361" s="3" t="s">
        <v>23</v>
      </c>
      <c r="C361" s="5">
        <v>55</v>
      </c>
      <c r="D361" s="3" t="s">
        <v>13</v>
      </c>
      <c r="E361" s="3" t="s">
        <v>25</v>
      </c>
      <c r="F361" s="3" t="s">
        <v>32</v>
      </c>
      <c r="G361" s="3" t="s">
        <v>27</v>
      </c>
      <c r="H361" s="3" t="s">
        <v>17</v>
      </c>
      <c r="I361" s="3" t="s">
        <v>38</v>
      </c>
      <c r="J361" s="3" t="s">
        <v>30</v>
      </c>
      <c r="K361" s="3" t="s">
        <v>43</v>
      </c>
      <c r="L361" s="6">
        <v>193</v>
      </c>
      <c r="M361" s="3" t="s">
        <v>44</v>
      </c>
    </row>
    <row r="362" spans="1:13" x14ac:dyDescent="0.3">
      <c r="A362" s="11">
        <v>361</v>
      </c>
      <c r="B362" s="3" t="s">
        <v>12</v>
      </c>
      <c r="C362" s="5">
        <v>43</v>
      </c>
      <c r="D362" s="3" t="s">
        <v>13</v>
      </c>
      <c r="E362" s="3" t="s">
        <v>14</v>
      </c>
      <c r="F362" s="3" t="s">
        <v>32</v>
      </c>
      <c r="G362" s="3" t="s">
        <v>27</v>
      </c>
      <c r="H362" s="3" t="s">
        <v>28</v>
      </c>
      <c r="I362" s="3" t="s">
        <v>20</v>
      </c>
      <c r="J362" s="3" t="s">
        <v>46</v>
      </c>
      <c r="K362" s="3" t="s">
        <v>43</v>
      </c>
      <c r="L362" s="6">
        <v>-31</v>
      </c>
      <c r="M362" s="3" t="s">
        <v>35</v>
      </c>
    </row>
    <row r="363" spans="1:13" x14ac:dyDescent="0.3">
      <c r="A363" s="11">
        <v>362</v>
      </c>
      <c r="B363" s="3" t="s">
        <v>12</v>
      </c>
      <c r="C363" s="5">
        <v>43</v>
      </c>
      <c r="D363" s="3" t="s">
        <v>48</v>
      </c>
      <c r="E363" s="3" t="s">
        <v>14</v>
      </c>
      <c r="F363" s="3" t="s">
        <v>32</v>
      </c>
      <c r="G363" s="3" t="s">
        <v>27</v>
      </c>
      <c r="H363" s="3" t="s">
        <v>28</v>
      </c>
      <c r="I363" s="3" t="s">
        <v>29</v>
      </c>
      <c r="J363" s="3" t="s">
        <v>39</v>
      </c>
      <c r="K363" s="3" t="s">
        <v>43</v>
      </c>
      <c r="L363" s="6">
        <v>-10</v>
      </c>
      <c r="M363" s="3" t="s">
        <v>22</v>
      </c>
    </row>
    <row r="364" spans="1:13" x14ac:dyDescent="0.3">
      <c r="A364" s="11">
        <v>363</v>
      </c>
      <c r="B364" s="3" t="s">
        <v>23</v>
      </c>
      <c r="C364" s="5">
        <v>50</v>
      </c>
      <c r="D364" s="3" t="s">
        <v>13</v>
      </c>
      <c r="E364" s="3" t="s">
        <v>25</v>
      </c>
      <c r="F364" s="3" t="s">
        <v>32</v>
      </c>
      <c r="G364" s="3" t="s">
        <v>27</v>
      </c>
      <c r="H364" s="3" t="s">
        <v>49</v>
      </c>
      <c r="I364" s="3" t="s">
        <v>20</v>
      </c>
      <c r="J364" s="3" t="s">
        <v>47</v>
      </c>
      <c r="K364" s="3" t="s">
        <v>43</v>
      </c>
      <c r="L364" s="6">
        <v>676</v>
      </c>
      <c r="M364" s="3" t="s">
        <v>22</v>
      </c>
    </row>
    <row r="365" spans="1:13" x14ac:dyDescent="0.3">
      <c r="A365" s="11">
        <v>364</v>
      </c>
      <c r="B365" s="3" t="s">
        <v>12</v>
      </c>
      <c r="C365" s="5">
        <v>43</v>
      </c>
      <c r="D365" s="3" t="s">
        <v>31</v>
      </c>
      <c r="E365" s="3" t="s">
        <v>14</v>
      </c>
      <c r="F365" s="3" t="s">
        <v>32</v>
      </c>
      <c r="G365" s="3" t="s">
        <v>27</v>
      </c>
      <c r="H365" s="3" t="s">
        <v>17</v>
      </c>
      <c r="I365" s="3" t="s">
        <v>20</v>
      </c>
      <c r="J365" s="3" t="s">
        <v>30</v>
      </c>
      <c r="K365" s="3" t="s">
        <v>18</v>
      </c>
      <c r="L365" s="6">
        <v>343</v>
      </c>
      <c r="M365" s="3" t="s">
        <v>22</v>
      </c>
    </row>
    <row r="366" spans="1:13" x14ac:dyDescent="0.3">
      <c r="A366" s="11">
        <v>365</v>
      </c>
      <c r="B366" s="3" t="s">
        <v>12</v>
      </c>
      <c r="C366" s="5">
        <v>49</v>
      </c>
      <c r="D366" s="3" t="s">
        <v>31</v>
      </c>
      <c r="E366" s="3" t="s">
        <v>25</v>
      </c>
      <c r="F366" s="3" t="s">
        <v>32</v>
      </c>
      <c r="G366" s="3" t="s">
        <v>27</v>
      </c>
      <c r="H366" s="3" t="s">
        <v>49</v>
      </c>
      <c r="I366" s="3" t="s">
        <v>20</v>
      </c>
      <c r="J366" s="3" t="s">
        <v>39</v>
      </c>
      <c r="K366" s="3" t="s">
        <v>43</v>
      </c>
      <c r="L366" s="6">
        <v>320</v>
      </c>
      <c r="M366" s="3" t="s">
        <v>35</v>
      </c>
    </row>
    <row r="367" spans="1:13" x14ac:dyDescent="0.3">
      <c r="A367" s="11">
        <v>366</v>
      </c>
      <c r="B367" s="3" t="s">
        <v>12</v>
      </c>
      <c r="C367" s="5">
        <v>63</v>
      </c>
      <c r="D367" s="3" t="s">
        <v>51</v>
      </c>
      <c r="E367" s="3" t="s">
        <v>25</v>
      </c>
      <c r="F367" s="3" t="s">
        <v>15</v>
      </c>
      <c r="G367" s="3" t="s">
        <v>27</v>
      </c>
      <c r="H367" s="3" t="s">
        <v>28</v>
      </c>
      <c r="I367" s="3" t="s">
        <v>33</v>
      </c>
      <c r="J367" s="3" t="s">
        <v>30</v>
      </c>
      <c r="K367" s="3" t="s">
        <v>43</v>
      </c>
      <c r="L367" s="6">
        <v>42</v>
      </c>
      <c r="M367" s="3" t="s">
        <v>44</v>
      </c>
    </row>
    <row r="368" spans="1:13" x14ac:dyDescent="0.3">
      <c r="A368" s="11">
        <v>367</v>
      </c>
      <c r="B368" s="3" t="s">
        <v>12</v>
      </c>
      <c r="C368" s="5">
        <v>33</v>
      </c>
      <c r="D368" s="3" t="s">
        <v>24</v>
      </c>
      <c r="E368" s="3" t="s">
        <v>25</v>
      </c>
      <c r="F368" s="3" t="s">
        <v>32</v>
      </c>
      <c r="G368" s="3" t="s">
        <v>27</v>
      </c>
      <c r="H368" s="3" t="s">
        <v>28</v>
      </c>
      <c r="I368" s="3" t="s">
        <v>20</v>
      </c>
      <c r="J368" s="3" t="s">
        <v>21</v>
      </c>
      <c r="K368" s="3" t="s">
        <v>43</v>
      </c>
      <c r="L368" s="6">
        <v>89</v>
      </c>
      <c r="M368" s="3" t="s">
        <v>22</v>
      </c>
    </row>
    <row r="369" spans="1:13" x14ac:dyDescent="0.3">
      <c r="A369" s="11">
        <v>368</v>
      </c>
      <c r="B369" s="3" t="s">
        <v>23</v>
      </c>
      <c r="C369" s="5">
        <v>35</v>
      </c>
      <c r="D369" s="3" t="s">
        <v>48</v>
      </c>
      <c r="E369" s="3" t="s">
        <v>25</v>
      </c>
      <c r="F369" s="3" t="s">
        <v>32</v>
      </c>
      <c r="G369" s="3" t="s">
        <v>16</v>
      </c>
      <c r="H369" s="3" t="s">
        <v>17</v>
      </c>
      <c r="I369" s="3" t="s">
        <v>29</v>
      </c>
      <c r="J369" s="3" t="s">
        <v>46</v>
      </c>
      <c r="K369" s="3" t="s">
        <v>43</v>
      </c>
      <c r="L369" s="6">
        <v>434</v>
      </c>
      <c r="M369" s="3" t="s">
        <v>22</v>
      </c>
    </row>
    <row r="370" spans="1:13" x14ac:dyDescent="0.3">
      <c r="A370" s="11">
        <v>369</v>
      </c>
      <c r="B370" s="3" t="s">
        <v>12</v>
      </c>
      <c r="C370" s="5">
        <v>21</v>
      </c>
      <c r="D370" s="3" t="s">
        <v>31</v>
      </c>
      <c r="E370" s="3" t="s">
        <v>25</v>
      </c>
      <c r="F370" s="3" t="s">
        <v>37</v>
      </c>
      <c r="G370" s="3" t="s">
        <v>16</v>
      </c>
      <c r="H370" s="3" t="s">
        <v>45</v>
      </c>
      <c r="I370" s="3" t="s">
        <v>29</v>
      </c>
      <c r="J370" s="3" t="s">
        <v>46</v>
      </c>
      <c r="K370" s="3" t="s">
        <v>43</v>
      </c>
      <c r="L370" s="6">
        <v>729</v>
      </c>
      <c r="M370" s="3" t="s">
        <v>44</v>
      </c>
    </row>
    <row r="371" spans="1:13" x14ac:dyDescent="0.3">
      <c r="A371" s="11">
        <v>370</v>
      </c>
      <c r="B371" s="3" t="s">
        <v>12</v>
      </c>
      <c r="C371" s="5">
        <v>63</v>
      </c>
      <c r="D371" s="3" t="s">
        <v>31</v>
      </c>
      <c r="E371" s="3" t="s">
        <v>25</v>
      </c>
      <c r="F371" s="3" t="s">
        <v>32</v>
      </c>
      <c r="G371" s="3" t="s">
        <v>27</v>
      </c>
      <c r="H371" s="3" t="s">
        <v>28</v>
      </c>
      <c r="I371" s="3" t="s">
        <v>38</v>
      </c>
      <c r="J371" s="3" t="s">
        <v>30</v>
      </c>
      <c r="K371" s="3" t="s">
        <v>43</v>
      </c>
      <c r="L371" s="6">
        <v>29</v>
      </c>
      <c r="M371" s="3" t="s">
        <v>44</v>
      </c>
    </row>
    <row r="372" spans="1:13" x14ac:dyDescent="0.3">
      <c r="A372" s="11">
        <v>371</v>
      </c>
      <c r="B372" s="3" t="s">
        <v>12</v>
      </c>
      <c r="C372" s="5">
        <v>36</v>
      </c>
      <c r="D372" s="3" t="s">
        <v>13</v>
      </c>
      <c r="E372" s="3" t="s">
        <v>25</v>
      </c>
      <c r="F372" s="3" t="s">
        <v>32</v>
      </c>
      <c r="G372" s="3" t="s">
        <v>27</v>
      </c>
      <c r="H372" s="3" t="s">
        <v>17</v>
      </c>
      <c r="I372" s="3" t="s">
        <v>29</v>
      </c>
      <c r="J372" s="3" t="s">
        <v>42</v>
      </c>
      <c r="K372" s="3" t="s">
        <v>43</v>
      </c>
      <c r="L372" s="6">
        <v>344</v>
      </c>
      <c r="M372" s="3" t="s">
        <v>22</v>
      </c>
    </row>
    <row r="373" spans="1:13" x14ac:dyDescent="0.3">
      <c r="A373" s="11">
        <v>372</v>
      </c>
      <c r="B373" s="3" t="s">
        <v>12</v>
      </c>
      <c r="C373" s="5">
        <v>28</v>
      </c>
      <c r="D373" s="3" t="s">
        <v>51</v>
      </c>
      <c r="E373" s="3" t="s">
        <v>14</v>
      </c>
      <c r="F373" s="3" t="s">
        <v>32</v>
      </c>
      <c r="G373" s="3" t="s">
        <v>16</v>
      </c>
      <c r="H373" s="3" t="s">
        <v>28</v>
      </c>
      <c r="I373" s="3" t="s">
        <v>20</v>
      </c>
      <c r="J373" s="3" t="s">
        <v>42</v>
      </c>
      <c r="K373" s="3" t="s">
        <v>43</v>
      </c>
      <c r="L373" s="6">
        <v>100</v>
      </c>
      <c r="M373" s="3" t="s">
        <v>44</v>
      </c>
    </row>
    <row r="374" spans="1:13" x14ac:dyDescent="0.3">
      <c r="A374" s="11">
        <v>373</v>
      </c>
      <c r="B374" s="3" t="s">
        <v>12</v>
      </c>
      <c r="C374" s="5">
        <v>43</v>
      </c>
      <c r="D374" s="3" t="s">
        <v>36</v>
      </c>
      <c r="E374" s="3" t="s">
        <v>25</v>
      </c>
      <c r="F374" s="3" t="s">
        <v>32</v>
      </c>
      <c r="G374" s="3" t="s">
        <v>27</v>
      </c>
      <c r="H374" s="3" t="s">
        <v>28</v>
      </c>
      <c r="I374" s="3" t="s">
        <v>33</v>
      </c>
      <c r="J374" s="3" t="s">
        <v>46</v>
      </c>
      <c r="K374" s="3" t="s">
        <v>43</v>
      </c>
      <c r="L374" s="6">
        <v>39</v>
      </c>
      <c r="M374" s="3" t="s">
        <v>22</v>
      </c>
    </row>
    <row r="375" spans="1:13" x14ac:dyDescent="0.3">
      <c r="A375" s="11">
        <v>374</v>
      </c>
      <c r="B375" s="3" t="s">
        <v>12</v>
      </c>
      <c r="C375" s="5">
        <v>44</v>
      </c>
      <c r="D375" s="3" t="s">
        <v>48</v>
      </c>
      <c r="E375" s="3" t="s">
        <v>25</v>
      </c>
      <c r="F375" s="3" t="s">
        <v>32</v>
      </c>
      <c r="G375" s="3" t="s">
        <v>27</v>
      </c>
      <c r="H375" s="3" t="s">
        <v>28</v>
      </c>
      <c r="I375" s="3" t="s">
        <v>29</v>
      </c>
      <c r="J375" s="3" t="s">
        <v>39</v>
      </c>
      <c r="K375" s="3" t="s">
        <v>43</v>
      </c>
      <c r="L375" s="6">
        <v>30</v>
      </c>
      <c r="M375" s="3" t="s">
        <v>44</v>
      </c>
    </row>
    <row r="376" spans="1:13" x14ac:dyDescent="0.3">
      <c r="A376" s="11">
        <v>375</v>
      </c>
      <c r="B376" s="3" t="s">
        <v>12</v>
      </c>
      <c r="C376" s="5">
        <v>25</v>
      </c>
      <c r="D376" s="3" t="s">
        <v>48</v>
      </c>
      <c r="E376" s="3" t="s">
        <v>25</v>
      </c>
      <c r="F376" s="3" t="s">
        <v>32</v>
      </c>
      <c r="G376" s="3" t="s">
        <v>27</v>
      </c>
      <c r="H376" s="3" t="s">
        <v>49</v>
      </c>
      <c r="I376" s="3" t="s">
        <v>29</v>
      </c>
      <c r="J376" s="3" t="s">
        <v>21</v>
      </c>
      <c r="K376" s="3" t="s">
        <v>43</v>
      </c>
      <c r="L376" s="6">
        <v>377</v>
      </c>
      <c r="M376" s="3" t="s">
        <v>22</v>
      </c>
    </row>
    <row r="377" spans="1:13" x14ac:dyDescent="0.3">
      <c r="A377" s="11">
        <v>376</v>
      </c>
      <c r="B377" s="3" t="s">
        <v>23</v>
      </c>
      <c r="C377" s="5">
        <v>27</v>
      </c>
      <c r="D377" s="3" t="s">
        <v>51</v>
      </c>
      <c r="E377" s="3" t="s">
        <v>25</v>
      </c>
      <c r="F377" s="3" t="s">
        <v>15</v>
      </c>
      <c r="G377" s="3" t="s">
        <v>27</v>
      </c>
      <c r="H377" s="3" t="s">
        <v>49</v>
      </c>
      <c r="I377" s="3" t="s">
        <v>20</v>
      </c>
      <c r="J377" s="3" t="s">
        <v>42</v>
      </c>
      <c r="K377" s="3" t="s">
        <v>43</v>
      </c>
      <c r="L377" s="6">
        <v>1097</v>
      </c>
      <c r="M377" s="3" t="s">
        <v>22</v>
      </c>
    </row>
    <row r="378" spans="1:13" x14ac:dyDescent="0.3">
      <c r="A378" s="11">
        <v>377</v>
      </c>
      <c r="B378" s="3" t="s">
        <v>12</v>
      </c>
      <c r="C378" s="5">
        <v>22</v>
      </c>
      <c r="D378" s="3" t="s">
        <v>31</v>
      </c>
      <c r="E378" s="3" t="s">
        <v>25</v>
      </c>
      <c r="F378" s="3" t="s">
        <v>53</v>
      </c>
      <c r="G378" s="3" t="s">
        <v>27</v>
      </c>
      <c r="H378" s="3" t="s">
        <v>45</v>
      </c>
      <c r="I378" s="3" t="s">
        <v>20</v>
      </c>
      <c r="J378" s="3" t="s">
        <v>39</v>
      </c>
      <c r="K378" s="3" t="s">
        <v>43</v>
      </c>
      <c r="L378" s="6">
        <v>692</v>
      </c>
      <c r="M378" s="3" t="s">
        <v>22</v>
      </c>
    </row>
    <row r="379" spans="1:13" x14ac:dyDescent="0.3">
      <c r="A379" s="11">
        <v>378</v>
      </c>
      <c r="B379" s="3" t="s">
        <v>23</v>
      </c>
      <c r="C379" s="5">
        <v>33</v>
      </c>
      <c r="D379" s="3" t="s">
        <v>31</v>
      </c>
      <c r="E379" s="3" t="s">
        <v>25</v>
      </c>
      <c r="F379" s="3" t="s">
        <v>32</v>
      </c>
      <c r="G379" s="3" t="s">
        <v>27</v>
      </c>
      <c r="H379" s="3" t="s">
        <v>28</v>
      </c>
      <c r="I379" s="3" t="s">
        <v>20</v>
      </c>
      <c r="J379" s="3" t="s">
        <v>47</v>
      </c>
      <c r="K379" s="3" t="s">
        <v>43</v>
      </c>
      <c r="L379" s="6">
        <v>67</v>
      </c>
      <c r="M379" s="3" t="s">
        <v>44</v>
      </c>
    </row>
    <row r="380" spans="1:13" x14ac:dyDescent="0.3">
      <c r="A380" s="11">
        <v>379</v>
      </c>
      <c r="B380" s="3" t="s">
        <v>23</v>
      </c>
      <c r="C380" s="5">
        <v>25</v>
      </c>
      <c r="D380" s="3" t="s">
        <v>36</v>
      </c>
      <c r="E380" s="3" t="s">
        <v>25</v>
      </c>
      <c r="F380" s="3" t="s">
        <v>53</v>
      </c>
      <c r="G380" s="3" t="s">
        <v>27</v>
      </c>
      <c r="H380" s="3" t="s">
        <v>28</v>
      </c>
      <c r="I380" s="3" t="s">
        <v>20</v>
      </c>
      <c r="J380" s="3" t="s">
        <v>46</v>
      </c>
      <c r="K380" s="3" t="s">
        <v>43</v>
      </c>
      <c r="L380" s="6">
        <v>147</v>
      </c>
      <c r="M380" s="3" t="s">
        <v>22</v>
      </c>
    </row>
    <row r="381" spans="1:13" x14ac:dyDescent="0.3">
      <c r="A381" s="11">
        <v>380</v>
      </c>
      <c r="B381" s="3" t="s">
        <v>12</v>
      </c>
      <c r="C381" s="5">
        <v>47</v>
      </c>
      <c r="D381" s="3" t="s">
        <v>50</v>
      </c>
      <c r="E381" s="3" t="s">
        <v>25</v>
      </c>
      <c r="F381" s="3" t="s">
        <v>32</v>
      </c>
      <c r="G381" s="3" t="s">
        <v>27</v>
      </c>
      <c r="H381" s="3" t="s">
        <v>28</v>
      </c>
      <c r="I381" s="3" t="s">
        <v>29</v>
      </c>
      <c r="J381" s="3" t="s">
        <v>47</v>
      </c>
      <c r="K381" s="3" t="s">
        <v>18</v>
      </c>
      <c r="L381" s="6">
        <v>0</v>
      </c>
      <c r="M381" s="3" t="s">
        <v>35</v>
      </c>
    </row>
    <row r="382" spans="1:13" x14ac:dyDescent="0.3">
      <c r="A382" s="11">
        <v>381</v>
      </c>
      <c r="B382" s="3" t="s">
        <v>23</v>
      </c>
      <c r="C382" s="5">
        <v>44</v>
      </c>
      <c r="D382" s="3" t="s">
        <v>51</v>
      </c>
      <c r="E382" s="3" t="s">
        <v>25</v>
      </c>
      <c r="F382" s="3" t="s">
        <v>15</v>
      </c>
      <c r="G382" s="3" t="s">
        <v>27</v>
      </c>
      <c r="H382" s="3" t="s">
        <v>28</v>
      </c>
      <c r="I382" s="3" t="s">
        <v>20</v>
      </c>
      <c r="J382" s="3" t="s">
        <v>39</v>
      </c>
      <c r="K382" s="3" t="s">
        <v>18</v>
      </c>
      <c r="L382" s="6">
        <v>-10</v>
      </c>
      <c r="M382" s="3" t="s">
        <v>44</v>
      </c>
    </row>
    <row r="383" spans="1:13" x14ac:dyDescent="0.3">
      <c r="A383" s="11">
        <v>382</v>
      </c>
      <c r="B383" s="3" t="s">
        <v>23</v>
      </c>
      <c r="C383" s="5">
        <v>26</v>
      </c>
      <c r="D383" s="3" t="s">
        <v>51</v>
      </c>
      <c r="E383" s="3" t="s">
        <v>25</v>
      </c>
      <c r="F383" s="3" t="s">
        <v>15</v>
      </c>
      <c r="G383" s="3" t="s">
        <v>27</v>
      </c>
      <c r="H383" s="3" t="s">
        <v>45</v>
      </c>
      <c r="I383" s="3" t="s">
        <v>20</v>
      </c>
      <c r="J383" s="3" t="s">
        <v>21</v>
      </c>
      <c r="K383" s="3" t="s">
        <v>43</v>
      </c>
      <c r="L383" s="6">
        <v>343</v>
      </c>
      <c r="M383" s="3" t="s">
        <v>44</v>
      </c>
    </row>
    <row r="384" spans="1:13" x14ac:dyDescent="0.3">
      <c r="A384" s="11">
        <v>383</v>
      </c>
      <c r="B384" s="3" t="s">
        <v>12</v>
      </c>
      <c r="C384" s="5">
        <v>47</v>
      </c>
      <c r="D384" s="3" t="s">
        <v>51</v>
      </c>
      <c r="E384" s="3" t="s">
        <v>25</v>
      </c>
      <c r="F384" s="3" t="s">
        <v>32</v>
      </c>
      <c r="G384" s="3" t="s">
        <v>27</v>
      </c>
      <c r="H384" s="3" t="s">
        <v>28</v>
      </c>
      <c r="I384" s="3" t="s">
        <v>33</v>
      </c>
      <c r="J384" s="3" t="s">
        <v>42</v>
      </c>
      <c r="K384" s="3" t="s">
        <v>43</v>
      </c>
      <c r="L384" s="6">
        <v>-39</v>
      </c>
      <c r="M384" s="3" t="s">
        <v>22</v>
      </c>
    </row>
    <row r="385" spans="1:13" x14ac:dyDescent="0.3">
      <c r="A385" s="11">
        <v>384</v>
      </c>
      <c r="B385" s="3" t="s">
        <v>12</v>
      </c>
      <c r="C385" s="5">
        <v>41</v>
      </c>
      <c r="D385" s="3" t="s">
        <v>52</v>
      </c>
      <c r="E385" s="3" t="s">
        <v>25</v>
      </c>
      <c r="F385" s="3" t="s">
        <v>32</v>
      </c>
      <c r="G385" s="3" t="s">
        <v>27</v>
      </c>
      <c r="H385" s="3" t="s">
        <v>28</v>
      </c>
      <c r="I385" s="3" t="s">
        <v>29</v>
      </c>
      <c r="J385" s="3" t="s">
        <v>46</v>
      </c>
      <c r="K385" s="3" t="s">
        <v>43</v>
      </c>
      <c r="L385" s="6">
        <v>0</v>
      </c>
      <c r="M385" s="3" t="s">
        <v>44</v>
      </c>
    </row>
    <row r="386" spans="1:13" x14ac:dyDescent="0.3">
      <c r="A386" s="11">
        <v>385</v>
      </c>
      <c r="B386" s="3" t="s">
        <v>12</v>
      </c>
      <c r="C386" s="5">
        <v>35</v>
      </c>
      <c r="D386" s="3" t="s">
        <v>36</v>
      </c>
      <c r="E386" s="3" t="s">
        <v>25</v>
      </c>
      <c r="F386" s="3" t="s">
        <v>32</v>
      </c>
      <c r="G386" s="3" t="s">
        <v>27</v>
      </c>
      <c r="H386" s="3" t="s">
        <v>45</v>
      </c>
      <c r="I386" s="3" t="s">
        <v>29</v>
      </c>
      <c r="J386" s="3" t="s">
        <v>42</v>
      </c>
      <c r="K386" s="3" t="s">
        <v>43</v>
      </c>
      <c r="L386" s="6">
        <v>383</v>
      </c>
      <c r="M386" s="3" t="s">
        <v>22</v>
      </c>
    </row>
    <row r="387" spans="1:13" x14ac:dyDescent="0.3">
      <c r="A387" s="11">
        <v>386</v>
      </c>
      <c r="B387" s="3" t="s">
        <v>23</v>
      </c>
      <c r="C387" s="5">
        <v>41</v>
      </c>
      <c r="D387" s="3" t="s">
        <v>52</v>
      </c>
      <c r="E387" s="3" t="s">
        <v>25</v>
      </c>
      <c r="F387" s="3" t="s">
        <v>32</v>
      </c>
      <c r="G387" s="3" t="s">
        <v>27</v>
      </c>
      <c r="H387" s="3" t="s">
        <v>28</v>
      </c>
      <c r="I387" s="3" t="s">
        <v>29</v>
      </c>
      <c r="J387" s="3" t="s">
        <v>21</v>
      </c>
      <c r="K387" s="3" t="s">
        <v>43</v>
      </c>
      <c r="L387" s="6">
        <v>138</v>
      </c>
      <c r="M387" s="3" t="s">
        <v>44</v>
      </c>
    </row>
    <row r="388" spans="1:13" x14ac:dyDescent="0.3">
      <c r="A388" s="11">
        <v>387</v>
      </c>
      <c r="B388" s="3" t="s">
        <v>23</v>
      </c>
      <c r="C388" s="5">
        <v>32</v>
      </c>
      <c r="D388" s="3" t="s">
        <v>36</v>
      </c>
      <c r="E388" s="3" t="s">
        <v>25</v>
      </c>
      <c r="F388" s="3" t="s">
        <v>32</v>
      </c>
      <c r="G388" s="3" t="s">
        <v>27</v>
      </c>
      <c r="H388" s="3" t="s">
        <v>45</v>
      </c>
      <c r="I388" s="3" t="s">
        <v>20</v>
      </c>
      <c r="J388" s="3" t="s">
        <v>42</v>
      </c>
      <c r="K388" s="3" t="s">
        <v>43</v>
      </c>
      <c r="L388" s="6">
        <v>493</v>
      </c>
      <c r="M388" s="3" t="s">
        <v>22</v>
      </c>
    </row>
    <row r="389" spans="1:13" x14ac:dyDescent="0.3">
      <c r="A389" s="11">
        <v>388</v>
      </c>
      <c r="B389" s="3" t="s">
        <v>12</v>
      </c>
      <c r="C389" s="5">
        <v>34</v>
      </c>
      <c r="D389" s="3" t="s">
        <v>36</v>
      </c>
      <c r="E389" s="3" t="s">
        <v>25</v>
      </c>
      <c r="F389" s="3" t="s">
        <v>32</v>
      </c>
      <c r="G389" s="3" t="s">
        <v>27</v>
      </c>
      <c r="H389" s="3" t="s">
        <v>45</v>
      </c>
      <c r="I389" s="3" t="s">
        <v>20</v>
      </c>
      <c r="J389" s="3" t="s">
        <v>39</v>
      </c>
      <c r="K389" s="3" t="s">
        <v>43</v>
      </c>
      <c r="L389" s="6">
        <v>851</v>
      </c>
      <c r="M389" s="3" t="s">
        <v>44</v>
      </c>
    </row>
    <row r="390" spans="1:13" x14ac:dyDescent="0.3">
      <c r="A390" s="11">
        <v>389</v>
      </c>
      <c r="B390" s="3" t="s">
        <v>23</v>
      </c>
      <c r="C390" s="5">
        <v>31</v>
      </c>
      <c r="D390" s="3" t="s">
        <v>13</v>
      </c>
      <c r="E390" s="3" t="s">
        <v>25</v>
      </c>
      <c r="F390" s="3" t="s">
        <v>32</v>
      </c>
      <c r="G390" s="3" t="s">
        <v>27</v>
      </c>
      <c r="H390" s="3" t="s">
        <v>28</v>
      </c>
      <c r="I390" s="3" t="s">
        <v>38</v>
      </c>
      <c r="J390" s="3" t="s">
        <v>30</v>
      </c>
      <c r="K390" s="3" t="s">
        <v>43</v>
      </c>
      <c r="L390" s="6">
        <v>119</v>
      </c>
      <c r="M390" s="3" t="s">
        <v>44</v>
      </c>
    </row>
    <row r="391" spans="1:13" x14ac:dyDescent="0.3">
      <c r="A391" s="11">
        <v>390</v>
      </c>
      <c r="B391" s="3" t="s">
        <v>23</v>
      </c>
      <c r="C391" s="5">
        <v>31</v>
      </c>
      <c r="D391" s="3" t="s">
        <v>31</v>
      </c>
      <c r="E391" s="3" t="s">
        <v>25</v>
      </c>
      <c r="F391" s="3" t="s">
        <v>32</v>
      </c>
      <c r="G391" s="3" t="s">
        <v>27</v>
      </c>
      <c r="H391" s="3" t="s">
        <v>17</v>
      </c>
      <c r="I391" s="3" t="s">
        <v>20</v>
      </c>
      <c r="J391" s="3" t="s">
        <v>47</v>
      </c>
      <c r="K391" s="3" t="s">
        <v>43</v>
      </c>
      <c r="L391" s="6">
        <v>303</v>
      </c>
      <c r="M391" s="3" t="s">
        <v>22</v>
      </c>
    </row>
    <row r="392" spans="1:13" x14ac:dyDescent="0.3">
      <c r="A392" s="11">
        <v>391</v>
      </c>
      <c r="B392" s="3" t="s">
        <v>23</v>
      </c>
      <c r="C392" s="5">
        <v>57</v>
      </c>
      <c r="D392" s="3" t="s">
        <v>31</v>
      </c>
      <c r="E392" s="3" t="s">
        <v>25</v>
      </c>
      <c r="F392" s="3" t="s">
        <v>15</v>
      </c>
      <c r="G392" s="3" t="s">
        <v>27</v>
      </c>
      <c r="H392" s="3" t="s">
        <v>28</v>
      </c>
      <c r="I392" s="3" t="s">
        <v>38</v>
      </c>
      <c r="J392" s="3" t="s">
        <v>39</v>
      </c>
      <c r="K392" s="3" t="s">
        <v>43</v>
      </c>
      <c r="L392" s="6">
        <v>99</v>
      </c>
      <c r="M392" s="3" t="s">
        <v>22</v>
      </c>
    </row>
    <row r="393" spans="1:13" x14ac:dyDescent="0.3">
      <c r="A393" s="11">
        <v>392</v>
      </c>
      <c r="B393" s="3" t="s">
        <v>12</v>
      </c>
      <c r="C393" s="5">
        <v>32</v>
      </c>
      <c r="D393" s="3" t="s">
        <v>36</v>
      </c>
      <c r="E393" s="3" t="s">
        <v>25</v>
      </c>
      <c r="F393" s="3" t="s">
        <v>32</v>
      </c>
      <c r="G393" s="3" t="s">
        <v>27</v>
      </c>
      <c r="H393" s="3" t="s">
        <v>28</v>
      </c>
      <c r="I393" s="3" t="s">
        <v>20</v>
      </c>
      <c r="J393" s="3" t="s">
        <v>42</v>
      </c>
      <c r="K393" s="3" t="s">
        <v>43</v>
      </c>
      <c r="L393" s="6">
        <v>-48</v>
      </c>
      <c r="M393" s="3" t="s">
        <v>40</v>
      </c>
    </row>
    <row r="394" spans="1:13" x14ac:dyDescent="0.3">
      <c r="A394" s="11">
        <v>393</v>
      </c>
      <c r="B394" s="3" t="s">
        <v>12</v>
      </c>
      <c r="C394" s="5">
        <v>44</v>
      </c>
      <c r="D394" s="3" t="s">
        <v>31</v>
      </c>
      <c r="E394" s="3" t="s">
        <v>25</v>
      </c>
      <c r="F394" s="3" t="s">
        <v>32</v>
      </c>
      <c r="G394" s="3" t="s">
        <v>27</v>
      </c>
      <c r="H394" s="3" t="s">
        <v>49</v>
      </c>
      <c r="I394" s="3" t="s">
        <v>29</v>
      </c>
      <c r="J394" s="3" t="s">
        <v>46</v>
      </c>
      <c r="K394" s="3" t="s">
        <v>18</v>
      </c>
      <c r="L394" s="6">
        <v>837</v>
      </c>
      <c r="M394" s="3" t="s">
        <v>44</v>
      </c>
    </row>
    <row r="395" spans="1:13" x14ac:dyDescent="0.3">
      <c r="A395" s="11">
        <v>394</v>
      </c>
      <c r="B395" s="3" t="s">
        <v>23</v>
      </c>
      <c r="C395" s="5">
        <v>29</v>
      </c>
      <c r="D395" s="3" t="s">
        <v>31</v>
      </c>
      <c r="E395" s="3" t="s">
        <v>25</v>
      </c>
      <c r="F395" s="3" t="s">
        <v>32</v>
      </c>
      <c r="G395" s="3" t="s">
        <v>27</v>
      </c>
      <c r="H395" s="3" t="s">
        <v>17</v>
      </c>
      <c r="I395" s="3" t="s">
        <v>20</v>
      </c>
      <c r="J395" s="3" t="s">
        <v>47</v>
      </c>
      <c r="K395" s="3" t="s">
        <v>43</v>
      </c>
      <c r="L395" s="6">
        <v>278</v>
      </c>
      <c r="M395" s="3" t="s">
        <v>22</v>
      </c>
    </row>
    <row r="396" spans="1:13" x14ac:dyDescent="0.3">
      <c r="A396" s="11">
        <v>395</v>
      </c>
      <c r="B396" s="3" t="s">
        <v>23</v>
      </c>
      <c r="C396" s="5">
        <v>56</v>
      </c>
      <c r="D396" s="3" t="s">
        <v>31</v>
      </c>
      <c r="E396" s="3" t="s">
        <v>14</v>
      </c>
      <c r="F396" s="3" t="s">
        <v>15</v>
      </c>
      <c r="G396" s="3" t="s">
        <v>27</v>
      </c>
      <c r="H396" s="3" t="s">
        <v>28</v>
      </c>
      <c r="I396" s="3" t="s">
        <v>20</v>
      </c>
      <c r="J396" s="3" t="s">
        <v>42</v>
      </c>
      <c r="K396" s="3" t="s">
        <v>43</v>
      </c>
      <c r="L396" s="6">
        <v>29</v>
      </c>
      <c r="M396" s="3" t="s">
        <v>22</v>
      </c>
    </row>
    <row r="397" spans="1:13" x14ac:dyDescent="0.3">
      <c r="A397" s="11">
        <v>396</v>
      </c>
      <c r="B397" s="3" t="s">
        <v>23</v>
      </c>
      <c r="C397" s="5">
        <v>28</v>
      </c>
      <c r="D397" s="3" t="s">
        <v>48</v>
      </c>
      <c r="E397" s="3" t="s">
        <v>25</v>
      </c>
      <c r="F397" s="3" t="s">
        <v>32</v>
      </c>
      <c r="G397" s="3" t="s">
        <v>27</v>
      </c>
      <c r="H397" s="3" t="s">
        <v>28</v>
      </c>
      <c r="I397" s="3" t="s">
        <v>38</v>
      </c>
      <c r="J397" s="3" t="s">
        <v>34</v>
      </c>
      <c r="K397" s="3" t="s">
        <v>43</v>
      </c>
      <c r="L397" s="6">
        <v>92</v>
      </c>
      <c r="M397" s="3" t="s">
        <v>44</v>
      </c>
    </row>
    <row r="398" spans="1:13" x14ac:dyDescent="0.3">
      <c r="A398" s="11">
        <v>397</v>
      </c>
      <c r="B398" s="3" t="s">
        <v>12</v>
      </c>
      <c r="C398" s="5">
        <v>42</v>
      </c>
      <c r="D398" s="3" t="s">
        <v>36</v>
      </c>
      <c r="E398" s="3" t="s">
        <v>14</v>
      </c>
      <c r="F398" s="3" t="s">
        <v>32</v>
      </c>
      <c r="G398" s="3" t="s">
        <v>27</v>
      </c>
      <c r="H398" s="3" t="s">
        <v>28</v>
      </c>
      <c r="I398" s="3" t="s">
        <v>29</v>
      </c>
      <c r="J398" s="3" t="s">
        <v>42</v>
      </c>
      <c r="K398" s="3" t="s">
        <v>18</v>
      </c>
      <c r="L398" s="6">
        <v>-87</v>
      </c>
      <c r="M398" s="3" t="s">
        <v>35</v>
      </c>
    </row>
    <row r="399" spans="1:13" x14ac:dyDescent="0.3">
      <c r="A399" s="11">
        <v>398</v>
      </c>
      <c r="B399" s="3" t="s">
        <v>12</v>
      </c>
      <c r="C399" s="5">
        <v>22</v>
      </c>
      <c r="D399" s="3" t="s">
        <v>31</v>
      </c>
      <c r="E399" s="3" t="s">
        <v>25</v>
      </c>
      <c r="F399" s="3" t="s">
        <v>53</v>
      </c>
      <c r="G399" s="3" t="s">
        <v>27</v>
      </c>
      <c r="H399" s="3" t="s">
        <v>28</v>
      </c>
      <c r="I399" s="3" t="s">
        <v>20</v>
      </c>
      <c r="J399" s="3" t="s">
        <v>47</v>
      </c>
      <c r="K399" s="3" t="s">
        <v>43</v>
      </c>
      <c r="L399" s="6">
        <v>154</v>
      </c>
      <c r="M399" s="3" t="s">
        <v>44</v>
      </c>
    </row>
    <row r="400" spans="1:13" x14ac:dyDescent="0.3">
      <c r="A400" s="11">
        <v>399</v>
      </c>
      <c r="B400" s="3" t="s">
        <v>12</v>
      </c>
      <c r="C400" s="5">
        <v>35</v>
      </c>
      <c r="D400" s="3" t="s">
        <v>51</v>
      </c>
      <c r="E400" s="3" t="s">
        <v>25</v>
      </c>
      <c r="F400" s="3" t="s">
        <v>32</v>
      </c>
      <c r="G400" s="3" t="s">
        <v>27</v>
      </c>
      <c r="H400" s="3" t="s">
        <v>28</v>
      </c>
      <c r="I400" s="3" t="s">
        <v>29</v>
      </c>
      <c r="J400" s="3" t="s">
        <v>30</v>
      </c>
      <c r="K400" s="3" t="s">
        <v>43</v>
      </c>
      <c r="L400" s="6">
        <v>-78</v>
      </c>
      <c r="M400" s="3" t="s">
        <v>44</v>
      </c>
    </row>
    <row r="401" spans="1:13" x14ac:dyDescent="0.3">
      <c r="A401" s="11">
        <v>400</v>
      </c>
      <c r="B401" s="3" t="s">
        <v>12</v>
      </c>
      <c r="C401" s="5">
        <v>52</v>
      </c>
      <c r="D401" s="3" t="s">
        <v>51</v>
      </c>
      <c r="E401" s="3" t="s">
        <v>25</v>
      </c>
      <c r="F401" s="3" t="s">
        <v>32</v>
      </c>
      <c r="G401" s="3" t="s">
        <v>16</v>
      </c>
      <c r="H401" s="3" t="s">
        <v>49</v>
      </c>
      <c r="I401" s="3" t="s">
        <v>29</v>
      </c>
      <c r="J401" s="3" t="s">
        <v>46</v>
      </c>
      <c r="K401" s="3" t="s">
        <v>43</v>
      </c>
      <c r="L401" s="6">
        <v>1651</v>
      </c>
      <c r="M401" s="3" t="s">
        <v>44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2225-ECBF-4288-AB91-1C1754CA7630}">
  <dimension ref="A1:AN75"/>
  <sheetViews>
    <sheetView showGridLines="0" workbookViewId="0"/>
  </sheetViews>
  <sheetFormatPr defaultRowHeight="14.4" x14ac:dyDescent="0.3"/>
  <cols>
    <col min="1" max="1" width="19.21875" customWidth="1"/>
    <col min="2" max="2" width="24.77734375" customWidth="1"/>
    <col min="3" max="4" width="14.5546875" customWidth="1"/>
    <col min="5" max="5" width="3.5546875" style="13" customWidth="1"/>
    <col min="6" max="6" width="7.44140625" customWidth="1"/>
    <col min="7" max="7" width="12" bestFit="1" customWidth="1"/>
    <col min="8" max="8" width="10.6640625" customWidth="1"/>
    <col min="9" max="9" width="10" customWidth="1"/>
    <col min="10" max="11" width="12" bestFit="1" customWidth="1"/>
    <col min="12" max="12" width="11" bestFit="1" customWidth="1"/>
    <col min="14" max="14" width="20.5546875" customWidth="1"/>
    <col min="15" max="15" width="12" bestFit="1" customWidth="1"/>
    <col min="16" max="16" width="7.33203125" bestFit="1" customWidth="1"/>
  </cols>
  <sheetData>
    <row r="1" spans="1:40" x14ac:dyDescent="0.3">
      <c r="A1" s="12" t="s">
        <v>135</v>
      </c>
      <c r="B1" s="12" t="s">
        <v>97</v>
      </c>
    </row>
    <row r="2" spans="1:40" ht="15" thickBot="1" x14ac:dyDescent="0.35">
      <c r="A2" s="12"/>
    </row>
    <row r="3" spans="1:40" x14ac:dyDescent="0.3">
      <c r="A3" s="219" t="s">
        <v>150</v>
      </c>
      <c r="B3" s="220"/>
      <c r="C3" s="220"/>
      <c r="D3" s="221"/>
      <c r="E3"/>
      <c r="F3" s="218" t="s">
        <v>140</v>
      </c>
      <c r="G3" s="218"/>
      <c r="H3" s="218"/>
      <c r="I3" s="218"/>
      <c r="J3" s="218"/>
      <c r="K3" s="218"/>
      <c r="L3" s="218"/>
      <c r="M3" s="218"/>
      <c r="N3" s="218"/>
      <c r="O3" s="218"/>
      <c r="P3" s="218"/>
    </row>
    <row r="4" spans="1:40" x14ac:dyDescent="0.3">
      <c r="A4" s="222"/>
      <c r="B4" s="223"/>
      <c r="C4" s="223"/>
      <c r="D4" s="224"/>
      <c r="E4"/>
      <c r="F4" s="218"/>
      <c r="G4" s="218"/>
      <c r="H4" s="218"/>
      <c r="I4" s="218"/>
      <c r="J4" s="218"/>
      <c r="K4" s="218"/>
      <c r="L4" s="218"/>
      <c r="M4" s="218"/>
      <c r="N4" s="218"/>
      <c r="O4" s="218"/>
      <c r="P4" s="218"/>
    </row>
    <row r="5" spans="1:40" x14ac:dyDescent="0.3">
      <c r="A5" s="205" t="s">
        <v>100</v>
      </c>
      <c r="B5" s="206"/>
      <c r="C5" s="206"/>
      <c r="D5" s="207"/>
      <c r="E5"/>
      <c r="M5" s="6"/>
    </row>
    <row r="6" spans="1:40" ht="15.6" x14ac:dyDescent="0.35">
      <c r="A6" s="27" t="s">
        <v>101</v>
      </c>
      <c r="B6" s="28" t="s">
        <v>102</v>
      </c>
      <c r="C6" s="28" t="str">
        <f>IF(C7="&gt;",$AN$9,IF(C7="&lt;",$AN$10,$AN$11))</f>
        <v>≤</v>
      </c>
      <c r="D6" s="29">
        <f>D7</f>
        <v>0</v>
      </c>
      <c r="E6"/>
      <c r="F6" s="26" t="s">
        <v>136</v>
      </c>
      <c r="M6" s="6"/>
    </row>
    <row r="7" spans="1:40" ht="15.6" x14ac:dyDescent="0.35">
      <c r="A7" s="27" t="s">
        <v>103</v>
      </c>
      <c r="B7" s="28" t="s">
        <v>102</v>
      </c>
      <c r="C7" s="71" t="s">
        <v>104</v>
      </c>
      <c r="D7" s="31">
        <v>0</v>
      </c>
      <c r="E7"/>
      <c r="F7" t="s">
        <v>137</v>
      </c>
      <c r="M7" s="6"/>
    </row>
    <row r="8" spans="1:40" x14ac:dyDescent="0.3">
      <c r="A8" s="32" t="s">
        <v>105</v>
      </c>
      <c r="B8" s="33"/>
      <c r="C8" s="33"/>
      <c r="D8" s="34" t="str">
        <f>IF(C7="&lt;","Lower",IF(C7="&gt;","Upper","Two"))</f>
        <v>Upper</v>
      </c>
      <c r="E8"/>
      <c r="F8" t="s">
        <v>138</v>
      </c>
      <c r="M8" s="6"/>
    </row>
    <row r="9" spans="1:40" ht="15.6" x14ac:dyDescent="0.35">
      <c r="A9" s="205" t="s">
        <v>98</v>
      </c>
      <c r="B9" s="206"/>
      <c r="C9" s="206"/>
      <c r="D9" s="207"/>
      <c r="E9"/>
      <c r="F9" s="60" t="s">
        <v>139</v>
      </c>
      <c r="M9" s="6"/>
      <c r="AM9" s="44" t="s">
        <v>104</v>
      </c>
      <c r="AN9" s="45" t="s">
        <v>117</v>
      </c>
    </row>
    <row r="10" spans="1:40" x14ac:dyDescent="0.3">
      <c r="A10" s="35"/>
      <c r="B10" s="36"/>
      <c r="C10" s="37" t="s">
        <v>106</v>
      </c>
      <c r="D10" s="38">
        <v>0.05</v>
      </c>
      <c r="E10"/>
      <c r="F10" s="65" t="s">
        <v>149</v>
      </c>
      <c r="G10" s="68">
        <f>(D17^2)/(D21^2)</f>
        <v>1.3145437914608362</v>
      </c>
      <c r="M10" s="6"/>
      <c r="AM10" s="44" t="s">
        <v>118</v>
      </c>
      <c r="AN10" s="46" t="s">
        <v>119</v>
      </c>
    </row>
    <row r="11" spans="1:40" x14ac:dyDescent="0.3">
      <c r="A11" s="205" t="s">
        <v>107</v>
      </c>
      <c r="B11" s="206"/>
      <c r="C11" s="206"/>
      <c r="D11" s="207"/>
      <c r="E11"/>
      <c r="F11" s="60" t="s">
        <v>141</v>
      </c>
      <c r="M11" s="6"/>
      <c r="AM11" s="45" t="s">
        <v>120</v>
      </c>
      <c r="AN11" s="47" t="s">
        <v>121</v>
      </c>
    </row>
    <row r="12" spans="1:40" x14ac:dyDescent="0.3">
      <c r="A12" s="214" t="s">
        <v>108</v>
      </c>
      <c r="B12" s="215"/>
      <c r="C12" s="215"/>
      <c r="D12" s="39">
        <f>D19+D23-2</f>
        <v>260</v>
      </c>
      <c r="E12"/>
      <c r="G12" t="s">
        <v>142</v>
      </c>
      <c r="H12" s="64" t="s">
        <v>143</v>
      </c>
      <c r="I12" s="63">
        <f>_xlfn.F.INV.RT(D10/2,D19-1,D23-1)</f>
        <v>1.5001550912409396</v>
      </c>
      <c r="M12" s="6"/>
    </row>
    <row r="13" spans="1:40" x14ac:dyDescent="0.3">
      <c r="A13" s="214" t="str">
        <f>IF(C6="=","Lower Critical Value","Critical Value")</f>
        <v>Critical Value</v>
      </c>
      <c r="B13" s="215"/>
      <c r="C13" s="215"/>
      <c r="D13" s="40">
        <f>IF(D8="Two",-(TINV(D10,D12)),IF(D8="Lower",-(TINV(D10*2,D12)),TINV(D10*2,D12)))</f>
        <v>1.6507353424626587</v>
      </c>
      <c r="E13"/>
      <c r="H13" s="64" t="s">
        <v>144</v>
      </c>
      <c r="I13" s="62">
        <f>1/I12</f>
        <v>0.66659774435241392</v>
      </c>
      <c r="M13" s="6"/>
    </row>
    <row r="14" spans="1:40" ht="15.6" x14ac:dyDescent="0.35">
      <c r="A14" s="211" t="str">
        <f>IF(C6="=","Upper Critical Value","")</f>
        <v/>
      </c>
      <c r="B14" s="212"/>
      <c r="C14" s="213"/>
      <c r="D14" s="41" t="str">
        <f>IF(C6="=",-D13,"")</f>
        <v/>
      </c>
      <c r="E14"/>
      <c r="H14" s="65" t="s">
        <v>219</v>
      </c>
      <c r="I14" s="12" t="s">
        <v>146</v>
      </c>
      <c r="J14" s="12" t="s">
        <v>152</v>
      </c>
      <c r="M14" s="6"/>
    </row>
    <row r="15" spans="1:40" ht="15.6" x14ac:dyDescent="0.35">
      <c r="A15" s="205" t="s">
        <v>109</v>
      </c>
      <c r="B15" s="206"/>
      <c r="C15" s="206"/>
      <c r="D15" s="207"/>
      <c r="E15"/>
      <c r="H15" s="65" t="s">
        <v>220</v>
      </c>
      <c r="I15" s="12" t="s">
        <v>148</v>
      </c>
      <c r="J15" s="12" t="s">
        <v>153</v>
      </c>
      <c r="M15" s="6"/>
    </row>
    <row r="16" spans="1:40" ht="15.6" x14ac:dyDescent="0.35">
      <c r="A16" s="57" t="s">
        <v>20</v>
      </c>
      <c r="B16" s="58"/>
      <c r="C16" s="58"/>
      <c r="D16" s="59"/>
      <c r="E16"/>
      <c r="F16" s="67" t="s">
        <v>158</v>
      </c>
      <c r="G16" s="66"/>
      <c r="H16" s="12"/>
      <c r="M16" s="6"/>
    </row>
    <row r="17" spans="1:16" ht="15.6" customHeight="1" x14ac:dyDescent="0.3">
      <c r="A17" s="211" t="s">
        <v>110</v>
      </c>
      <c r="B17" s="212"/>
      <c r="C17" s="213"/>
      <c r="D17" s="38">
        <f t="array" ref="D17">_xlfn.STDEV.S(IF(CustomerDataSet_Original!Broker='Q1'!A16,CustomerDataSet_Original!Savings,""))</f>
        <v>356.76593236027867</v>
      </c>
      <c r="E17"/>
      <c r="F17" s="192" t="s">
        <v>162</v>
      </c>
      <c r="G17" s="192"/>
      <c r="H17" s="192"/>
      <c r="I17" s="192"/>
      <c r="J17" s="192"/>
      <c r="K17" s="192"/>
      <c r="L17" s="192"/>
      <c r="M17" s="192"/>
      <c r="N17" s="192"/>
      <c r="O17" s="192"/>
      <c r="P17" s="192"/>
    </row>
    <row r="18" spans="1:16" x14ac:dyDescent="0.3">
      <c r="A18" s="211" t="s">
        <v>111</v>
      </c>
      <c r="B18" s="212"/>
      <c r="C18" s="213"/>
      <c r="D18" s="38">
        <f>AVERAGEIF(CustomerDataSet_Original!Broker,'Q1'!A16,CustomerDataSet_Original!Savings)</f>
        <v>262.44210526315788</v>
      </c>
      <c r="E18"/>
      <c r="F18" s="192"/>
      <c r="G18" s="192"/>
      <c r="H18" s="192"/>
      <c r="I18" s="192"/>
      <c r="J18" s="192"/>
      <c r="K18" s="192"/>
      <c r="L18" s="192"/>
      <c r="M18" s="192"/>
      <c r="N18" s="192"/>
      <c r="O18" s="192"/>
      <c r="P18" s="192"/>
    </row>
    <row r="19" spans="1:16" x14ac:dyDescent="0.3">
      <c r="A19" s="211" t="s">
        <v>112</v>
      </c>
      <c r="B19" s="212"/>
      <c r="C19" s="213"/>
      <c r="D19" s="31">
        <f>COUNTIF(CustomerDataSet_Original!I1:I401,'Q1'!A16)</f>
        <v>190</v>
      </c>
      <c r="E19"/>
      <c r="F19" s="192"/>
      <c r="G19" s="192"/>
      <c r="H19" s="192"/>
      <c r="I19" s="192"/>
      <c r="J19" s="192"/>
      <c r="K19" s="192"/>
      <c r="L19" s="192"/>
      <c r="M19" s="192"/>
      <c r="N19" s="192"/>
      <c r="O19" s="192"/>
      <c r="P19" s="192"/>
    </row>
    <row r="20" spans="1:16" x14ac:dyDescent="0.3">
      <c r="A20" s="57" t="s">
        <v>33</v>
      </c>
      <c r="B20" s="58"/>
      <c r="C20" s="58"/>
      <c r="D20" s="59"/>
      <c r="E20"/>
    </row>
    <row r="21" spans="1:16" x14ac:dyDescent="0.3">
      <c r="A21" s="211" t="s">
        <v>110</v>
      </c>
      <c r="B21" s="212"/>
      <c r="C21" s="213"/>
      <c r="D21" s="38">
        <f t="array" ref="D21">_xlfn.STDEV.S(IF(CustomerDataSet_Original!Broker='Q1'!A20,CustomerDataSet_Original!Savings,""))</f>
        <v>311.16865857068944</v>
      </c>
      <c r="E21"/>
      <c r="F21" s="26" t="s">
        <v>154</v>
      </c>
      <c r="M21" s="6"/>
    </row>
    <row r="22" spans="1:16" ht="15.6" x14ac:dyDescent="0.35">
      <c r="A22" s="211" t="s">
        <v>111</v>
      </c>
      <c r="B22" s="212"/>
      <c r="C22" s="213"/>
      <c r="D22" s="38">
        <f>AVERAGEIF(CustomerDataSet_Original!Broker,'Q1'!A20,CustomerDataSet_Original!Savings)</f>
        <v>230.84722222222223</v>
      </c>
      <c r="E22"/>
      <c r="H22" s="65" t="s">
        <v>219</v>
      </c>
      <c r="I22" s="12" t="s">
        <v>155</v>
      </c>
      <c r="J22" s="12" t="s">
        <v>200</v>
      </c>
      <c r="M22" s="6"/>
    </row>
    <row r="23" spans="1:16" ht="15.6" x14ac:dyDescent="0.35">
      <c r="A23" s="211" t="s">
        <v>112</v>
      </c>
      <c r="B23" s="212"/>
      <c r="C23" s="213"/>
      <c r="D23" s="31">
        <f>COUNTIF(CustomerDataSet_Original!I1:I401,'Q1'!A20)</f>
        <v>72</v>
      </c>
      <c r="E23"/>
      <c r="H23" s="65" t="s">
        <v>220</v>
      </c>
      <c r="I23" s="12" t="s">
        <v>156</v>
      </c>
      <c r="J23" s="12" t="s">
        <v>157</v>
      </c>
      <c r="M23" s="6"/>
    </row>
    <row r="24" spans="1:16" x14ac:dyDescent="0.3">
      <c r="A24" s="202"/>
      <c r="B24" s="203"/>
      <c r="C24" s="203"/>
      <c r="D24" s="204"/>
      <c r="E24"/>
      <c r="F24" s="192" t="s">
        <v>188</v>
      </c>
      <c r="G24" s="192"/>
      <c r="H24" s="192"/>
      <c r="I24" s="192"/>
      <c r="J24" s="192"/>
      <c r="K24" s="192"/>
      <c r="L24" s="192"/>
      <c r="M24" s="192"/>
      <c r="N24" s="192"/>
      <c r="O24" s="192"/>
      <c r="P24" s="192"/>
    </row>
    <row r="25" spans="1:16" x14ac:dyDescent="0.3">
      <c r="A25" s="211" t="s">
        <v>151</v>
      </c>
      <c r="B25" s="212"/>
      <c r="C25" s="213"/>
      <c r="D25" s="72">
        <f>((D19-1)*D17^2+(D23-1)*D21^2)/D12</f>
        <v>118965.1007023167</v>
      </c>
      <c r="E25"/>
      <c r="F25" s="192"/>
      <c r="G25" s="192"/>
      <c r="H25" s="192"/>
      <c r="I25" s="192"/>
      <c r="J25" s="192"/>
      <c r="K25" s="192"/>
      <c r="L25" s="192"/>
      <c r="M25" s="192"/>
      <c r="N25" s="192"/>
      <c r="O25" s="192"/>
      <c r="P25" s="192"/>
    </row>
    <row r="26" spans="1:16" x14ac:dyDescent="0.3">
      <c r="A26" s="214" t="s">
        <v>113</v>
      </c>
      <c r="B26" s="215"/>
      <c r="C26" s="215"/>
      <c r="D26" s="42">
        <f>SQRT(D25*(1/D19+1/D23))</f>
        <v>47.732852148908044</v>
      </c>
      <c r="E26"/>
      <c r="F26" t="s">
        <v>159</v>
      </c>
      <c r="M26" s="6"/>
    </row>
    <row r="27" spans="1:16" x14ac:dyDescent="0.3">
      <c r="A27" s="216" t="s">
        <v>114</v>
      </c>
      <c r="B27" s="217"/>
      <c r="C27" s="217"/>
      <c r="D27" s="73">
        <f>((D18-D22)-D6)/D26</f>
        <v>0.66191064683023415</v>
      </c>
      <c r="E27"/>
      <c r="F27" s="12" t="s">
        <v>160</v>
      </c>
      <c r="M27" s="6"/>
    </row>
    <row r="28" spans="1:16" ht="14.4" customHeight="1" thickBot="1" x14ac:dyDescent="0.35">
      <c r="A28" s="214" t="s">
        <v>115</v>
      </c>
      <c r="B28" s="215"/>
      <c r="C28" s="215"/>
      <c r="D28" s="43">
        <f>IF(C6="=",TDIST(ABS(D27),D12,2),TDIST(ABS(D27),D12,1))</f>
        <v>0.25430735382682568</v>
      </c>
      <c r="E28"/>
      <c r="G28" t="s">
        <v>161</v>
      </c>
      <c r="M28" s="6"/>
    </row>
    <row r="29" spans="1:16" x14ac:dyDescent="0.3">
      <c r="A29" s="202"/>
      <c r="B29" s="203"/>
      <c r="C29" s="203"/>
      <c r="D29" s="204"/>
      <c r="E29"/>
      <c r="F29" s="193" t="s">
        <v>392</v>
      </c>
      <c r="G29" s="194"/>
      <c r="H29" s="194"/>
      <c r="I29" s="194"/>
      <c r="J29" s="194"/>
      <c r="K29" s="194"/>
      <c r="L29" s="194"/>
      <c r="M29" s="194"/>
      <c r="N29" s="194"/>
      <c r="O29" s="194"/>
      <c r="P29" s="195"/>
    </row>
    <row r="30" spans="1:16" x14ac:dyDescent="0.3">
      <c r="A30" s="205" t="s">
        <v>116</v>
      </c>
      <c r="B30" s="206"/>
      <c r="C30" s="206"/>
      <c r="D30" s="207"/>
      <c r="E30"/>
      <c r="F30" s="196"/>
      <c r="G30" s="197"/>
      <c r="H30" s="197"/>
      <c r="I30" s="197"/>
      <c r="J30" s="197"/>
      <c r="K30" s="197"/>
      <c r="L30" s="197"/>
      <c r="M30" s="197"/>
      <c r="N30" s="197"/>
      <c r="O30" s="197"/>
      <c r="P30" s="198"/>
    </row>
    <row r="31" spans="1:16" ht="15" thickBot="1" x14ac:dyDescent="0.35">
      <c r="A31" s="208" t="str">
        <f>IF(D28&lt;D10,"Reject Null Hypothesis", "Fail to reject Null Hypothesis")</f>
        <v>Fail to reject Null Hypothesis</v>
      </c>
      <c r="B31" s="209"/>
      <c r="C31" s="209"/>
      <c r="D31" s="210"/>
      <c r="E31"/>
      <c r="F31" s="199"/>
      <c r="G31" s="200"/>
      <c r="H31" s="200"/>
      <c r="I31" s="200"/>
      <c r="J31" s="200"/>
      <c r="K31" s="200"/>
      <c r="L31" s="200"/>
      <c r="M31" s="200"/>
      <c r="N31" s="200"/>
      <c r="O31" s="200"/>
      <c r="P31" s="201"/>
    </row>
    <row r="32" spans="1:16" x14ac:dyDescent="0.3">
      <c r="M32" s="6"/>
    </row>
    <row r="33" spans="14:14" x14ac:dyDescent="0.3">
      <c r="N33" s="6"/>
    </row>
    <row r="34" spans="14:14" x14ac:dyDescent="0.3">
      <c r="N34" s="6"/>
    </row>
    <row r="35" spans="14:14" x14ac:dyDescent="0.3">
      <c r="N35" s="6"/>
    </row>
    <row r="36" spans="14:14" x14ac:dyDescent="0.3">
      <c r="N36" s="6"/>
    </row>
    <row r="37" spans="14:14" x14ac:dyDescent="0.3">
      <c r="N37" s="6"/>
    </row>
    <row r="38" spans="14:14" x14ac:dyDescent="0.3">
      <c r="N38" s="6"/>
    </row>
    <row r="39" spans="14:14" x14ac:dyDescent="0.3">
      <c r="N39" s="6"/>
    </row>
    <row r="40" spans="14:14" x14ac:dyDescent="0.3">
      <c r="N40" s="6"/>
    </row>
    <row r="41" spans="14:14" x14ac:dyDescent="0.3">
      <c r="N41" s="6"/>
    </row>
    <row r="42" spans="14:14" x14ac:dyDescent="0.3">
      <c r="N42" s="6"/>
    </row>
    <row r="43" spans="14:14" x14ac:dyDescent="0.3">
      <c r="N43" s="6"/>
    </row>
    <row r="44" spans="14:14" x14ac:dyDescent="0.3">
      <c r="N44" s="6"/>
    </row>
    <row r="45" spans="14:14" x14ac:dyDescent="0.3">
      <c r="N45" s="6"/>
    </row>
    <row r="46" spans="14:14" x14ac:dyDescent="0.3">
      <c r="N46" s="6"/>
    </row>
    <row r="47" spans="14:14" x14ac:dyDescent="0.3">
      <c r="N47" s="6"/>
    </row>
    <row r="48" spans="14:14" x14ac:dyDescent="0.3">
      <c r="N48" s="6"/>
    </row>
    <row r="49" spans="14:14" x14ac:dyDescent="0.3">
      <c r="N49" s="6"/>
    </row>
    <row r="50" spans="14:14" x14ac:dyDescent="0.3">
      <c r="N50" s="6"/>
    </row>
    <row r="51" spans="14:14" x14ac:dyDescent="0.3">
      <c r="N51" s="6"/>
    </row>
    <row r="52" spans="14:14" x14ac:dyDescent="0.3">
      <c r="N52" s="6"/>
    </row>
    <row r="53" spans="14:14" x14ac:dyDescent="0.3">
      <c r="N53" s="6"/>
    </row>
    <row r="54" spans="14:14" x14ac:dyDescent="0.3">
      <c r="N54" s="6"/>
    </row>
    <row r="55" spans="14:14" x14ac:dyDescent="0.3">
      <c r="N55" s="6"/>
    </row>
    <row r="56" spans="14:14" x14ac:dyDescent="0.3">
      <c r="N56" s="6"/>
    </row>
    <row r="57" spans="14:14" x14ac:dyDescent="0.3">
      <c r="N57" s="6"/>
    </row>
    <row r="58" spans="14:14" x14ac:dyDescent="0.3">
      <c r="N58" s="6"/>
    </row>
    <row r="59" spans="14:14" x14ac:dyDescent="0.3">
      <c r="N59" s="6"/>
    </row>
    <row r="60" spans="14:14" x14ac:dyDescent="0.3">
      <c r="N60" s="6"/>
    </row>
    <row r="61" spans="14:14" x14ac:dyDescent="0.3">
      <c r="N61" s="6"/>
    </row>
    <row r="62" spans="14:14" x14ac:dyDescent="0.3">
      <c r="N62" s="6"/>
    </row>
    <row r="63" spans="14:14" x14ac:dyDescent="0.3">
      <c r="N63" s="6"/>
    </row>
    <row r="64" spans="14:14" x14ac:dyDescent="0.3">
      <c r="N64" s="6"/>
    </row>
    <row r="65" spans="14:14" x14ac:dyDescent="0.3">
      <c r="N65" s="6"/>
    </row>
    <row r="66" spans="14:14" x14ac:dyDescent="0.3">
      <c r="N66" s="6"/>
    </row>
    <row r="67" spans="14:14" x14ac:dyDescent="0.3">
      <c r="N67" s="6"/>
    </row>
    <row r="68" spans="14:14" x14ac:dyDescent="0.3">
      <c r="N68" s="6"/>
    </row>
    <row r="69" spans="14:14" x14ac:dyDescent="0.3">
      <c r="N69" s="6"/>
    </row>
    <row r="70" spans="14:14" x14ac:dyDescent="0.3">
      <c r="N70" s="6"/>
    </row>
    <row r="71" spans="14:14" x14ac:dyDescent="0.3">
      <c r="N71" s="6"/>
    </row>
    <row r="72" spans="14:14" x14ac:dyDescent="0.3">
      <c r="N72" s="6"/>
    </row>
    <row r="73" spans="14:14" x14ac:dyDescent="0.3">
      <c r="N73" s="6"/>
    </row>
    <row r="74" spans="14:14" x14ac:dyDescent="0.3">
      <c r="N74" s="6"/>
    </row>
    <row r="75" spans="14:14" x14ac:dyDescent="0.3">
      <c r="N75" s="6"/>
    </row>
  </sheetData>
  <sortState xmlns:xlrd2="http://schemas.microsoft.com/office/spreadsheetml/2017/richdata2" ref="F3:G260">
    <sortCondition ref="F4:F260"/>
  </sortState>
  <mergeCells count="27">
    <mergeCell ref="F3:P4"/>
    <mergeCell ref="F17:P19"/>
    <mergeCell ref="A3:D3"/>
    <mergeCell ref="A4:D4"/>
    <mergeCell ref="A5:D5"/>
    <mergeCell ref="A9:D9"/>
    <mergeCell ref="A11:D11"/>
    <mergeCell ref="A12:C12"/>
    <mergeCell ref="A13:C13"/>
    <mergeCell ref="A19:C19"/>
    <mergeCell ref="A21:C21"/>
    <mergeCell ref="A22:C22"/>
    <mergeCell ref="A23:C23"/>
    <mergeCell ref="A14:C14"/>
    <mergeCell ref="A15:D15"/>
    <mergeCell ref="A17:C17"/>
    <mergeCell ref="A18:C18"/>
    <mergeCell ref="F24:P25"/>
    <mergeCell ref="F29:P31"/>
    <mergeCell ref="A29:D29"/>
    <mergeCell ref="A30:D30"/>
    <mergeCell ref="A31:D31"/>
    <mergeCell ref="A24:D24"/>
    <mergeCell ref="A25:C25"/>
    <mergeCell ref="A26:C26"/>
    <mergeCell ref="A27:C27"/>
    <mergeCell ref="A28:C28"/>
  </mergeCells>
  <conditionalFormatting sqref="D14">
    <cfRule type="cellIs" dxfId="6" priority="1" stopIfTrue="1" operator="notEqual">
      <formula>""</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E981-E18E-4850-BD05-C89C21A5FE5D}">
  <dimension ref="A1:AM49"/>
  <sheetViews>
    <sheetView showGridLines="0" workbookViewId="0">
      <selection activeCell="F18" sqref="F18"/>
    </sheetView>
  </sheetViews>
  <sheetFormatPr defaultRowHeight="14.4" x14ac:dyDescent="0.3"/>
  <cols>
    <col min="1" max="1" width="19" bestFit="1" customWidth="1"/>
    <col min="2" max="2" width="14.77734375" bestFit="1" customWidth="1"/>
    <col min="3" max="3" width="11.21875" customWidth="1"/>
    <col min="4" max="4" width="14.6640625" bestFit="1" customWidth="1"/>
    <col min="5" max="5" width="11" customWidth="1"/>
    <col min="6" max="39" width="9.77734375" bestFit="1" customWidth="1"/>
  </cols>
  <sheetData>
    <row r="1" spans="1:39" x14ac:dyDescent="0.3">
      <c r="A1" s="12" t="s">
        <v>163</v>
      </c>
      <c r="B1" s="192" t="s">
        <v>122</v>
      </c>
      <c r="C1" s="192"/>
      <c r="D1" s="192"/>
      <c r="E1" s="192"/>
      <c r="F1" s="192"/>
      <c r="G1" s="192"/>
      <c r="H1" s="192"/>
      <c r="I1" s="192"/>
      <c r="J1" s="192"/>
      <c r="K1" s="192"/>
      <c r="L1" s="192"/>
      <c r="M1" s="192"/>
      <c r="N1" s="192"/>
      <c r="O1" s="192"/>
      <c r="P1" s="192"/>
      <c r="Q1" s="192"/>
      <c r="R1" s="192"/>
      <c r="S1" s="192"/>
      <c r="T1" s="12"/>
      <c r="U1" s="12"/>
      <c r="V1" s="12"/>
      <c r="W1" s="12"/>
      <c r="X1" s="12"/>
      <c r="Y1" s="12"/>
      <c r="Z1" s="12"/>
      <c r="AA1" s="12"/>
      <c r="AB1" s="12"/>
      <c r="AC1" s="12"/>
      <c r="AD1" s="12"/>
      <c r="AE1" s="12"/>
      <c r="AF1" s="12"/>
      <c r="AG1" s="12"/>
      <c r="AH1" s="12"/>
      <c r="AI1" s="12"/>
      <c r="AJ1" s="12"/>
      <c r="AK1" s="12"/>
      <c r="AL1" s="12"/>
      <c r="AM1" s="12"/>
    </row>
    <row r="2" spans="1:39" x14ac:dyDescent="0.3">
      <c r="A2" s="12"/>
      <c r="B2" s="192"/>
      <c r="C2" s="192"/>
      <c r="D2" s="192"/>
      <c r="E2" s="192"/>
      <c r="F2" s="192"/>
      <c r="G2" s="192"/>
      <c r="H2" s="192"/>
      <c r="I2" s="192"/>
      <c r="J2" s="192"/>
      <c r="K2" s="192"/>
      <c r="L2" s="192"/>
      <c r="M2" s="192"/>
      <c r="N2" s="192"/>
      <c r="O2" s="192"/>
      <c r="P2" s="192"/>
      <c r="Q2" s="192"/>
      <c r="R2" s="192"/>
      <c r="S2" s="192"/>
      <c r="T2" s="12"/>
      <c r="U2" s="12"/>
      <c r="V2" s="12"/>
      <c r="W2" s="12"/>
      <c r="X2" s="12"/>
      <c r="Y2" s="12"/>
      <c r="Z2" s="12"/>
      <c r="AA2" s="12"/>
      <c r="AB2" s="12"/>
      <c r="AC2" s="12"/>
      <c r="AD2" s="12"/>
      <c r="AE2" s="12"/>
      <c r="AF2" s="12"/>
      <c r="AG2" s="12"/>
      <c r="AH2" s="12"/>
      <c r="AI2" s="12"/>
      <c r="AJ2" s="12"/>
      <c r="AK2" s="12"/>
      <c r="AL2" s="12"/>
      <c r="AM2" s="12"/>
    </row>
    <row r="3" spans="1:39" x14ac:dyDescent="0.3">
      <c r="A3" s="12"/>
      <c r="B3" s="69"/>
      <c r="C3" s="69"/>
      <c r="D3" s="69"/>
      <c r="E3" s="69"/>
      <c r="F3" s="69"/>
      <c r="G3" s="69"/>
      <c r="H3" s="69"/>
      <c r="I3" s="69"/>
      <c r="J3" s="69"/>
      <c r="K3" s="69"/>
      <c r="L3" s="69"/>
      <c r="M3" s="69"/>
      <c r="N3" s="69"/>
      <c r="O3" s="69"/>
      <c r="P3" s="69"/>
      <c r="Q3" s="69"/>
      <c r="R3" s="69"/>
      <c r="S3" s="69"/>
      <c r="T3" s="12"/>
      <c r="U3" s="12"/>
      <c r="V3" s="12"/>
      <c r="W3" s="12"/>
      <c r="X3" s="12"/>
      <c r="Y3" s="12"/>
      <c r="Z3" s="12"/>
      <c r="AA3" s="12"/>
      <c r="AB3" s="12"/>
      <c r="AC3" s="12"/>
      <c r="AD3" s="12"/>
      <c r="AE3" s="12"/>
      <c r="AF3" s="12"/>
      <c r="AG3" s="12"/>
      <c r="AH3" s="12"/>
      <c r="AI3" s="12"/>
      <c r="AJ3" s="12"/>
      <c r="AK3" s="12"/>
      <c r="AL3" s="12"/>
      <c r="AM3" s="12"/>
    </row>
    <row r="4" spans="1:39" x14ac:dyDescent="0.3">
      <c r="A4" s="245" t="s">
        <v>4</v>
      </c>
      <c r="B4" s="246" t="s">
        <v>123</v>
      </c>
      <c r="C4" s="247"/>
      <c r="D4" s="247"/>
      <c r="E4" s="248"/>
      <c r="F4" s="12"/>
      <c r="G4" s="12"/>
      <c r="H4" s="12"/>
      <c r="I4" s="12"/>
      <c r="J4" s="12"/>
      <c r="K4" s="12"/>
      <c r="L4" s="12"/>
      <c r="M4" s="12"/>
      <c r="N4" s="12"/>
      <c r="O4" s="12"/>
      <c r="P4" s="12"/>
      <c r="Q4" s="12"/>
      <c r="R4" s="12"/>
      <c r="S4" s="12"/>
      <c r="T4" s="12"/>
      <c r="U4" s="12"/>
      <c r="V4" s="12"/>
      <c r="W4" s="12"/>
      <c r="X4" s="12"/>
      <c r="Y4" s="12"/>
      <c r="Z4" s="12"/>
      <c r="AA4" s="44" t="s">
        <v>104</v>
      </c>
      <c r="AB4" s="45" t="s">
        <v>117</v>
      </c>
      <c r="AC4" s="12"/>
      <c r="AD4" s="12"/>
      <c r="AE4" s="12"/>
      <c r="AF4" s="12"/>
      <c r="AG4" s="12"/>
      <c r="AH4" s="12"/>
      <c r="AI4" s="12"/>
      <c r="AJ4" s="12"/>
      <c r="AK4" s="12"/>
      <c r="AL4" s="12"/>
      <c r="AM4" s="12"/>
    </row>
    <row r="5" spans="1:39" x14ac:dyDescent="0.3">
      <c r="A5" s="245"/>
      <c r="B5" s="17" t="s">
        <v>40</v>
      </c>
      <c r="C5" s="17" t="s">
        <v>35</v>
      </c>
      <c r="D5" s="17" t="s">
        <v>125</v>
      </c>
      <c r="E5" s="17" t="s">
        <v>124</v>
      </c>
      <c r="G5" s="26" t="s">
        <v>136</v>
      </c>
      <c r="AA5" s="44" t="s">
        <v>118</v>
      </c>
      <c r="AB5" s="44" t="s">
        <v>119</v>
      </c>
    </row>
    <row r="6" spans="1:39" x14ac:dyDescent="0.3">
      <c r="A6" s="16" t="s">
        <v>25</v>
      </c>
      <c r="B6" s="16">
        <v>25</v>
      </c>
      <c r="C6" s="16">
        <v>34</v>
      </c>
      <c r="D6" s="16">
        <f>COUNTIF(CustomerDataSet_Original!E:E,'Q2'!A6)</f>
        <v>305</v>
      </c>
      <c r="E6" s="74">
        <f>SUM(B6:C6)/D6</f>
        <v>0.19344262295081968</v>
      </c>
      <c r="G6" t="s">
        <v>167</v>
      </c>
      <c r="AA6" s="45" t="s">
        <v>120</v>
      </c>
      <c r="AB6" s="47" t="s">
        <v>121</v>
      </c>
    </row>
    <row r="7" spans="1:39" x14ac:dyDescent="0.3">
      <c r="A7" s="16" t="s">
        <v>14</v>
      </c>
      <c r="B7" s="16">
        <v>10</v>
      </c>
      <c r="C7" s="16">
        <v>23</v>
      </c>
      <c r="D7" s="16">
        <f>COUNTIF(CustomerDataSet_Original!E:E,'Q2'!A7)</f>
        <v>95</v>
      </c>
      <c r="E7" s="74">
        <f>SUM(B7:C7)/D7</f>
        <v>0.3473684210526316</v>
      </c>
      <c r="G7" s="15" t="s">
        <v>166</v>
      </c>
      <c r="H7" s="15" t="s">
        <v>164</v>
      </c>
      <c r="I7" s="15" t="s">
        <v>165</v>
      </c>
    </row>
    <row r="8" spans="1:39" x14ac:dyDescent="0.3">
      <c r="A8" s="15" t="s">
        <v>88</v>
      </c>
      <c r="B8" s="15">
        <f t="shared" ref="B8:C8" si="0">SUM(B6:B7)</f>
        <v>35</v>
      </c>
      <c r="C8" s="15">
        <f t="shared" si="0"/>
        <v>57</v>
      </c>
      <c r="D8" s="15">
        <f>SUM(D6:D7)</f>
        <v>400</v>
      </c>
      <c r="E8" s="14"/>
      <c r="G8" s="16" t="s">
        <v>25</v>
      </c>
      <c r="H8" s="16">
        <f>D23*D25</f>
        <v>59</v>
      </c>
      <c r="I8" s="16">
        <f>D23*(1-D25)</f>
        <v>246</v>
      </c>
    </row>
    <row r="9" spans="1:39" ht="15" thickBot="1" x14ac:dyDescent="0.35">
      <c r="A9" s="51"/>
      <c r="B9" s="51"/>
      <c r="C9" s="51"/>
      <c r="D9" s="51"/>
      <c r="E9" s="52"/>
      <c r="G9" s="16" t="s">
        <v>14</v>
      </c>
      <c r="H9" s="16">
        <f>D27*D29</f>
        <v>33</v>
      </c>
      <c r="I9" s="16">
        <f>D27*(1-D29)</f>
        <v>62</v>
      </c>
    </row>
    <row r="10" spans="1:39" ht="15.6" x14ac:dyDescent="0.35">
      <c r="A10" s="219" t="s">
        <v>126</v>
      </c>
      <c r="B10" s="220"/>
      <c r="C10" s="220"/>
      <c r="D10" s="221"/>
      <c r="G10" t="s">
        <v>170</v>
      </c>
    </row>
    <row r="11" spans="1:39" ht="15.6" x14ac:dyDescent="0.35">
      <c r="A11" s="222"/>
      <c r="B11" s="223"/>
      <c r="C11" s="223"/>
      <c r="D11" s="224"/>
      <c r="G11" s="65" t="s">
        <v>219</v>
      </c>
      <c r="H11" s="12" t="s">
        <v>172</v>
      </c>
      <c r="I11" t="s">
        <v>201</v>
      </c>
    </row>
    <row r="12" spans="1:39" ht="15.6" x14ac:dyDescent="0.35">
      <c r="A12" s="205" t="s">
        <v>100</v>
      </c>
      <c r="B12" s="206"/>
      <c r="C12" s="206"/>
      <c r="D12" s="207"/>
      <c r="G12" s="65" t="s">
        <v>220</v>
      </c>
      <c r="H12" s="12" t="s">
        <v>171</v>
      </c>
      <c r="I12" t="s">
        <v>173</v>
      </c>
    </row>
    <row r="13" spans="1:39" ht="15.6" x14ac:dyDescent="0.35">
      <c r="A13" s="27" t="s">
        <v>101</v>
      </c>
      <c r="B13" s="28" t="s">
        <v>127</v>
      </c>
      <c r="C13" s="28" t="str">
        <f>IF(C14=AA4,AB4,IF(C14=AA5,AB5,IF(C14=AA6,AB6,"")))</f>
        <v>≥</v>
      </c>
      <c r="D13" s="53">
        <f>D14</f>
        <v>0</v>
      </c>
      <c r="G13" s="192" t="s">
        <v>174</v>
      </c>
      <c r="H13" s="192"/>
      <c r="I13" s="192"/>
      <c r="J13" s="192"/>
      <c r="K13" s="192"/>
      <c r="L13" s="192"/>
      <c r="M13" s="192"/>
      <c r="N13" s="192"/>
      <c r="O13" s="192"/>
      <c r="P13" s="192"/>
      <c r="Q13" s="192"/>
      <c r="R13" s="192"/>
    </row>
    <row r="14" spans="1:39" ht="15.6" x14ac:dyDescent="0.35">
      <c r="A14" s="27" t="s">
        <v>103</v>
      </c>
      <c r="B14" s="28" t="s">
        <v>127</v>
      </c>
      <c r="C14" s="30" t="s">
        <v>118</v>
      </c>
      <c r="D14" s="54">
        <v>0</v>
      </c>
      <c r="G14" s="192"/>
      <c r="H14" s="192"/>
      <c r="I14" s="192"/>
      <c r="J14" s="192"/>
      <c r="K14" s="192"/>
      <c r="L14" s="192"/>
      <c r="M14" s="192"/>
      <c r="N14" s="192"/>
      <c r="O14" s="192"/>
      <c r="P14" s="192"/>
      <c r="Q14" s="192"/>
      <c r="R14" s="192"/>
    </row>
    <row r="15" spans="1:39" x14ac:dyDescent="0.3">
      <c r="A15" s="32" t="s">
        <v>105</v>
      </c>
      <c r="B15" s="33"/>
      <c r="C15" s="33"/>
      <c r="D15" s="55" t="str">
        <f>IF(C14="&lt;","Lower",IF(C14="&gt;","Upper","Two"))</f>
        <v>Lower</v>
      </c>
      <c r="G15" t="s">
        <v>159</v>
      </c>
      <c r="N15" s="6"/>
    </row>
    <row r="16" spans="1:39" x14ac:dyDescent="0.3">
      <c r="A16" s="205" t="s">
        <v>98</v>
      </c>
      <c r="B16" s="206"/>
      <c r="C16" s="206"/>
      <c r="D16" s="207"/>
      <c r="G16" s="12" t="s">
        <v>211</v>
      </c>
      <c r="N16" s="6"/>
    </row>
    <row r="17" spans="1:18" ht="16.8" customHeight="1" x14ac:dyDescent="0.3">
      <c r="A17" s="35"/>
      <c r="B17" s="36"/>
      <c r="C17" s="37" t="s">
        <v>106</v>
      </c>
      <c r="D17" s="38">
        <v>0.05</v>
      </c>
      <c r="H17" t="s">
        <v>212</v>
      </c>
      <c r="N17" s="6"/>
    </row>
    <row r="18" spans="1:18" ht="16.8" customHeight="1" thickBot="1" x14ac:dyDescent="0.35">
      <c r="A18" s="205" t="s">
        <v>107</v>
      </c>
      <c r="B18" s="206"/>
      <c r="C18" s="206"/>
      <c r="D18" s="207"/>
    </row>
    <row r="19" spans="1:18" ht="14.4" customHeight="1" x14ac:dyDescent="0.3">
      <c r="A19" s="214" t="str">
        <f>IF(C13="=","Lower Critical Value","Critical Value")</f>
        <v>Critical Value</v>
      </c>
      <c r="B19" s="215"/>
      <c r="C19" s="215"/>
      <c r="D19" s="40">
        <f>IF(D15="Two",NORMSINV(D17/2),IF(D15="Lower",NORMSINV(D17),NORMSINV(1-D17)))</f>
        <v>-1.6448536269514726</v>
      </c>
      <c r="G19" s="235" t="s">
        <v>400</v>
      </c>
      <c r="H19" s="236"/>
      <c r="I19" s="236"/>
      <c r="J19" s="236"/>
      <c r="K19" s="236"/>
      <c r="L19" s="236"/>
      <c r="M19" s="236"/>
      <c r="N19" s="236"/>
      <c r="O19" s="236"/>
      <c r="P19" s="236"/>
      <c r="Q19" s="237"/>
    </row>
    <row r="20" spans="1:18" x14ac:dyDescent="0.3">
      <c r="A20" s="244" t="str">
        <f>IF(C13="=","Upper Critical Value","")</f>
        <v/>
      </c>
      <c r="B20" s="212"/>
      <c r="C20" s="213"/>
      <c r="D20" s="41" t="str">
        <f>IF(C13="=",-D19,"")</f>
        <v/>
      </c>
      <c r="G20" s="238"/>
      <c r="H20" s="239"/>
      <c r="I20" s="239"/>
      <c r="J20" s="239"/>
      <c r="K20" s="239"/>
      <c r="L20" s="239"/>
      <c r="M20" s="239"/>
      <c r="N20" s="239"/>
      <c r="O20" s="239"/>
      <c r="P20" s="239"/>
      <c r="Q20" s="240"/>
    </row>
    <row r="21" spans="1:18" x14ac:dyDescent="0.3">
      <c r="A21" s="205" t="s">
        <v>128</v>
      </c>
      <c r="B21" s="206"/>
      <c r="C21" s="206"/>
      <c r="D21" s="207"/>
      <c r="G21" s="238"/>
      <c r="H21" s="239"/>
      <c r="I21" s="239"/>
      <c r="J21" s="239"/>
      <c r="K21" s="239"/>
      <c r="L21" s="239"/>
      <c r="M21" s="239"/>
      <c r="N21" s="239"/>
      <c r="O21" s="239"/>
      <c r="P21" s="239"/>
      <c r="Q21" s="240"/>
    </row>
    <row r="22" spans="1:18" x14ac:dyDescent="0.3">
      <c r="A22" s="228" t="s">
        <v>25</v>
      </c>
      <c r="B22" s="229"/>
      <c r="C22" s="229"/>
      <c r="D22" s="230"/>
      <c r="G22" s="238"/>
      <c r="H22" s="239"/>
      <c r="I22" s="239"/>
      <c r="J22" s="239"/>
      <c r="K22" s="239"/>
      <c r="L22" s="239"/>
      <c r="M22" s="239"/>
      <c r="N22" s="239"/>
      <c r="O22" s="239"/>
      <c r="P22" s="239"/>
      <c r="Q22" s="240"/>
    </row>
    <row r="23" spans="1:18" ht="15" thickBot="1" x14ac:dyDescent="0.35">
      <c r="A23" s="211" t="s">
        <v>112</v>
      </c>
      <c r="B23" s="212"/>
      <c r="C23" s="213"/>
      <c r="D23" s="31">
        <f>D6</f>
        <v>305</v>
      </c>
      <c r="G23" s="241"/>
      <c r="H23" s="242"/>
      <c r="I23" s="242"/>
      <c r="J23" s="242"/>
      <c r="K23" s="242"/>
      <c r="L23" s="242"/>
      <c r="M23" s="242"/>
      <c r="N23" s="242"/>
      <c r="O23" s="242"/>
      <c r="P23" s="242"/>
      <c r="Q23" s="243"/>
    </row>
    <row r="24" spans="1:18" x14ac:dyDescent="0.3">
      <c r="A24" s="211" t="s">
        <v>129</v>
      </c>
      <c r="B24" s="212"/>
      <c r="C24" s="213"/>
      <c r="D24" s="31">
        <f>SUM(B6:C6)</f>
        <v>59</v>
      </c>
    </row>
    <row r="25" spans="1:18" ht="15.6" x14ac:dyDescent="0.35">
      <c r="A25" s="214" t="s">
        <v>130</v>
      </c>
      <c r="B25" s="215"/>
      <c r="C25" s="215"/>
      <c r="D25" s="56">
        <f>D24/D23</f>
        <v>0.19344262295081968</v>
      </c>
      <c r="G25" t="s">
        <v>402</v>
      </c>
    </row>
    <row r="26" spans="1:18" ht="15" thickBot="1" x14ac:dyDescent="0.35">
      <c r="A26" s="228" t="s">
        <v>14</v>
      </c>
      <c r="B26" s="229"/>
      <c r="C26" s="229"/>
      <c r="D26" s="230"/>
    </row>
    <row r="27" spans="1:18" x14ac:dyDescent="0.3">
      <c r="A27" s="211" t="s">
        <v>112</v>
      </c>
      <c r="B27" s="212"/>
      <c r="C27" s="213"/>
      <c r="D27" s="31">
        <f>D7</f>
        <v>95</v>
      </c>
      <c r="G27" s="219" t="s">
        <v>393</v>
      </c>
      <c r="H27" s="220"/>
      <c r="I27" s="220"/>
      <c r="J27" s="221"/>
      <c r="L27" s="193" t="s">
        <v>409</v>
      </c>
      <c r="M27" s="194"/>
      <c r="N27" s="194"/>
      <c r="O27" s="194"/>
      <c r="P27" s="194"/>
      <c r="Q27" s="194"/>
      <c r="R27" s="195"/>
    </row>
    <row r="28" spans="1:18" x14ac:dyDescent="0.3">
      <c r="A28" s="211" t="s">
        <v>129</v>
      </c>
      <c r="B28" s="212"/>
      <c r="C28" s="213"/>
      <c r="D28" s="31">
        <f>SUM(B7:C7)</f>
        <v>33</v>
      </c>
      <c r="G28" s="222"/>
      <c r="H28" s="223"/>
      <c r="I28" s="223"/>
      <c r="J28" s="224"/>
      <c r="L28" s="196"/>
      <c r="M28" s="197"/>
      <c r="N28" s="197"/>
      <c r="O28" s="197"/>
      <c r="P28" s="197"/>
      <c r="Q28" s="197"/>
      <c r="R28" s="198"/>
    </row>
    <row r="29" spans="1:18" ht="15.6" x14ac:dyDescent="0.35">
      <c r="A29" s="214" t="s">
        <v>131</v>
      </c>
      <c r="B29" s="215"/>
      <c r="C29" s="215"/>
      <c r="D29" s="56">
        <f>D28/D27</f>
        <v>0.3473684210526316</v>
      </c>
      <c r="G29" s="205" t="s">
        <v>394</v>
      </c>
      <c r="H29" s="206"/>
      <c r="I29" s="206"/>
      <c r="J29" s="207"/>
      <c r="L29" s="196"/>
      <c r="M29" s="197"/>
      <c r="N29" s="197"/>
      <c r="O29" s="197"/>
      <c r="P29" s="197"/>
      <c r="Q29" s="197"/>
      <c r="R29" s="198"/>
    </row>
    <row r="30" spans="1:18" x14ac:dyDescent="0.3">
      <c r="A30" s="249"/>
      <c r="B30" s="250"/>
      <c r="C30" s="250"/>
      <c r="D30" s="251"/>
      <c r="G30" s="231" t="s">
        <v>394</v>
      </c>
      <c r="H30" s="232"/>
      <c r="I30" s="233"/>
      <c r="J30" s="54">
        <f>1-D17</f>
        <v>0.95</v>
      </c>
      <c r="L30" s="196"/>
      <c r="M30" s="197"/>
      <c r="N30" s="197"/>
      <c r="O30" s="197"/>
      <c r="P30" s="197"/>
      <c r="Q30" s="197"/>
      <c r="R30" s="198"/>
    </row>
    <row r="31" spans="1:18" ht="15" thickBot="1" x14ac:dyDescent="0.35">
      <c r="A31" s="252"/>
      <c r="B31" s="253"/>
      <c r="C31" s="253"/>
      <c r="D31" s="254"/>
      <c r="G31" s="211"/>
      <c r="H31" s="212"/>
      <c r="I31" s="212"/>
      <c r="J31" s="234"/>
      <c r="L31" s="199"/>
      <c r="M31" s="200"/>
      <c r="N31" s="200"/>
      <c r="O31" s="200"/>
      <c r="P31" s="200"/>
      <c r="Q31" s="200"/>
      <c r="R31" s="201"/>
    </row>
    <row r="32" spans="1:18" x14ac:dyDescent="0.3">
      <c r="A32" s="214" t="s">
        <v>132</v>
      </c>
      <c r="B32" s="215"/>
      <c r="C32" s="215"/>
      <c r="D32" s="56">
        <f>(D24+D28)/(D23+D27)</f>
        <v>0.23</v>
      </c>
      <c r="G32" s="205" t="s">
        <v>109</v>
      </c>
      <c r="H32" s="206"/>
      <c r="I32" s="206"/>
      <c r="J32" s="207"/>
    </row>
    <row r="33" spans="1:10" x14ac:dyDescent="0.3">
      <c r="A33" s="214" t="s">
        <v>133</v>
      </c>
      <c r="B33" s="215"/>
      <c r="C33" s="215"/>
      <c r="D33" s="56">
        <f>SQRT(D32*(1-D32)*(1/D23+1/D27))</f>
        <v>4.9445588923792867E-2</v>
      </c>
      <c r="G33" s="228" t="s">
        <v>25</v>
      </c>
      <c r="H33" s="229"/>
      <c r="I33" s="229"/>
      <c r="J33" s="230"/>
    </row>
    <row r="34" spans="1:10" x14ac:dyDescent="0.3">
      <c r="A34" s="216" t="s">
        <v>134</v>
      </c>
      <c r="B34" s="217"/>
      <c r="C34" s="217"/>
      <c r="D34" s="43">
        <f>((D25-D29)-D13)/D33</f>
        <v>-3.113033972333656</v>
      </c>
      <c r="G34" s="211" t="s">
        <v>112</v>
      </c>
      <c r="H34" s="212"/>
      <c r="I34" s="213"/>
      <c r="J34" s="31">
        <f>D23</f>
        <v>305</v>
      </c>
    </row>
    <row r="35" spans="1:10" x14ac:dyDescent="0.3">
      <c r="A35" s="214" t="s">
        <v>115</v>
      </c>
      <c r="B35" s="215"/>
      <c r="C35" s="215"/>
      <c r="D35" s="43">
        <f>IF(D15="Two",2*(1-NORMSDIST(ABS(D34))),IF(D15="Lower",NORMSDIST(D34),1-NORMSDIST((D34))))</f>
        <v>9.2587350554295224E-4</v>
      </c>
      <c r="G35" s="211" t="s">
        <v>129</v>
      </c>
      <c r="H35" s="212"/>
      <c r="I35" s="213"/>
      <c r="J35" s="31">
        <f>D24</f>
        <v>59</v>
      </c>
    </row>
    <row r="36" spans="1:10" ht="15.6" x14ac:dyDescent="0.35">
      <c r="A36" s="202"/>
      <c r="B36" s="203"/>
      <c r="C36" s="203"/>
      <c r="D36" s="204"/>
      <c r="G36" s="214" t="s">
        <v>130</v>
      </c>
      <c r="H36" s="215"/>
      <c r="I36" s="215"/>
      <c r="J36" s="56">
        <f>J35/J34</f>
        <v>0.19344262295081968</v>
      </c>
    </row>
    <row r="37" spans="1:10" x14ac:dyDescent="0.3">
      <c r="A37" s="205" t="s">
        <v>116</v>
      </c>
      <c r="B37" s="206"/>
      <c r="C37" s="206"/>
      <c r="D37" s="207"/>
      <c r="G37" s="228" t="s">
        <v>14</v>
      </c>
      <c r="H37" s="229"/>
      <c r="I37" s="229"/>
      <c r="J37" s="230"/>
    </row>
    <row r="38" spans="1:10" ht="15" thickBot="1" x14ac:dyDescent="0.35">
      <c r="A38" s="208" t="str">
        <f>IF(D35&lt;D17,"Reject Null Hypothesis", "Fail to reject Null Hypothesis")</f>
        <v>Reject Null Hypothesis</v>
      </c>
      <c r="B38" s="209"/>
      <c r="C38" s="209"/>
      <c r="D38" s="210"/>
      <c r="G38" s="211" t="s">
        <v>112</v>
      </c>
      <c r="H38" s="212"/>
      <c r="I38" s="213"/>
      <c r="J38" s="31">
        <f>D27</f>
        <v>95</v>
      </c>
    </row>
    <row r="39" spans="1:10" x14ac:dyDescent="0.3">
      <c r="G39" s="211" t="s">
        <v>129</v>
      </c>
      <c r="H39" s="212"/>
      <c r="I39" s="213"/>
      <c r="J39" s="31">
        <f>D28</f>
        <v>33</v>
      </c>
    </row>
    <row r="40" spans="1:10" ht="15.6" x14ac:dyDescent="0.35">
      <c r="G40" s="214" t="s">
        <v>131</v>
      </c>
      <c r="H40" s="215"/>
      <c r="I40" s="215"/>
      <c r="J40" s="56">
        <f>J39/J38</f>
        <v>0.3473684210526316</v>
      </c>
    </row>
    <row r="41" spans="1:10" x14ac:dyDescent="0.3">
      <c r="G41" s="202"/>
      <c r="H41" s="203"/>
      <c r="I41" s="203"/>
      <c r="J41" s="204"/>
    </row>
    <row r="42" spans="1:10" x14ac:dyDescent="0.3">
      <c r="G42" s="205" t="s">
        <v>395</v>
      </c>
      <c r="H42" s="206"/>
      <c r="I42" s="206"/>
      <c r="J42" s="207"/>
    </row>
    <row r="43" spans="1:10" x14ac:dyDescent="0.3">
      <c r="G43" s="214" t="s">
        <v>132</v>
      </c>
      <c r="H43" s="215"/>
      <c r="I43" s="215"/>
      <c r="J43" s="56">
        <f>(J35+J39)/(J34+J38)</f>
        <v>0.23</v>
      </c>
    </row>
    <row r="44" spans="1:10" x14ac:dyDescent="0.3">
      <c r="G44" s="214" t="s">
        <v>133</v>
      </c>
      <c r="H44" s="215"/>
      <c r="I44" s="215"/>
      <c r="J44" s="56">
        <f>SQRT(J43*(1-J43)*(1/J34+1/J38))</f>
        <v>4.9445588923792867E-2</v>
      </c>
    </row>
    <row r="45" spans="1:10" x14ac:dyDescent="0.3">
      <c r="G45" s="216" t="s">
        <v>396</v>
      </c>
      <c r="H45" s="217"/>
      <c r="I45" s="217"/>
      <c r="J45" s="180">
        <f>NORMSINV(1-(1-J30)/2)</f>
        <v>1.9599639845400536</v>
      </c>
    </row>
    <row r="46" spans="1:10" x14ac:dyDescent="0.3">
      <c r="G46" s="202"/>
      <c r="H46" s="203"/>
      <c r="I46" s="203"/>
      <c r="J46" s="204"/>
    </row>
    <row r="47" spans="1:10" x14ac:dyDescent="0.3">
      <c r="G47" s="205" t="s">
        <v>397</v>
      </c>
      <c r="H47" s="206"/>
      <c r="I47" s="206"/>
      <c r="J47" s="207"/>
    </row>
    <row r="48" spans="1:10" x14ac:dyDescent="0.3">
      <c r="G48" s="225" t="s">
        <v>398</v>
      </c>
      <c r="H48" s="226"/>
      <c r="I48" s="227"/>
      <c r="J48" s="181">
        <f>(J36-J40)-J45*J44</f>
        <v>-0.25083737158681851</v>
      </c>
    </row>
    <row r="49" spans="7:10" ht="15" thickBot="1" x14ac:dyDescent="0.35">
      <c r="G49" s="182" t="s">
        <v>399</v>
      </c>
      <c r="H49" s="183"/>
      <c r="I49" s="184"/>
      <c r="J49" s="185">
        <f>(J36-J40)+J45*J44</f>
        <v>-5.7014224616805317E-2</v>
      </c>
    </row>
  </sheetData>
  <mergeCells count="52">
    <mergeCell ref="A38:D38"/>
    <mergeCell ref="A24:C24"/>
    <mergeCell ref="A25:C25"/>
    <mergeCell ref="A26:D26"/>
    <mergeCell ref="A27:C27"/>
    <mergeCell ref="A28:C28"/>
    <mergeCell ref="A29:C29"/>
    <mergeCell ref="A30:D31"/>
    <mergeCell ref="A32:C32"/>
    <mergeCell ref="A33:C33"/>
    <mergeCell ref="A34:C34"/>
    <mergeCell ref="A35:C35"/>
    <mergeCell ref="A36:D36"/>
    <mergeCell ref="A37:D37"/>
    <mergeCell ref="B1:S2"/>
    <mergeCell ref="A18:D18"/>
    <mergeCell ref="G13:R14"/>
    <mergeCell ref="G19:Q23"/>
    <mergeCell ref="A20:C20"/>
    <mergeCell ref="A21:D21"/>
    <mergeCell ref="A22:D22"/>
    <mergeCell ref="A23:C23"/>
    <mergeCell ref="A19:C19"/>
    <mergeCell ref="A4:A5"/>
    <mergeCell ref="A10:D10"/>
    <mergeCell ref="A11:D11"/>
    <mergeCell ref="A12:D12"/>
    <mergeCell ref="A16:D16"/>
    <mergeCell ref="B4:E4"/>
    <mergeCell ref="G35:I35"/>
    <mergeCell ref="G36:I36"/>
    <mergeCell ref="G27:J27"/>
    <mergeCell ref="G28:J28"/>
    <mergeCell ref="G29:J29"/>
    <mergeCell ref="G30:I30"/>
    <mergeCell ref="G31:J31"/>
    <mergeCell ref="G47:J47"/>
    <mergeCell ref="G48:I48"/>
    <mergeCell ref="L27:R31"/>
    <mergeCell ref="G42:J42"/>
    <mergeCell ref="G43:I43"/>
    <mergeCell ref="G44:I44"/>
    <mergeCell ref="G45:I45"/>
    <mergeCell ref="G46:J46"/>
    <mergeCell ref="G37:J37"/>
    <mergeCell ref="G38:I38"/>
    <mergeCell ref="G39:I39"/>
    <mergeCell ref="G40:I40"/>
    <mergeCell ref="G41:J41"/>
    <mergeCell ref="G32:J32"/>
    <mergeCell ref="G33:J33"/>
    <mergeCell ref="G34:I34"/>
  </mergeCells>
  <conditionalFormatting sqref="D20">
    <cfRule type="cellIs" dxfId="5" priority="2" stopIfTrue="1" operator="notEqual">
      <formula>""</formula>
    </cfRule>
  </conditionalFormatting>
  <conditionalFormatting sqref="D20">
    <cfRule type="cellIs" dxfId="4" priority="1" stopIfTrue="1" operator="notEqual">
      <formula>""</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AEAA-44AB-4A66-B7E1-E7C07372EF82}">
  <dimension ref="A1:AN326"/>
  <sheetViews>
    <sheetView showGridLines="0" workbookViewId="0">
      <selection activeCell="I29" sqref="I29:U31"/>
    </sheetView>
  </sheetViews>
  <sheetFormatPr defaultRowHeight="14.4" x14ac:dyDescent="0.3"/>
  <cols>
    <col min="1" max="1" width="19" customWidth="1"/>
    <col min="2" max="2" width="10" customWidth="1"/>
    <col min="3" max="3" width="8.88671875" customWidth="1"/>
    <col min="4" max="4" width="13" customWidth="1"/>
    <col min="5" max="5" width="2" customWidth="1"/>
    <col min="11" max="11" width="11" bestFit="1" customWidth="1"/>
  </cols>
  <sheetData>
    <row r="1" spans="1:40" x14ac:dyDescent="0.3">
      <c r="A1" s="12" t="s">
        <v>175</v>
      </c>
      <c r="B1" s="12" t="s">
        <v>176</v>
      </c>
    </row>
    <row r="3" spans="1:40" x14ac:dyDescent="0.3">
      <c r="A3" s="17" t="s">
        <v>4</v>
      </c>
      <c r="B3" s="264" t="s">
        <v>177</v>
      </c>
      <c r="C3" s="264"/>
      <c r="D3" s="264"/>
      <c r="E3" s="264"/>
      <c r="F3" s="17" t="s">
        <v>79</v>
      </c>
      <c r="G3" s="17" t="s">
        <v>74</v>
      </c>
      <c r="I3" s="218" t="s">
        <v>178</v>
      </c>
      <c r="J3" s="218"/>
      <c r="K3" s="218"/>
      <c r="L3" s="218"/>
      <c r="M3" s="218"/>
      <c r="N3" s="218"/>
      <c r="O3" s="218"/>
      <c r="P3" s="218"/>
      <c r="Q3" s="218"/>
      <c r="R3" s="218"/>
      <c r="S3" s="218"/>
    </row>
    <row r="4" spans="1:40" x14ac:dyDescent="0.3">
      <c r="A4" s="16" t="s">
        <v>25</v>
      </c>
      <c r="B4" s="265">
        <f>AVERAGEIF(CustomerDataSet_Original!E1:E401,'Q3.a'!A4,CustomerDataSet_Original!L1:L401)</f>
        <v>240.95737704918034</v>
      </c>
      <c r="C4" s="265"/>
      <c r="D4" s="265"/>
      <c r="E4" s="265"/>
      <c r="F4" s="16">
        <f>COUNTIF(CustomerDataSet_Original!E:E,'Q3.a'!A4)</f>
        <v>305</v>
      </c>
      <c r="G4" s="18">
        <f t="array" ref="G4">_xlfn.VAR.S(IF(CustomerDataSet_Original!Area='Q3.a'!A4,CustomerDataSet_Original!Savings,""))</f>
        <v>110912.81067730802</v>
      </c>
      <c r="I4" s="218"/>
      <c r="J4" s="218"/>
      <c r="K4" s="218"/>
      <c r="L4" s="218"/>
      <c r="M4" s="218"/>
      <c r="N4" s="218"/>
      <c r="O4" s="218"/>
      <c r="P4" s="218"/>
      <c r="Q4" s="218"/>
      <c r="R4" s="218"/>
      <c r="S4" s="218"/>
      <c r="AM4" s="44" t="s">
        <v>104</v>
      </c>
      <c r="AN4" s="45" t="s">
        <v>117</v>
      </c>
    </row>
    <row r="5" spans="1:40" x14ac:dyDescent="0.3">
      <c r="A5" s="16" t="s">
        <v>14</v>
      </c>
      <c r="B5" s="265">
        <f>AVERAGEIF(CustomerDataSet_Original!E1:E401,'Q3.a'!A5,CustomerDataSet_Original!L1:L401)</f>
        <v>193.31578947368422</v>
      </c>
      <c r="C5" s="265"/>
      <c r="D5" s="265"/>
      <c r="E5" s="265"/>
      <c r="F5" s="16">
        <f>COUNTIF(CustomerDataSet_Original!E:E,'Q3.a'!A5)</f>
        <v>95</v>
      </c>
      <c r="G5" s="18">
        <f t="array" ref="G5">_xlfn.VAR.S(IF(CustomerDataSet_Original!Area='Q3.a'!A5,CustomerDataSet_Original!Savings,""))</f>
        <v>75735.835386338193</v>
      </c>
      <c r="AM5" s="44" t="s">
        <v>118</v>
      </c>
      <c r="AN5" s="46" t="s">
        <v>119</v>
      </c>
    </row>
    <row r="6" spans="1:40" ht="15" thickBot="1" x14ac:dyDescent="0.35">
      <c r="I6" s="26" t="s">
        <v>136</v>
      </c>
      <c r="P6" s="6"/>
      <c r="AM6" s="45" t="s">
        <v>120</v>
      </c>
      <c r="AN6" s="47" t="s">
        <v>121</v>
      </c>
    </row>
    <row r="7" spans="1:40" x14ac:dyDescent="0.3">
      <c r="A7" s="219" t="s">
        <v>99</v>
      </c>
      <c r="B7" s="220"/>
      <c r="C7" s="220"/>
      <c r="D7" s="221"/>
      <c r="F7" s="3"/>
      <c r="G7" s="6"/>
      <c r="I7" t="s">
        <v>137</v>
      </c>
      <c r="P7" s="6"/>
    </row>
    <row r="8" spans="1:40" x14ac:dyDescent="0.3">
      <c r="A8" s="222"/>
      <c r="B8" s="223"/>
      <c r="C8" s="223"/>
      <c r="D8" s="224"/>
      <c r="F8" s="3"/>
      <c r="G8" s="6"/>
      <c r="I8" t="s">
        <v>138</v>
      </c>
      <c r="P8" s="6"/>
    </row>
    <row r="9" spans="1:40" ht="15.6" x14ac:dyDescent="0.35">
      <c r="A9" s="205" t="s">
        <v>100</v>
      </c>
      <c r="B9" s="206"/>
      <c r="C9" s="206"/>
      <c r="D9" s="207"/>
      <c r="F9" s="3"/>
      <c r="G9" s="6"/>
      <c r="I9" s="60" t="s">
        <v>139</v>
      </c>
      <c r="P9" s="6"/>
    </row>
    <row r="10" spans="1:40" ht="15.6" x14ac:dyDescent="0.35">
      <c r="A10" s="27" t="s">
        <v>101</v>
      </c>
      <c r="B10" s="28" t="s">
        <v>102</v>
      </c>
      <c r="C10" s="28" t="str">
        <f>IF(C11="&gt;",$AN$4,IF(C11="&lt;",$AN$5,$AN$6))</f>
        <v>=</v>
      </c>
      <c r="D10" s="29">
        <f>D11</f>
        <v>0</v>
      </c>
      <c r="F10" s="3"/>
      <c r="G10" s="6"/>
      <c r="I10" s="65" t="s">
        <v>149</v>
      </c>
      <c r="J10" s="68">
        <f>G4/G5</f>
        <v>1.4644693639612949</v>
      </c>
      <c r="P10" s="6"/>
    </row>
    <row r="11" spans="1:40" ht="15.6" x14ac:dyDescent="0.35">
      <c r="A11" s="27" t="s">
        <v>103</v>
      </c>
      <c r="B11" s="28" t="s">
        <v>102</v>
      </c>
      <c r="C11" s="30" t="s">
        <v>120</v>
      </c>
      <c r="D11" s="31">
        <v>0</v>
      </c>
      <c r="F11" s="3"/>
      <c r="G11" s="6"/>
      <c r="I11" s="60" t="s">
        <v>141</v>
      </c>
      <c r="P11" s="6"/>
    </row>
    <row r="12" spans="1:40" x14ac:dyDescent="0.3">
      <c r="A12" s="32" t="s">
        <v>105</v>
      </c>
      <c r="B12" s="33"/>
      <c r="C12" s="33"/>
      <c r="D12" s="34" t="str">
        <f>IF(C11="&lt;","Lower",IF(C11="&gt;","Upper","Two"))</f>
        <v>Two</v>
      </c>
      <c r="F12" s="3"/>
      <c r="G12" s="6"/>
      <c r="J12" t="s">
        <v>142</v>
      </c>
      <c r="K12" s="64" t="s">
        <v>143</v>
      </c>
      <c r="L12" s="63">
        <f>_xlfn.F.INV.RT(D14/2,F4-1,F5-1)</f>
        <v>1.4092950869004095</v>
      </c>
      <c r="P12" s="6"/>
    </row>
    <row r="13" spans="1:40" x14ac:dyDescent="0.3">
      <c r="A13" s="205" t="s">
        <v>98</v>
      </c>
      <c r="B13" s="206"/>
      <c r="C13" s="206"/>
      <c r="D13" s="207"/>
      <c r="F13" s="3"/>
      <c r="G13" s="6"/>
      <c r="K13" s="64" t="s">
        <v>144</v>
      </c>
      <c r="L13" s="62">
        <f>1/L12</f>
        <v>0.7095746017247464</v>
      </c>
      <c r="P13" s="6"/>
    </row>
    <row r="14" spans="1:40" ht="15.6" x14ac:dyDescent="0.35">
      <c r="A14" s="35"/>
      <c r="B14" s="36"/>
      <c r="C14" s="37" t="s">
        <v>106</v>
      </c>
      <c r="D14" s="38">
        <v>0.05</v>
      </c>
      <c r="F14" s="3"/>
      <c r="G14" s="6"/>
      <c r="J14" s="65" t="s">
        <v>219</v>
      </c>
      <c r="K14" s="12" t="s">
        <v>146</v>
      </c>
      <c r="L14" s="12" t="s">
        <v>179</v>
      </c>
      <c r="P14" s="6"/>
    </row>
    <row r="15" spans="1:40" ht="15.6" x14ac:dyDescent="0.35">
      <c r="A15" s="205" t="s">
        <v>107</v>
      </c>
      <c r="B15" s="206"/>
      <c r="C15" s="206"/>
      <c r="D15" s="207"/>
      <c r="F15" s="3"/>
      <c r="G15" s="6"/>
      <c r="J15" s="65" t="s">
        <v>220</v>
      </c>
      <c r="K15" s="12" t="s">
        <v>148</v>
      </c>
      <c r="L15" s="12" t="s">
        <v>180</v>
      </c>
      <c r="P15" s="6"/>
    </row>
    <row r="16" spans="1:40" ht="15.6" x14ac:dyDescent="0.35">
      <c r="A16" s="214" t="s">
        <v>108</v>
      </c>
      <c r="B16" s="215"/>
      <c r="C16" s="215"/>
      <c r="D16" s="75">
        <f>INT((D21^2/D23+D25^2/D27)^2/((D21^2/D23)^2/(D23-1)+(D25^2/D27)^2/(D27-1)))</f>
        <v>187</v>
      </c>
      <c r="F16" s="3"/>
      <c r="G16" s="6"/>
      <c r="I16" s="67" t="s">
        <v>158</v>
      </c>
      <c r="J16" s="66"/>
      <c r="K16" s="12"/>
      <c r="P16" s="6"/>
    </row>
    <row r="17" spans="1:21" ht="14.4" customHeight="1" x14ac:dyDescent="0.3">
      <c r="A17" s="214" t="str">
        <f>IF(C10="=","Lower Critical Value","Critical Value")</f>
        <v>Lower Critical Value</v>
      </c>
      <c r="B17" s="215"/>
      <c r="C17" s="215"/>
      <c r="D17" s="40">
        <f>IF(D12="Two",-(TINV(D14,D16)),IF(D12="Lower",-(TINV(D14*2,D16)),TINV(D14*2,D16)))</f>
        <v>-1.9727310334089139</v>
      </c>
      <c r="F17" s="3"/>
      <c r="G17" s="6"/>
      <c r="I17" s="192" t="s">
        <v>181</v>
      </c>
      <c r="J17" s="192"/>
      <c r="K17" s="192"/>
      <c r="L17" s="192"/>
      <c r="M17" s="192"/>
      <c r="N17" s="192"/>
      <c r="O17" s="192"/>
      <c r="P17" s="192"/>
      <c r="Q17" s="192"/>
      <c r="R17" s="192"/>
      <c r="S17" s="192"/>
    </row>
    <row r="18" spans="1:21" x14ac:dyDescent="0.3">
      <c r="A18" s="211" t="str">
        <f>IF(C10="=","Upper Critical Value","")</f>
        <v>Upper Critical Value</v>
      </c>
      <c r="B18" s="212"/>
      <c r="C18" s="213"/>
      <c r="D18" s="41">
        <f>IF(C10="=",-D17,"")</f>
        <v>1.9727310334089139</v>
      </c>
      <c r="F18" s="3"/>
      <c r="G18" s="6"/>
      <c r="I18" s="192"/>
      <c r="J18" s="192"/>
      <c r="K18" s="192"/>
      <c r="L18" s="192"/>
      <c r="M18" s="192"/>
      <c r="N18" s="192"/>
      <c r="O18" s="192"/>
      <c r="P18" s="192"/>
      <c r="Q18" s="192"/>
      <c r="R18" s="192"/>
      <c r="S18" s="192"/>
    </row>
    <row r="19" spans="1:21" x14ac:dyDescent="0.3">
      <c r="A19" s="205" t="s">
        <v>109</v>
      </c>
      <c r="B19" s="206"/>
      <c r="C19" s="206"/>
      <c r="D19" s="207"/>
      <c r="F19" s="3"/>
      <c r="G19" s="6"/>
      <c r="I19" s="192"/>
      <c r="J19" s="192"/>
      <c r="K19" s="192"/>
      <c r="L19" s="192"/>
      <c r="M19" s="192"/>
      <c r="N19" s="192"/>
      <c r="O19" s="192"/>
      <c r="P19" s="192"/>
      <c r="Q19" s="192"/>
      <c r="R19" s="192"/>
      <c r="S19" s="192"/>
    </row>
    <row r="20" spans="1:21" x14ac:dyDescent="0.3">
      <c r="A20" s="228" t="s">
        <v>25</v>
      </c>
      <c r="B20" s="229"/>
      <c r="C20" s="229"/>
      <c r="D20" s="230"/>
      <c r="F20" s="3"/>
      <c r="G20" s="6"/>
      <c r="I20" s="192"/>
      <c r="J20" s="192"/>
      <c r="K20" s="192"/>
      <c r="L20" s="192"/>
      <c r="M20" s="192"/>
      <c r="N20" s="192"/>
      <c r="O20" s="192"/>
      <c r="P20" s="192"/>
      <c r="Q20" s="192"/>
      <c r="R20" s="192"/>
      <c r="S20" s="192"/>
    </row>
    <row r="21" spans="1:21" x14ac:dyDescent="0.3">
      <c r="A21" s="211" t="s">
        <v>110</v>
      </c>
      <c r="B21" s="212"/>
      <c r="C21" s="213"/>
      <c r="D21" s="38">
        <f>SQRT(G4)</f>
        <v>333.03574984873325</v>
      </c>
      <c r="F21" s="3"/>
      <c r="G21" s="6"/>
    </row>
    <row r="22" spans="1:21" x14ac:dyDescent="0.3">
      <c r="A22" s="211" t="s">
        <v>111</v>
      </c>
      <c r="B22" s="212"/>
      <c r="C22" s="213"/>
      <c r="D22" s="38">
        <f>B4</f>
        <v>240.95737704918034</v>
      </c>
      <c r="F22" s="3"/>
      <c r="G22" s="6"/>
      <c r="I22" s="26" t="s">
        <v>182</v>
      </c>
    </row>
    <row r="23" spans="1:21" ht="15.6" x14ac:dyDescent="0.35">
      <c r="A23" s="211" t="s">
        <v>112</v>
      </c>
      <c r="B23" s="212"/>
      <c r="C23" s="213"/>
      <c r="D23" s="31">
        <f>F4</f>
        <v>305</v>
      </c>
      <c r="F23" s="3"/>
      <c r="G23" s="6"/>
      <c r="J23" s="65" t="s">
        <v>219</v>
      </c>
      <c r="K23" s="12" t="s">
        <v>183</v>
      </c>
      <c r="L23" s="12" t="s">
        <v>185</v>
      </c>
    </row>
    <row r="24" spans="1:21" ht="15.6" x14ac:dyDescent="0.35">
      <c r="A24" s="228" t="s">
        <v>14</v>
      </c>
      <c r="B24" s="229"/>
      <c r="C24" s="229"/>
      <c r="D24" s="230"/>
      <c r="F24" s="3"/>
      <c r="G24" s="6"/>
      <c r="J24" s="65" t="s">
        <v>220</v>
      </c>
      <c r="K24" s="12" t="s">
        <v>184</v>
      </c>
      <c r="L24" s="12" t="s">
        <v>186</v>
      </c>
    </row>
    <row r="25" spans="1:21" x14ac:dyDescent="0.3">
      <c r="A25" s="211" t="s">
        <v>110</v>
      </c>
      <c r="B25" s="212"/>
      <c r="C25" s="213"/>
      <c r="D25" s="38">
        <f>SQRT(G5)</f>
        <v>275.20144510219819</v>
      </c>
      <c r="F25" s="3"/>
      <c r="G25" s="6"/>
      <c r="I25" s="192" t="s">
        <v>187</v>
      </c>
      <c r="J25" s="192"/>
      <c r="K25" s="192"/>
      <c r="L25" s="192"/>
      <c r="M25" s="192"/>
      <c r="N25" s="192"/>
      <c r="O25" s="192"/>
      <c r="P25" s="192"/>
      <c r="Q25" s="192"/>
      <c r="R25" s="192"/>
      <c r="S25" s="192"/>
      <c r="T25" s="192"/>
      <c r="U25" s="192"/>
    </row>
    <row r="26" spans="1:21" x14ac:dyDescent="0.3">
      <c r="A26" s="211" t="s">
        <v>111</v>
      </c>
      <c r="B26" s="212"/>
      <c r="C26" s="213"/>
      <c r="D26" s="38">
        <f>B5</f>
        <v>193.31578947368422</v>
      </c>
      <c r="F26" s="3"/>
      <c r="G26" s="6"/>
      <c r="I26" s="192"/>
      <c r="J26" s="192"/>
      <c r="K26" s="192"/>
      <c r="L26" s="192"/>
      <c r="M26" s="192"/>
      <c r="N26" s="192"/>
      <c r="O26" s="192"/>
      <c r="P26" s="192"/>
      <c r="Q26" s="192"/>
      <c r="R26" s="192"/>
      <c r="S26" s="192"/>
      <c r="T26" s="192"/>
      <c r="U26" s="192"/>
    </row>
    <row r="27" spans="1:21" x14ac:dyDescent="0.3">
      <c r="A27" s="211" t="s">
        <v>112</v>
      </c>
      <c r="B27" s="212"/>
      <c r="C27" s="213"/>
      <c r="D27" s="31">
        <f>F5</f>
        <v>95</v>
      </c>
      <c r="F27" s="3"/>
      <c r="G27" s="6"/>
      <c r="I27" t="s">
        <v>159</v>
      </c>
    </row>
    <row r="28" spans="1:21" ht="15" thickBot="1" x14ac:dyDescent="0.35">
      <c r="A28" s="249"/>
      <c r="B28" s="250"/>
      <c r="C28" s="250"/>
      <c r="D28" s="251"/>
      <c r="F28" s="3"/>
      <c r="G28" s="6"/>
      <c r="I28" s="12" t="s">
        <v>189</v>
      </c>
    </row>
    <row r="29" spans="1:21" x14ac:dyDescent="0.3">
      <c r="A29" s="252"/>
      <c r="B29" s="253"/>
      <c r="C29" s="253"/>
      <c r="D29" s="254"/>
      <c r="F29" s="3"/>
      <c r="G29" s="6"/>
      <c r="I29" s="255" t="s">
        <v>407</v>
      </c>
      <c r="J29" s="256"/>
      <c r="K29" s="256"/>
      <c r="L29" s="256"/>
      <c r="M29" s="256"/>
      <c r="N29" s="256"/>
      <c r="O29" s="256"/>
      <c r="P29" s="256"/>
      <c r="Q29" s="256"/>
      <c r="R29" s="256"/>
      <c r="S29" s="256"/>
      <c r="T29" s="256"/>
      <c r="U29" s="257"/>
    </row>
    <row r="30" spans="1:21" x14ac:dyDescent="0.3">
      <c r="A30" s="214" t="s">
        <v>113</v>
      </c>
      <c r="B30" s="215"/>
      <c r="C30" s="215"/>
      <c r="D30" s="42">
        <f>SQRT(D21^2/D23+D25^2/D27)</f>
        <v>34.071511258732315</v>
      </c>
      <c r="F30" s="3"/>
      <c r="G30" s="6"/>
      <c r="I30" s="258"/>
      <c r="J30" s="259"/>
      <c r="K30" s="259"/>
      <c r="L30" s="259"/>
      <c r="M30" s="259"/>
      <c r="N30" s="259"/>
      <c r="O30" s="259"/>
      <c r="P30" s="259"/>
      <c r="Q30" s="259"/>
      <c r="R30" s="259"/>
      <c r="S30" s="259"/>
      <c r="T30" s="259"/>
      <c r="U30" s="260"/>
    </row>
    <row r="31" spans="1:21" ht="15" thickBot="1" x14ac:dyDescent="0.35">
      <c r="A31" s="216" t="s">
        <v>114</v>
      </c>
      <c r="B31" s="217"/>
      <c r="C31" s="217"/>
      <c r="D31" s="43">
        <f>((D22-D26)-D10)/D30</f>
        <v>1.3982821957533766</v>
      </c>
      <c r="F31" s="3"/>
      <c r="G31" s="6"/>
      <c r="I31" s="261"/>
      <c r="J31" s="262"/>
      <c r="K31" s="262"/>
      <c r="L31" s="262"/>
      <c r="M31" s="262"/>
      <c r="N31" s="262"/>
      <c r="O31" s="262"/>
      <c r="P31" s="262"/>
      <c r="Q31" s="262"/>
      <c r="R31" s="262"/>
      <c r="S31" s="262"/>
      <c r="T31" s="262"/>
      <c r="U31" s="263"/>
    </row>
    <row r="32" spans="1:21" x14ac:dyDescent="0.3">
      <c r="A32" s="214" t="s">
        <v>115</v>
      </c>
      <c r="B32" s="215"/>
      <c r="C32" s="215"/>
      <c r="D32" s="43">
        <f>IF(C10="=",TDIST(ABS(D31),D16,2),TDIST(ABS(D31),D16,1))</f>
        <v>0.16368446504908651</v>
      </c>
      <c r="F32" s="3"/>
      <c r="G32" s="6"/>
    </row>
    <row r="33" spans="1:7" x14ac:dyDescent="0.3">
      <c r="A33" s="202"/>
      <c r="B33" s="203"/>
      <c r="C33" s="203"/>
      <c r="D33" s="204"/>
      <c r="F33" s="3"/>
      <c r="G33" s="6"/>
    </row>
    <row r="34" spans="1:7" x14ac:dyDescent="0.3">
      <c r="A34" s="205" t="s">
        <v>116</v>
      </c>
      <c r="B34" s="206"/>
      <c r="C34" s="206"/>
      <c r="D34" s="207"/>
      <c r="F34" s="3"/>
      <c r="G34" s="6"/>
    </row>
    <row r="35" spans="1:7" ht="15" thickBot="1" x14ac:dyDescent="0.35">
      <c r="A35" s="208" t="str">
        <f>IF(D32&lt;D14,"Reject Null Hypothesis", "Fail to reject Null Hypothesis")</f>
        <v>Fail to reject Null Hypothesis</v>
      </c>
      <c r="B35" s="209"/>
      <c r="C35" s="209"/>
      <c r="D35" s="210"/>
      <c r="F35" s="3"/>
      <c r="G35" s="6"/>
    </row>
    <row r="36" spans="1:7" x14ac:dyDescent="0.3">
      <c r="F36" s="3"/>
      <c r="G36" s="6"/>
    </row>
    <row r="37" spans="1:7" x14ac:dyDescent="0.3">
      <c r="F37" s="3"/>
      <c r="G37" s="6"/>
    </row>
    <row r="38" spans="1:7" x14ac:dyDescent="0.3">
      <c r="F38" s="3"/>
      <c r="G38" s="6"/>
    </row>
    <row r="39" spans="1:7" x14ac:dyDescent="0.3">
      <c r="F39" s="3"/>
      <c r="G39" s="6"/>
    </row>
    <row r="40" spans="1:7" x14ac:dyDescent="0.3">
      <c r="F40" s="3"/>
      <c r="G40" s="6"/>
    </row>
    <row r="41" spans="1:7" x14ac:dyDescent="0.3">
      <c r="F41" s="3"/>
      <c r="G41" s="6"/>
    </row>
    <row r="42" spans="1:7" x14ac:dyDescent="0.3">
      <c r="F42" s="3"/>
      <c r="G42" s="6"/>
    </row>
    <row r="43" spans="1:7" x14ac:dyDescent="0.3">
      <c r="F43" s="3"/>
      <c r="G43" s="6"/>
    </row>
    <row r="44" spans="1:7" x14ac:dyDescent="0.3">
      <c r="F44" s="3"/>
      <c r="G44" s="6"/>
    </row>
    <row r="45" spans="1:7" x14ac:dyDescent="0.3">
      <c r="F45" s="3"/>
      <c r="G45" s="6"/>
    </row>
    <row r="46" spans="1:7" x14ac:dyDescent="0.3">
      <c r="F46" s="3"/>
      <c r="G46" s="6"/>
    </row>
    <row r="47" spans="1:7" x14ac:dyDescent="0.3">
      <c r="F47" s="3"/>
      <c r="G47" s="6"/>
    </row>
    <row r="48" spans="1:7" x14ac:dyDescent="0.3">
      <c r="F48" s="3"/>
      <c r="G48" s="6"/>
    </row>
    <row r="49" spans="6:7" x14ac:dyDescent="0.3">
      <c r="F49" s="3"/>
      <c r="G49" s="6"/>
    </row>
    <row r="50" spans="6:7" x14ac:dyDescent="0.3">
      <c r="F50" s="3"/>
      <c r="G50" s="6"/>
    </row>
    <row r="51" spans="6:7" x14ac:dyDescent="0.3">
      <c r="F51" s="3"/>
      <c r="G51" s="6"/>
    </row>
    <row r="52" spans="6:7" x14ac:dyDescent="0.3">
      <c r="F52" s="3"/>
      <c r="G52" s="6"/>
    </row>
    <row r="53" spans="6:7" x14ac:dyDescent="0.3">
      <c r="F53" s="3"/>
      <c r="G53" s="6"/>
    </row>
    <row r="54" spans="6:7" x14ac:dyDescent="0.3">
      <c r="F54" s="3"/>
      <c r="G54" s="6"/>
    </row>
    <row r="55" spans="6:7" x14ac:dyDescent="0.3">
      <c r="F55" s="3"/>
      <c r="G55" s="6"/>
    </row>
    <row r="56" spans="6:7" x14ac:dyDescent="0.3">
      <c r="F56" s="3"/>
      <c r="G56" s="6"/>
    </row>
    <row r="57" spans="6:7" x14ac:dyDescent="0.3">
      <c r="F57" s="3"/>
      <c r="G57" s="6"/>
    </row>
    <row r="58" spans="6:7" x14ac:dyDescent="0.3">
      <c r="F58" s="3"/>
      <c r="G58" s="6"/>
    </row>
    <row r="59" spans="6:7" x14ac:dyDescent="0.3">
      <c r="F59" s="3"/>
      <c r="G59" s="6"/>
    </row>
    <row r="60" spans="6:7" x14ac:dyDescent="0.3">
      <c r="F60" s="3"/>
      <c r="G60" s="6"/>
    </row>
    <row r="61" spans="6:7" x14ac:dyDescent="0.3">
      <c r="F61" s="3"/>
      <c r="G61" s="6"/>
    </row>
    <row r="62" spans="6:7" x14ac:dyDescent="0.3">
      <c r="F62" s="3"/>
      <c r="G62" s="6"/>
    </row>
    <row r="63" spans="6:7" x14ac:dyDescent="0.3">
      <c r="F63" s="3"/>
      <c r="G63" s="6"/>
    </row>
    <row r="64" spans="6:7" x14ac:dyDescent="0.3">
      <c r="F64" s="3"/>
      <c r="G64" s="6"/>
    </row>
    <row r="65" spans="6:7" x14ac:dyDescent="0.3">
      <c r="F65" s="3"/>
      <c r="G65" s="6"/>
    </row>
    <row r="66" spans="6:7" x14ac:dyDescent="0.3">
      <c r="F66" s="3"/>
      <c r="G66" s="6"/>
    </row>
    <row r="67" spans="6:7" x14ac:dyDescent="0.3">
      <c r="F67" s="3"/>
      <c r="G67" s="6"/>
    </row>
    <row r="68" spans="6:7" x14ac:dyDescent="0.3">
      <c r="F68" s="3"/>
      <c r="G68" s="6"/>
    </row>
    <row r="69" spans="6:7" x14ac:dyDescent="0.3">
      <c r="F69" s="3"/>
      <c r="G69" s="6"/>
    </row>
    <row r="70" spans="6:7" x14ac:dyDescent="0.3">
      <c r="F70" s="3"/>
      <c r="G70" s="6"/>
    </row>
    <row r="71" spans="6:7" x14ac:dyDescent="0.3">
      <c r="F71" s="3"/>
      <c r="G71" s="6"/>
    </row>
    <row r="72" spans="6:7" x14ac:dyDescent="0.3">
      <c r="F72" s="3"/>
      <c r="G72" s="6"/>
    </row>
    <row r="73" spans="6:7" x14ac:dyDescent="0.3">
      <c r="F73" s="3"/>
      <c r="G73" s="6"/>
    </row>
    <row r="74" spans="6:7" x14ac:dyDescent="0.3">
      <c r="F74" s="3"/>
      <c r="G74" s="6"/>
    </row>
    <row r="75" spans="6:7" x14ac:dyDescent="0.3">
      <c r="F75" s="3"/>
      <c r="G75" s="6"/>
    </row>
    <row r="76" spans="6:7" x14ac:dyDescent="0.3">
      <c r="F76" s="3"/>
      <c r="G76" s="6"/>
    </row>
    <row r="77" spans="6:7" x14ac:dyDescent="0.3">
      <c r="F77" s="3"/>
      <c r="G77" s="6"/>
    </row>
    <row r="78" spans="6:7" x14ac:dyDescent="0.3">
      <c r="F78" s="3"/>
      <c r="G78" s="6"/>
    </row>
    <row r="79" spans="6:7" x14ac:dyDescent="0.3">
      <c r="F79" s="3"/>
      <c r="G79" s="6"/>
    </row>
    <row r="80" spans="6:7" x14ac:dyDescent="0.3">
      <c r="F80" s="3"/>
      <c r="G80" s="6"/>
    </row>
    <row r="81" spans="6:7" x14ac:dyDescent="0.3">
      <c r="F81" s="3"/>
      <c r="G81" s="6"/>
    </row>
    <row r="82" spans="6:7" x14ac:dyDescent="0.3">
      <c r="F82" s="3"/>
      <c r="G82" s="6"/>
    </row>
    <row r="83" spans="6:7" x14ac:dyDescent="0.3">
      <c r="F83" s="3"/>
      <c r="G83" s="6"/>
    </row>
    <row r="84" spans="6:7" x14ac:dyDescent="0.3">
      <c r="F84" s="3"/>
      <c r="G84" s="6"/>
    </row>
    <row r="85" spans="6:7" x14ac:dyDescent="0.3">
      <c r="F85" s="3"/>
      <c r="G85" s="6"/>
    </row>
    <row r="86" spans="6:7" x14ac:dyDescent="0.3">
      <c r="F86" s="3"/>
      <c r="G86" s="6"/>
    </row>
    <row r="87" spans="6:7" x14ac:dyDescent="0.3">
      <c r="F87" s="3"/>
      <c r="G87" s="6"/>
    </row>
    <row r="88" spans="6:7" x14ac:dyDescent="0.3">
      <c r="F88" s="3"/>
      <c r="G88" s="6"/>
    </row>
    <row r="89" spans="6:7" x14ac:dyDescent="0.3">
      <c r="F89" s="3"/>
      <c r="G89" s="6"/>
    </row>
    <row r="90" spans="6:7" x14ac:dyDescent="0.3">
      <c r="F90" s="3"/>
      <c r="G90" s="6"/>
    </row>
    <row r="91" spans="6:7" x14ac:dyDescent="0.3">
      <c r="F91" s="3"/>
      <c r="G91" s="6"/>
    </row>
    <row r="92" spans="6:7" x14ac:dyDescent="0.3">
      <c r="F92" s="3"/>
      <c r="G92" s="6"/>
    </row>
    <row r="93" spans="6:7" x14ac:dyDescent="0.3">
      <c r="F93" s="3"/>
      <c r="G93" s="6"/>
    </row>
    <row r="94" spans="6:7" x14ac:dyDescent="0.3">
      <c r="F94" s="3"/>
      <c r="G94" s="6"/>
    </row>
    <row r="95" spans="6:7" x14ac:dyDescent="0.3">
      <c r="F95" s="3"/>
      <c r="G95" s="6"/>
    </row>
    <row r="96" spans="6:7" x14ac:dyDescent="0.3">
      <c r="F96" s="3"/>
      <c r="G96" s="6"/>
    </row>
    <row r="97" spans="6:8" x14ac:dyDescent="0.3">
      <c r="F97" s="3"/>
      <c r="G97" s="6"/>
    </row>
    <row r="98" spans="6:8" x14ac:dyDescent="0.3">
      <c r="F98" s="3"/>
      <c r="G98" s="6"/>
    </row>
    <row r="99" spans="6:8" x14ac:dyDescent="0.3">
      <c r="F99" s="3"/>
      <c r="G99" s="6"/>
    </row>
    <row r="100" spans="6:8" x14ac:dyDescent="0.3">
      <c r="F100" s="3"/>
      <c r="G100" s="6"/>
    </row>
    <row r="101" spans="6:8" x14ac:dyDescent="0.3">
      <c r="F101" s="3"/>
      <c r="G101" s="6"/>
    </row>
    <row r="102" spans="6:8" x14ac:dyDescent="0.3">
      <c r="F102" s="3"/>
      <c r="G102" s="6"/>
      <c r="H102">
        <f>SUM(H7:H101)</f>
        <v>0</v>
      </c>
    </row>
    <row r="103" spans="6:8" x14ac:dyDescent="0.3">
      <c r="H103">
        <f>H102/94</f>
        <v>0</v>
      </c>
    </row>
    <row r="324" spans="11:11" x14ac:dyDescent="0.3">
      <c r="K324">
        <f>SUM(K19:K323)</f>
        <v>0</v>
      </c>
    </row>
    <row r="325" spans="11:11" x14ac:dyDescent="0.3">
      <c r="K325">
        <f>K324/304</f>
        <v>0</v>
      </c>
    </row>
    <row r="326" spans="11:11" x14ac:dyDescent="0.3">
      <c r="K326" t="b">
        <f>K325=G4</f>
        <v>0</v>
      </c>
    </row>
  </sheetData>
  <sortState xmlns:xlrd2="http://schemas.microsoft.com/office/spreadsheetml/2017/richdata2" ref="F7:G407">
    <sortCondition ref="F7:F407"/>
  </sortState>
  <mergeCells count="31">
    <mergeCell ref="A27:C27"/>
    <mergeCell ref="A25:C25"/>
    <mergeCell ref="A13:D13"/>
    <mergeCell ref="A20:D20"/>
    <mergeCell ref="A19:D19"/>
    <mergeCell ref="B3:E3"/>
    <mergeCell ref="B4:E4"/>
    <mergeCell ref="B5:E5"/>
    <mergeCell ref="I3:S4"/>
    <mergeCell ref="A7:D7"/>
    <mergeCell ref="A8:D8"/>
    <mergeCell ref="A9:D9"/>
    <mergeCell ref="A15:D15"/>
    <mergeCell ref="A16:C16"/>
    <mergeCell ref="A17:C17"/>
    <mergeCell ref="A34:D34"/>
    <mergeCell ref="A35:D35"/>
    <mergeCell ref="I17:S20"/>
    <mergeCell ref="A28:D29"/>
    <mergeCell ref="I25:U26"/>
    <mergeCell ref="I29:U31"/>
    <mergeCell ref="A18:C18"/>
    <mergeCell ref="A30:C30"/>
    <mergeCell ref="A31:C31"/>
    <mergeCell ref="A32:C32"/>
    <mergeCell ref="A33:D33"/>
    <mergeCell ref="A21:C21"/>
    <mergeCell ref="A22:C22"/>
    <mergeCell ref="A23:C23"/>
    <mergeCell ref="A24:D24"/>
    <mergeCell ref="A26:C26"/>
  </mergeCells>
  <conditionalFormatting sqref="D18">
    <cfRule type="cellIs" dxfId="3" priority="1" stopIfTrue="1" operator="notEqual">
      <formula>""</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F0731-1224-4CD5-8D81-93953A08A7E1}">
  <dimension ref="A1:AN60"/>
  <sheetViews>
    <sheetView showGridLines="0" workbookViewId="0">
      <selection activeCell="H43" sqref="H43"/>
    </sheetView>
  </sheetViews>
  <sheetFormatPr defaultRowHeight="14.4" x14ac:dyDescent="0.3"/>
  <cols>
    <col min="1" max="1" width="16.33203125" bestFit="1" customWidth="1"/>
    <col min="2" max="2" width="10.109375" customWidth="1"/>
    <col min="4" max="4" width="10.21875" customWidth="1"/>
  </cols>
  <sheetData>
    <row r="1" spans="1:40" x14ac:dyDescent="0.3">
      <c r="A1" s="12" t="s">
        <v>190</v>
      </c>
      <c r="B1" s="12" t="s">
        <v>191</v>
      </c>
    </row>
    <row r="3" spans="1:40" ht="14.4" customHeight="1" x14ac:dyDescent="0.3">
      <c r="A3" s="17" t="s">
        <v>192</v>
      </c>
      <c r="B3" s="264" t="s">
        <v>177</v>
      </c>
      <c r="C3" s="264"/>
      <c r="D3" s="264"/>
      <c r="E3" s="264"/>
      <c r="F3" s="17" t="s">
        <v>79</v>
      </c>
      <c r="G3" s="17" t="s">
        <v>74</v>
      </c>
      <c r="I3" s="218" t="s">
        <v>193</v>
      </c>
      <c r="J3" s="218"/>
      <c r="K3" s="218"/>
      <c r="L3" s="218"/>
      <c r="M3" s="218"/>
      <c r="N3" s="218"/>
      <c r="O3" s="218"/>
      <c r="P3" s="218"/>
      <c r="Q3" s="218"/>
      <c r="R3" s="218"/>
      <c r="S3" s="218"/>
    </row>
    <row r="4" spans="1:40" x14ac:dyDescent="0.3">
      <c r="A4" s="18" t="s">
        <v>80</v>
      </c>
      <c r="B4" s="265">
        <f>AVERAGEIF(CustomerDataSet_Original!G2:G401,'Q3.b'!A4,CustomerDataSet_Original!L2:L401)</f>
        <v>360.63636363636363</v>
      </c>
      <c r="C4" s="265"/>
      <c r="D4" s="265"/>
      <c r="E4" s="265"/>
      <c r="F4" s="16">
        <f>COUNTIF(CustomerDataSet_Original!G:G,'Q3.b'!A4)</f>
        <v>44</v>
      </c>
      <c r="G4" s="18">
        <f t="array" ref="G4">_xlfn.VAR.S(IF(CustomerDataSet_Original!Val_Method='Q3.b'!A4,CustomerDataSet_Original!Savings,""))</f>
        <v>175217.81818181818</v>
      </c>
      <c r="I4" s="218"/>
      <c r="J4" s="218"/>
      <c r="K4" s="218"/>
      <c r="L4" s="218"/>
      <c r="M4" s="218"/>
      <c r="N4" s="218"/>
      <c r="O4" s="218"/>
      <c r="P4" s="218"/>
      <c r="Q4" s="218"/>
      <c r="R4" s="218"/>
      <c r="S4" s="218"/>
      <c r="AM4" s="44" t="s">
        <v>104</v>
      </c>
      <c r="AN4" s="45" t="s">
        <v>117</v>
      </c>
    </row>
    <row r="5" spans="1:40" x14ac:dyDescent="0.3">
      <c r="A5" s="18" t="s">
        <v>81</v>
      </c>
      <c r="B5" s="265">
        <f>AVERAGEIF(CustomerDataSet_Original!G2:G401,'Q3.b'!A5,CustomerDataSet_Original!L2:L401)</f>
        <v>213.45224719101122</v>
      </c>
      <c r="C5" s="265"/>
      <c r="D5" s="265"/>
      <c r="E5" s="265"/>
      <c r="F5" s="16">
        <f>COUNTIF(CustomerDataSet_Original!G:G,'Q3.b'!A5)</f>
        <v>356</v>
      </c>
      <c r="G5" s="18">
        <f t="array" ref="G5">_xlfn.VAR.S(IF(CustomerDataSet_Original!Val_Method='Q3.b'!A5,CustomerDataSet_Original!Savings,""))</f>
        <v>91882.761093527457</v>
      </c>
      <c r="I5" s="218"/>
      <c r="J5" s="218"/>
      <c r="K5" s="218"/>
      <c r="L5" s="218"/>
      <c r="M5" s="218"/>
      <c r="N5" s="218"/>
      <c r="O5" s="218"/>
      <c r="P5" s="218"/>
      <c r="Q5" s="218"/>
      <c r="R5" s="218"/>
      <c r="S5" s="218"/>
      <c r="AM5" s="44" t="s">
        <v>118</v>
      </c>
      <c r="AN5" s="46" t="s">
        <v>119</v>
      </c>
    </row>
    <row r="6" spans="1:40" ht="15" thickBot="1" x14ac:dyDescent="0.35">
      <c r="AM6" s="45" t="s">
        <v>120</v>
      </c>
      <c r="AN6" s="47" t="s">
        <v>121</v>
      </c>
    </row>
    <row r="7" spans="1:40" x14ac:dyDescent="0.3">
      <c r="A7" s="275" t="s">
        <v>99</v>
      </c>
      <c r="B7" s="276"/>
      <c r="C7" s="276"/>
      <c r="D7" s="277"/>
      <c r="I7" s="26" t="s">
        <v>136</v>
      </c>
      <c r="P7" s="6"/>
    </row>
    <row r="8" spans="1:40" x14ac:dyDescent="0.3">
      <c r="A8" s="222"/>
      <c r="B8" s="223"/>
      <c r="C8" s="223"/>
      <c r="D8" s="224"/>
      <c r="I8" t="s">
        <v>137</v>
      </c>
      <c r="P8" s="6"/>
    </row>
    <row r="9" spans="1:40" x14ac:dyDescent="0.3">
      <c r="A9" s="205" t="s">
        <v>100</v>
      </c>
      <c r="B9" s="206"/>
      <c r="C9" s="206"/>
      <c r="D9" s="207"/>
      <c r="I9" t="s">
        <v>138</v>
      </c>
      <c r="P9" s="6"/>
    </row>
    <row r="10" spans="1:40" ht="15.6" x14ac:dyDescent="0.35">
      <c r="A10" s="27" t="s">
        <v>101</v>
      </c>
      <c r="B10" s="28" t="s">
        <v>102</v>
      </c>
      <c r="C10" s="28" t="str">
        <f>IF(C11="&gt;",$AN$4,IF(C11="&lt;",$AN$5,$AN$6))</f>
        <v>≤</v>
      </c>
      <c r="D10" s="29">
        <f>D11</f>
        <v>0</v>
      </c>
      <c r="I10" s="60" t="s">
        <v>139</v>
      </c>
      <c r="P10" s="6"/>
    </row>
    <row r="11" spans="1:40" ht="15.6" x14ac:dyDescent="0.35">
      <c r="A11" s="27" t="s">
        <v>103</v>
      </c>
      <c r="B11" s="28" t="s">
        <v>102</v>
      </c>
      <c r="C11" s="30" t="s">
        <v>104</v>
      </c>
      <c r="D11" s="31">
        <v>0</v>
      </c>
      <c r="I11" s="65" t="s">
        <v>149</v>
      </c>
      <c r="J11" s="68">
        <f>G4/G5</f>
        <v>1.9069716244537316</v>
      </c>
      <c r="P11" s="6"/>
    </row>
    <row r="12" spans="1:40" x14ac:dyDescent="0.3">
      <c r="A12" s="32" t="s">
        <v>105</v>
      </c>
      <c r="B12" s="33"/>
      <c r="C12" s="33"/>
      <c r="D12" s="34" t="str">
        <f>IF(C11="&lt;","Lower",IF(C11="&gt;","Upper","Two"))</f>
        <v>Upper</v>
      </c>
      <c r="I12" s="60" t="s">
        <v>141</v>
      </c>
      <c r="P12" s="6"/>
    </row>
    <row r="13" spans="1:40" x14ac:dyDescent="0.3">
      <c r="A13" s="205" t="s">
        <v>98</v>
      </c>
      <c r="B13" s="206"/>
      <c r="C13" s="206"/>
      <c r="D13" s="207"/>
      <c r="J13" t="s">
        <v>142</v>
      </c>
      <c r="K13" s="64" t="s">
        <v>143</v>
      </c>
      <c r="L13" s="63">
        <f>_xlfn.F.INV.RT(D14/2,F4-1,F5-1)</f>
        <v>1.5100033579375711</v>
      </c>
      <c r="P13" s="6"/>
    </row>
    <row r="14" spans="1:40" x14ac:dyDescent="0.3">
      <c r="A14" s="35"/>
      <c r="B14" s="36"/>
      <c r="C14" s="37" t="s">
        <v>106</v>
      </c>
      <c r="D14" s="38">
        <v>0.05</v>
      </c>
      <c r="K14" s="64" t="s">
        <v>144</v>
      </c>
      <c r="L14" s="62">
        <f>1/L13</f>
        <v>0.66225018291737037</v>
      </c>
      <c r="P14" s="6"/>
    </row>
    <row r="15" spans="1:40" ht="15.6" x14ac:dyDescent="0.35">
      <c r="A15" s="205" t="s">
        <v>107</v>
      </c>
      <c r="B15" s="206"/>
      <c r="C15" s="206"/>
      <c r="D15" s="207"/>
      <c r="J15" s="65" t="s">
        <v>145</v>
      </c>
      <c r="K15" s="12" t="s">
        <v>146</v>
      </c>
      <c r="L15" s="12" t="s">
        <v>194</v>
      </c>
      <c r="P15" s="6"/>
    </row>
    <row r="16" spans="1:40" ht="15.6" x14ac:dyDescent="0.35">
      <c r="A16" s="214" t="s">
        <v>108</v>
      </c>
      <c r="B16" s="215"/>
      <c r="C16" s="215"/>
      <c r="D16" s="75">
        <f>INT((D21^2/D23+D25^2/D27)^2/((D21^2/D23)^2/(D23-1)+(D25^2/D27)^2/(D27-1)))</f>
        <v>48</v>
      </c>
      <c r="J16" s="65" t="s">
        <v>147</v>
      </c>
      <c r="K16" s="12" t="s">
        <v>148</v>
      </c>
      <c r="L16" s="12" t="s">
        <v>195</v>
      </c>
      <c r="P16" s="6"/>
    </row>
    <row r="17" spans="1:22" ht="15.6" x14ac:dyDescent="0.35">
      <c r="A17" s="214" t="str">
        <f>IF(C10="=","Lower Critical Value","Critical Value")</f>
        <v>Critical Value</v>
      </c>
      <c r="B17" s="215"/>
      <c r="C17" s="215"/>
      <c r="D17" s="40">
        <f>IF(D12="Two",-(TINV(D14,D16)),IF(D12="Lower",-(TINV(D14*2,D16)),TINV(D14*2,D16)))</f>
        <v>1.6772241961243386</v>
      </c>
      <c r="I17" s="67" t="s">
        <v>158</v>
      </c>
      <c r="J17" s="66"/>
      <c r="K17" s="12"/>
      <c r="P17" s="6"/>
    </row>
    <row r="18" spans="1:22" ht="14.4" customHeight="1" x14ac:dyDescent="0.3">
      <c r="A18" s="211" t="str">
        <f>IF(C10="=","Upper Critical Value","")</f>
        <v/>
      </c>
      <c r="B18" s="212"/>
      <c r="C18" s="213"/>
      <c r="D18" s="41" t="str">
        <f>IF(C10="=",-D17,"")</f>
        <v/>
      </c>
      <c r="I18" s="192" t="s">
        <v>196</v>
      </c>
      <c r="J18" s="192"/>
      <c r="K18" s="192"/>
      <c r="L18" s="192"/>
      <c r="M18" s="192"/>
      <c r="N18" s="192"/>
      <c r="O18" s="192"/>
      <c r="P18" s="192"/>
      <c r="Q18" s="192"/>
      <c r="R18" s="192"/>
      <c r="S18" s="192"/>
      <c r="T18" s="192"/>
      <c r="U18" s="192"/>
    </row>
    <row r="19" spans="1:22" x14ac:dyDescent="0.3">
      <c r="A19" s="205" t="s">
        <v>109</v>
      </c>
      <c r="B19" s="206"/>
      <c r="C19" s="206"/>
      <c r="D19" s="207"/>
      <c r="I19" s="192"/>
      <c r="J19" s="192"/>
      <c r="K19" s="192"/>
      <c r="L19" s="192"/>
      <c r="M19" s="192"/>
      <c r="N19" s="192"/>
      <c r="O19" s="192"/>
      <c r="P19" s="192"/>
      <c r="Q19" s="192"/>
      <c r="R19" s="192"/>
      <c r="S19" s="192"/>
      <c r="T19" s="192"/>
      <c r="U19" s="192"/>
    </row>
    <row r="20" spans="1:22" x14ac:dyDescent="0.3">
      <c r="A20" s="228" t="s">
        <v>80</v>
      </c>
      <c r="B20" s="229"/>
      <c r="C20" s="229"/>
      <c r="D20" s="230"/>
      <c r="I20" s="192"/>
      <c r="J20" s="192"/>
      <c r="K20" s="192"/>
      <c r="L20" s="192"/>
      <c r="M20" s="192"/>
      <c r="N20" s="192"/>
      <c r="O20" s="192"/>
      <c r="P20" s="192"/>
      <c r="Q20" s="192"/>
      <c r="R20" s="192"/>
      <c r="S20" s="192"/>
      <c r="T20" s="192"/>
      <c r="U20" s="192"/>
    </row>
    <row r="21" spans="1:22" x14ac:dyDescent="0.3">
      <c r="A21" s="211" t="s">
        <v>110</v>
      </c>
      <c r="B21" s="212"/>
      <c r="C21" s="213"/>
      <c r="D21" s="38">
        <f>SQRT(G4)</f>
        <v>418.59027482947829</v>
      </c>
      <c r="I21" s="192"/>
      <c r="J21" s="192"/>
      <c r="K21" s="192"/>
      <c r="L21" s="192"/>
      <c r="M21" s="192"/>
      <c r="N21" s="192"/>
      <c r="O21" s="192"/>
      <c r="P21" s="192"/>
      <c r="Q21" s="192"/>
      <c r="R21" s="192"/>
      <c r="S21" s="192"/>
      <c r="T21" s="192"/>
      <c r="U21" s="192"/>
    </row>
    <row r="22" spans="1:22" x14ac:dyDescent="0.3">
      <c r="A22" s="211" t="s">
        <v>111</v>
      </c>
      <c r="B22" s="212"/>
      <c r="C22" s="213"/>
      <c r="D22" s="38">
        <f>B4</f>
        <v>360.63636363636363</v>
      </c>
    </row>
    <row r="23" spans="1:22" x14ac:dyDescent="0.3">
      <c r="A23" s="211" t="s">
        <v>112</v>
      </c>
      <c r="B23" s="212"/>
      <c r="C23" s="213"/>
      <c r="D23" s="31">
        <f>F4</f>
        <v>44</v>
      </c>
      <c r="I23" s="26" t="s">
        <v>182</v>
      </c>
    </row>
    <row r="24" spans="1:22" ht="15.6" x14ac:dyDescent="0.35">
      <c r="A24" s="228" t="s">
        <v>81</v>
      </c>
      <c r="B24" s="229"/>
      <c r="C24" s="229"/>
      <c r="D24" s="230"/>
      <c r="J24" s="65" t="s">
        <v>145</v>
      </c>
      <c r="K24" s="12" t="s">
        <v>155</v>
      </c>
      <c r="L24" s="192" t="s">
        <v>202</v>
      </c>
      <c r="M24" s="192"/>
      <c r="N24" s="192"/>
      <c r="O24" s="192"/>
      <c r="P24" s="192"/>
      <c r="Q24" s="192"/>
      <c r="R24" s="192"/>
      <c r="S24" s="192"/>
      <c r="T24" s="192"/>
      <c r="U24" s="192"/>
      <c r="V24" s="192"/>
    </row>
    <row r="25" spans="1:22" x14ac:dyDescent="0.3">
      <c r="A25" s="211" t="s">
        <v>110</v>
      </c>
      <c r="B25" s="212"/>
      <c r="C25" s="213"/>
      <c r="D25" s="38">
        <f>SQRT(G5)</f>
        <v>303.12169353830063</v>
      </c>
      <c r="J25" s="65"/>
      <c r="K25" s="12"/>
      <c r="L25" s="192"/>
      <c r="M25" s="192"/>
      <c r="N25" s="192"/>
      <c r="O25" s="192"/>
      <c r="P25" s="192"/>
      <c r="Q25" s="192"/>
      <c r="R25" s="192"/>
      <c r="S25" s="192"/>
      <c r="T25" s="192"/>
      <c r="U25" s="192"/>
      <c r="V25" s="192"/>
    </row>
    <row r="26" spans="1:22" ht="15.6" x14ac:dyDescent="0.35">
      <c r="A26" s="211" t="s">
        <v>111</v>
      </c>
      <c r="B26" s="212"/>
      <c r="C26" s="213"/>
      <c r="D26" s="38">
        <f>B5</f>
        <v>213.45224719101122</v>
      </c>
      <c r="J26" s="65" t="s">
        <v>147</v>
      </c>
      <c r="K26" s="12" t="s">
        <v>156</v>
      </c>
      <c r="L26" s="192" t="s">
        <v>203</v>
      </c>
      <c r="M26" s="192"/>
      <c r="N26" s="192"/>
      <c r="O26" s="192"/>
      <c r="P26" s="192"/>
      <c r="Q26" s="192"/>
      <c r="R26" s="192"/>
      <c r="S26" s="192"/>
      <c r="T26" s="192"/>
      <c r="U26" s="192"/>
      <c r="V26" s="192"/>
    </row>
    <row r="27" spans="1:22" x14ac:dyDescent="0.3">
      <c r="A27" s="211" t="s">
        <v>112</v>
      </c>
      <c r="B27" s="212"/>
      <c r="C27" s="213"/>
      <c r="D27" s="31">
        <f>F5</f>
        <v>356</v>
      </c>
      <c r="J27" s="65"/>
      <c r="K27" s="12"/>
      <c r="L27" s="192"/>
      <c r="M27" s="192"/>
      <c r="N27" s="192"/>
      <c r="O27" s="192"/>
      <c r="P27" s="192"/>
      <c r="Q27" s="192"/>
      <c r="R27" s="192"/>
      <c r="S27" s="192"/>
      <c r="T27" s="192"/>
      <c r="U27" s="192"/>
      <c r="V27" s="192"/>
    </row>
    <row r="28" spans="1:22" x14ac:dyDescent="0.3">
      <c r="A28" s="249"/>
      <c r="B28" s="250"/>
      <c r="C28" s="250"/>
      <c r="D28" s="251"/>
      <c r="I28" s="192" t="s">
        <v>197</v>
      </c>
      <c r="J28" s="192"/>
      <c r="K28" s="192"/>
      <c r="L28" s="192"/>
      <c r="M28" s="192"/>
      <c r="N28" s="192"/>
      <c r="O28" s="192"/>
      <c r="P28" s="192"/>
      <c r="Q28" s="192"/>
      <c r="R28" s="192"/>
      <c r="S28" s="192"/>
      <c r="T28" s="192"/>
      <c r="U28" s="192"/>
    </row>
    <row r="29" spans="1:22" x14ac:dyDescent="0.3">
      <c r="A29" s="252"/>
      <c r="B29" s="253"/>
      <c r="C29" s="253"/>
      <c r="D29" s="254"/>
      <c r="I29" s="192"/>
      <c r="J29" s="192"/>
      <c r="K29" s="192"/>
      <c r="L29" s="192"/>
      <c r="M29" s="192"/>
      <c r="N29" s="192"/>
      <c r="O29" s="192"/>
      <c r="P29" s="192"/>
      <c r="Q29" s="192"/>
      <c r="R29" s="192"/>
      <c r="S29" s="192"/>
      <c r="T29" s="192"/>
      <c r="U29" s="192"/>
    </row>
    <row r="30" spans="1:22" x14ac:dyDescent="0.3">
      <c r="A30" s="214" t="s">
        <v>113</v>
      </c>
      <c r="B30" s="215"/>
      <c r="C30" s="215"/>
      <c r="D30" s="42">
        <f>SQRT(D21^2/D23+D25^2/D27)</f>
        <v>65.117745538501339</v>
      </c>
      <c r="I30" t="s">
        <v>159</v>
      </c>
    </row>
    <row r="31" spans="1:22" x14ac:dyDescent="0.3">
      <c r="A31" s="216" t="s">
        <v>114</v>
      </c>
      <c r="B31" s="217"/>
      <c r="C31" s="217"/>
      <c r="D31" s="43">
        <f>((D22-D26)-D10)/D30</f>
        <v>2.2602765993845524</v>
      </c>
      <c r="I31" s="12" t="s">
        <v>198</v>
      </c>
      <c r="P31" s="6"/>
    </row>
    <row r="32" spans="1:22" ht="15" thickBot="1" x14ac:dyDescent="0.35">
      <c r="A32" s="214" t="s">
        <v>115</v>
      </c>
      <c r="B32" s="215"/>
      <c r="C32" s="215"/>
      <c r="D32" s="43">
        <f>IF(C10="=",TDIST(ABS(D31),D16,2),TDIST(ABS(D31),D16,1))</f>
        <v>1.4188925507530857E-2</v>
      </c>
      <c r="J32" t="s">
        <v>199</v>
      </c>
      <c r="P32" s="6"/>
    </row>
    <row r="33" spans="1:21" ht="14.4" customHeight="1" x14ac:dyDescent="0.3">
      <c r="A33" s="202"/>
      <c r="B33" s="203"/>
      <c r="C33" s="203"/>
      <c r="D33" s="204"/>
      <c r="I33" s="255" t="s">
        <v>406</v>
      </c>
      <c r="J33" s="256"/>
      <c r="K33" s="256"/>
      <c r="L33" s="256"/>
      <c r="M33" s="256"/>
      <c r="N33" s="256"/>
      <c r="O33" s="256"/>
      <c r="P33" s="256"/>
      <c r="Q33" s="256"/>
      <c r="R33" s="256"/>
      <c r="S33" s="256"/>
      <c r="T33" s="256"/>
      <c r="U33" s="257"/>
    </row>
    <row r="34" spans="1:21" x14ac:dyDescent="0.3">
      <c r="A34" s="205" t="s">
        <v>116</v>
      </c>
      <c r="B34" s="206"/>
      <c r="C34" s="206"/>
      <c r="D34" s="207"/>
      <c r="I34" s="258"/>
      <c r="J34" s="259"/>
      <c r="K34" s="259"/>
      <c r="L34" s="259"/>
      <c r="M34" s="259"/>
      <c r="N34" s="259"/>
      <c r="O34" s="259"/>
      <c r="P34" s="259"/>
      <c r="Q34" s="259"/>
      <c r="R34" s="259"/>
      <c r="S34" s="259"/>
      <c r="T34" s="259"/>
      <c r="U34" s="260"/>
    </row>
    <row r="35" spans="1:21" ht="15" thickBot="1" x14ac:dyDescent="0.35">
      <c r="A35" s="208" t="str">
        <f>IF(D32&lt;D14,"Reject Null Hypothesis", "Fail to reject Null Hypothesis")</f>
        <v>Reject Null Hypothesis</v>
      </c>
      <c r="B35" s="209"/>
      <c r="C35" s="209"/>
      <c r="D35" s="210"/>
      <c r="I35" s="258"/>
      <c r="J35" s="259"/>
      <c r="K35" s="259"/>
      <c r="L35" s="259"/>
      <c r="M35" s="259"/>
      <c r="N35" s="259"/>
      <c r="O35" s="259"/>
      <c r="P35" s="259"/>
      <c r="Q35" s="259"/>
      <c r="R35" s="259"/>
      <c r="S35" s="259"/>
      <c r="T35" s="259"/>
      <c r="U35" s="260"/>
    </row>
    <row r="36" spans="1:21" ht="15" thickBot="1" x14ac:dyDescent="0.35">
      <c r="I36" s="261"/>
      <c r="J36" s="262"/>
      <c r="K36" s="262"/>
      <c r="L36" s="262"/>
      <c r="M36" s="262"/>
      <c r="N36" s="262"/>
      <c r="O36" s="262"/>
      <c r="P36" s="262"/>
      <c r="Q36" s="262"/>
      <c r="R36" s="262"/>
      <c r="S36" s="262"/>
      <c r="T36" s="262"/>
      <c r="U36" s="263"/>
    </row>
    <row r="37" spans="1:21" x14ac:dyDescent="0.3">
      <c r="A37" s="219" t="s">
        <v>403</v>
      </c>
      <c r="B37" s="220"/>
      <c r="C37" s="220"/>
      <c r="D37" s="221"/>
    </row>
    <row r="38" spans="1:21" x14ac:dyDescent="0.3">
      <c r="A38" s="222"/>
      <c r="B38" s="223"/>
      <c r="C38" s="223"/>
      <c r="D38" s="224"/>
      <c r="I38" t="s">
        <v>401</v>
      </c>
    </row>
    <row r="39" spans="1:21" ht="15" thickBot="1" x14ac:dyDescent="0.35">
      <c r="A39" s="205" t="s">
        <v>394</v>
      </c>
      <c r="B39" s="206"/>
      <c r="C39" s="206"/>
      <c r="D39" s="207"/>
    </row>
    <row r="40" spans="1:21" x14ac:dyDescent="0.3">
      <c r="A40" s="231" t="s">
        <v>394</v>
      </c>
      <c r="B40" s="232"/>
      <c r="C40" s="233"/>
      <c r="D40" s="54">
        <f>1-D14</f>
        <v>0.95</v>
      </c>
      <c r="I40" s="255" t="s">
        <v>405</v>
      </c>
      <c r="J40" s="256"/>
      <c r="K40" s="256"/>
      <c r="L40" s="256"/>
      <c r="M40" s="256"/>
      <c r="N40" s="256"/>
      <c r="O40" s="256"/>
      <c r="P40" s="256"/>
      <c r="Q40" s="256"/>
      <c r="R40" s="256"/>
      <c r="S40" s="256"/>
      <c r="T40" s="256"/>
      <c r="U40" s="257"/>
    </row>
    <row r="41" spans="1:21" ht="15" thickBot="1" x14ac:dyDescent="0.35">
      <c r="A41" s="202" t="str">
        <f>IF(C40="=","Upper Critical Value","")</f>
        <v/>
      </c>
      <c r="B41" s="203"/>
      <c r="C41" s="203"/>
      <c r="D41" s="204"/>
      <c r="I41" s="261"/>
      <c r="J41" s="262"/>
      <c r="K41" s="262"/>
      <c r="L41" s="262"/>
      <c r="M41" s="262"/>
      <c r="N41" s="262"/>
      <c r="O41" s="262"/>
      <c r="P41" s="262"/>
      <c r="Q41" s="262"/>
      <c r="R41" s="262"/>
      <c r="S41" s="262"/>
      <c r="T41" s="262"/>
      <c r="U41" s="263"/>
    </row>
    <row r="42" spans="1:21" x14ac:dyDescent="0.3">
      <c r="A42" s="205" t="s">
        <v>109</v>
      </c>
      <c r="B42" s="206"/>
      <c r="C42" s="206"/>
      <c r="D42" s="207"/>
    </row>
    <row r="43" spans="1:21" x14ac:dyDescent="0.3">
      <c r="A43" s="228" t="s">
        <v>80</v>
      </c>
      <c r="B43" s="229"/>
      <c r="C43" s="229"/>
      <c r="D43" s="230"/>
    </row>
    <row r="44" spans="1:21" x14ac:dyDescent="0.3">
      <c r="A44" s="211" t="s">
        <v>110</v>
      </c>
      <c r="B44" s="212"/>
      <c r="C44" s="213"/>
      <c r="D44" s="38">
        <f>D21</f>
        <v>418.59027482947829</v>
      </c>
    </row>
    <row r="45" spans="1:21" x14ac:dyDescent="0.3">
      <c r="A45" s="211" t="s">
        <v>111</v>
      </c>
      <c r="B45" s="212"/>
      <c r="C45" s="213"/>
      <c r="D45" s="38">
        <f>D22</f>
        <v>360.63636363636363</v>
      </c>
    </row>
    <row r="46" spans="1:21" x14ac:dyDescent="0.3">
      <c r="A46" s="211" t="s">
        <v>112</v>
      </c>
      <c r="B46" s="212"/>
      <c r="C46" s="213"/>
      <c r="D46" s="38">
        <f>D23</f>
        <v>44</v>
      </c>
    </row>
    <row r="47" spans="1:21" x14ac:dyDescent="0.3">
      <c r="A47" s="228" t="s">
        <v>81</v>
      </c>
      <c r="B47" s="229"/>
      <c r="C47" s="229"/>
      <c r="D47" s="230"/>
    </row>
    <row r="48" spans="1:21" x14ac:dyDescent="0.3">
      <c r="A48" s="211" t="s">
        <v>110</v>
      </c>
      <c r="B48" s="212"/>
      <c r="C48" s="213"/>
      <c r="D48" s="38">
        <f>D25</f>
        <v>303.12169353830063</v>
      </c>
    </row>
    <row r="49" spans="1:4" x14ac:dyDescent="0.3">
      <c r="A49" s="211" t="s">
        <v>111</v>
      </c>
      <c r="B49" s="212"/>
      <c r="C49" s="213"/>
      <c r="D49" s="38">
        <f>D26</f>
        <v>213.45224719101122</v>
      </c>
    </row>
    <row r="50" spans="1:4" x14ac:dyDescent="0.3">
      <c r="A50" s="211" t="s">
        <v>112</v>
      </c>
      <c r="B50" s="212"/>
      <c r="C50" s="213"/>
      <c r="D50" s="38">
        <f>D27</f>
        <v>356</v>
      </c>
    </row>
    <row r="51" spans="1:4" x14ac:dyDescent="0.3">
      <c r="A51" s="249"/>
      <c r="B51" s="250"/>
      <c r="C51" s="250"/>
      <c r="D51" s="251"/>
    </row>
    <row r="52" spans="1:4" x14ac:dyDescent="0.3">
      <c r="A52" s="205" t="s">
        <v>395</v>
      </c>
      <c r="B52" s="206"/>
      <c r="C52" s="206"/>
      <c r="D52" s="207"/>
    </row>
    <row r="53" spans="1:4" x14ac:dyDescent="0.3">
      <c r="A53" s="214" t="s">
        <v>108</v>
      </c>
      <c r="B53" s="215"/>
      <c r="C53" s="215"/>
      <c r="D53" s="39">
        <f>INT((D44^2/D46+D48^2/D50)^2/((D44^2/D46)^2/(D46-1)+(D48^2/D50)^2/(D50-1)))</f>
        <v>48</v>
      </c>
    </row>
    <row r="54" spans="1:4" x14ac:dyDescent="0.3">
      <c r="A54" s="214" t="s">
        <v>113</v>
      </c>
      <c r="B54" s="215"/>
      <c r="C54" s="215"/>
      <c r="D54" s="42">
        <f>SQRT(D44^2/D46+D48^2/D50)</f>
        <v>65.117745538501339</v>
      </c>
    </row>
    <row r="55" spans="1:4" x14ac:dyDescent="0.3">
      <c r="A55" s="216" t="s">
        <v>404</v>
      </c>
      <c r="B55" s="217"/>
      <c r="C55" s="217"/>
      <c r="D55" s="42">
        <f>TINV(1-D40,D53)</f>
        <v>2.0106347576242314</v>
      </c>
    </row>
    <row r="56" spans="1:4" x14ac:dyDescent="0.3">
      <c r="A56" s="269"/>
      <c r="B56" s="270"/>
      <c r="C56" s="270"/>
      <c r="D56" s="271"/>
    </row>
    <row r="57" spans="1:4" x14ac:dyDescent="0.3">
      <c r="A57" s="272"/>
      <c r="B57" s="273"/>
      <c r="C57" s="273"/>
      <c r="D57" s="274"/>
    </row>
    <row r="58" spans="1:4" x14ac:dyDescent="0.3">
      <c r="A58" s="205" t="s">
        <v>397</v>
      </c>
      <c r="B58" s="206"/>
      <c r="C58" s="206"/>
      <c r="D58" s="207"/>
    </row>
    <row r="59" spans="1:4" x14ac:dyDescent="0.3">
      <c r="A59" s="225" t="s">
        <v>398</v>
      </c>
      <c r="B59" s="226"/>
      <c r="C59" s="227"/>
      <c r="D59" s="186">
        <f>(D45-D49)-D54*D55</f>
        <v>16.256113927511393</v>
      </c>
    </row>
    <row r="60" spans="1:4" ht="15" thickBot="1" x14ac:dyDescent="0.35">
      <c r="A60" s="266" t="s">
        <v>399</v>
      </c>
      <c r="B60" s="267"/>
      <c r="C60" s="268"/>
      <c r="D60" s="187">
        <f>(D45-D49)+D54*D55</f>
        <v>278.11211896319344</v>
      </c>
    </row>
  </sheetData>
  <mergeCells count="57">
    <mergeCell ref="B5:E5"/>
    <mergeCell ref="I3:S5"/>
    <mergeCell ref="A7:D7"/>
    <mergeCell ref="A24:D24"/>
    <mergeCell ref="A25:C25"/>
    <mergeCell ref="A8:D8"/>
    <mergeCell ref="A9:D9"/>
    <mergeCell ref="A13:D13"/>
    <mergeCell ref="B3:E3"/>
    <mergeCell ref="B4:E4"/>
    <mergeCell ref="A26:C26"/>
    <mergeCell ref="A15:D15"/>
    <mergeCell ref="A16:C16"/>
    <mergeCell ref="A17:C17"/>
    <mergeCell ref="A18:C18"/>
    <mergeCell ref="A19:D19"/>
    <mergeCell ref="A20:D20"/>
    <mergeCell ref="A34:D34"/>
    <mergeCell ref="A35:D35"/>
    <mergeCell ref="I18:U21"/>
    <mergeCell ref="I28:U29"/>
    <mergeCell ref="I33:U36"/>
    <mergeCell ref="L24:V25"/>
    <mergeCell ref="L26:V27"/>
    <mergeCell ref="A27:C27"/>
    <mergeCell ref="A28:D29"/>
    <mergeCell ref="A30:C30"/>
    <mergeCell ref="A31:C31"/>
    <mergeCell ref="A32:C32"/>
    <mergeCell ref="A33:D33"/>
    <mergeCell ref="A21:C21"/>
    <mergeCell ref="A22:C22"/>
    <mergeCell ref="A23:C23"/>
    <mergeCell ref="A44:C44"/>
    <mergeCell ref="A45:C45"/>
    <mergeCell ref="A46:C46"/>
    <mergeCell ref="A37:D37"/>
    <mergeCell ref="A38:D38"/>
    <mergeCell ref="A39:D39"/>
    <mergeCell ref="A40:C40"/>
    <mergeCell ref="A41:D41"/>
    <mergeCell ref="A58:D58"/>
    <mergeCell ref="A59:C59"/>
    <mergeCell ref="A60:C60"/>
    <mergeCell ref="I40:U41"/>
    <mergeCell ref="A52:D52"/>
    <mergeCell ref="A53:C53"/>
    <mergeCell ref="A54:C54"/>
    <mergeCell ref="A55:C55"/>
    <mergeCell ref="A56:D57"/>
    <mergeCell ref="A47:D47"/>
    <mergeCell ref="A48:C48"/>
    <mergeCell ref="A49:C49"/>
    <mergeCell ref="A50:C50"/>
    <mergeCell ref="A51:D51"/>
    <mergeCell ref="A42:D42"/>
    <mergeCell ref="A43:D43"/>
  </mergeCells>
  <conditionalFormatting sqref="D18">
    <cfRule type="cellIs" dxfId="2" priority="1" stopIfTrue="1" operator="notEqual">
      <formul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6AEE7-0853-4682-B723-6E07A9E7FB00}">
  <dimension ref="A1:AO47"/>
  <sheetViews>
    <sheetView showGridLines="0" workbookViewId="0">
      <selection activeCell="I10" sqref="I10"/>
    </sheetView>
  </sheetViews>
  <sheetFormatPr defaultRowHeight="14.4" x14ac:dyDescent="0.3"/>
  <cols>
    <col min="1" max="1" width="18.5546875" customWidth="1"/>
    <col min="2" max="2" width="17.21875" customWidth="1"/>
    <col min="4" max="4" width="9.77734375" bestFit="1" customWidth="1"/>
  </cols>
  <sheetData>
    <row r="1" spans="1:41" x14ac:dyDescent="0.3">
      <c r="A1" s="12" t="s">
        <v>204</v>
      </c>
      <c r="B1" s="12" t="s">
        <v>205</v>
      </c>
    </row>
    <row r="3" spans="1:41" x14ac:dyDescent="0.3">
      <c r="A3" s="17" t="s">
        <v>1</v>
      </c>
      <c r="B3" s="17" t="s">
        <v>206</v>
      </c>
      <c r="C3" s="17" t="s">
        <v>88</v>
      </c>
      <c r="D3" s="17" t="s">
        <v>124</v>
      </c>
      <c r="F3" s="26" t="s">
        <v>136</v>
      </c>
    </row>
    <row r="4" spans="1:41" x14ac:dyDescent="0.3">
      <c r="A4" s="16" t="s">
        <v>12</v>
      </c>
      <c r="B4" s="16">
        <f>COUNTIFS(CustomerDataSet_Original!Gender,'Q3.c'!A4,CustomerDataSet_Original!NCBR,"Diamond")</f>
        <v>186</v>
      </c>
      <c r="C4" s="16">
        <f>COUNTIF(CustomerDataSet_Original!Gender,'Q3.c'!A4)</f>
        <v>233</v>
      </c>
      <c r="D4" s="77">
        <f>B4/C4</f>
        <v>0.79828326180257514</v>
      </c>
      <c r="F4" t="s">
        <v>167</v>
      </c>
      <c r="AN4" s="44" t="s">
        <v>104</v>
      </c>
      <c r="AO4" s="45" t="s">
        <v>117</v>
      </c>
    </row>
    <row r="5" spans="1:41" x14ac:dyDescent="0.3">
      <c r="A5" s="16" t="s">
        <v>23</v>
      </c>
      <c r="B5" s="16">
        <f>COUNTIFS(CustomerDataSet_Original!Gender,'Q3.c'!A5,CustomerDataSet_Original!NCBR,"Diamond")</f>
        <v>107</v>
      </c>
      <c r="C5" s="16">
        <f>COUNTIF(CustomerDataSet_Original!Gender,'Q3.c'!A5)</f>
        <v>167</v>
      </c>
      <c r="D5" s="77">
        <f>B5/C5</f>
        <v>0.64071856287425155</v>
      </c>
      <c r="F5" s="15" t="s">
        <v>166</v>
      </c>
      <c r="G5" s="15" t="s">
        <v>164</v>
      </c>
      <c r="H5" s="15" t="s">
        <v>165</v>
      </c>
      <c r="AN5" s="44" t="s">
        <v>118</v>
      </c>
      <c r="AO5" s="44" t="s">
        <v>119</v>
      </c>
    </row>
    <row r="6" spans="1:41" x14ac:dyDescent="0.3">
      <c r="A6" s="15" t="s">
        <v>88</v>
      </c>
      <c r="B6" s="15">
        <f>SUM(B4:B5)</f>
        <v>293</v>
      </c>
      <c r="C6" s="15">
        <f>SUM(C4:C5)</f>
        <v>400</v>
      </c>
      <c r="D6" s="15"/>
      <c r="F6" s="16" t="s">
        <v>12</v>
      </c>
      <c r="G6" s="16">
        <f>C4*D4</f>
        <v>186</v>
      </c>
      <c r="H6" s="16">
        <f>C4*(1-D4)</f>
        <v>46.999999999999993</v>
      </c>
      <c r="AN6" s="45" t="s">
        <v>120</v>
      </c>
      <c r="AO6" s="47" t="s">
        <v>121</v>
      </c>
    </row>
    <row r="7" spans="1:41" ht="15" thickBot="1" x14ac:dyDescent="0.35">
      <c r="F7" s="16" t="s">
        <v>23</v>
      </c>
      <c r="G7" s="16">
        <f>C5*D5</f>
        <v>107.00000000000001</v>
      </c>
      <c r="H7" s="16">
        <f>C5*(1-D5)</f>
        <v>59.999999999999993</v>
      </c>
    </row>
    <row r="8" spans="1:41" ht="15.6" x14ac:dyDescent="0.35">
      <c r="A8" s="219" t="s">
        <v>126</v>
      </c>
      <c r="B8" s="220"/>
      <c r="C8" s="220"/>
      <c r="D8" s="221"/>
      <c r="F8" t="s">
        <v>207</v>
      </c>
    </row>
    <row r="9" spans="1:41" ht="15.6" x14ac:dyDescent="0.35">
      <c r="A9" s="222"/>
      <c r="B9" s="223"/>
      <c r="C9" s="223"/>
      <c r="D9" s="224"/>
      <c r="F9" s="65" t="s">
        <v>219</v>
      </c>
      <c r="G9" s="12" t="s">
        <v>168</v>
      </c>
      <c r="H9" s="12" t="s">
        <v>208</v>
      </c>
    </row>
    <row r="10" spans="1:41" ht="15.6" x14ac:dyDescent="0.35">
      <c r="A10" s="205" t="s">
        <v>100</v>
      </c>
      <c r="B10" s="206"/>
      <c r="C10" s="206"/>
      <c r="D10" s="207"/>
      <c r="F10" s="65" t="s">
        <v>220</v>
      </c>
      <c r="G10" s="12" t="s">
        <v>169</v>
      </c>
      <c r="H10" s="12" t="s">
        <v>209</v>
      </c>
    </row>
    <row r="11" spans="1:41" ht="15.6" x14ac:dyDescent="0.35">
      <c r="A11" s="27" t="s">
        <v>101</v>
      </c>
      <c r="B11" s="28" t="s">
        <v>127</v>
      </c>
      <c r="C11" s="28" t="str">
        <f>IF(C12="&gt;",$AO$4,IF(C12="&lt;",$AO$5,$AO$6))</f>
        <v>≤</v>
      </c>
      <c r="D11" s="53">
        <f>D12</f>
        <v>0</v>
      </c>
      <c r="F11" s="192" t="s">
        <v>210</v>
      </c>
      <c r="G11" s="192"/>
      <c r="H11" s="192"/>
      <c r="I11" s="192"/>
      <c r="J11" s="192"/>
      <c r="K11" s="192"/>
      <c r="L11" s="192"/>
      <c r="M11" s="192"/>
      <c r="N11" s="192"/>
      <c r="O11" s="192"/>
      <c r="P11" s="192"/>
      <c r="Q11" s="192"/>
    </row>
    <row r="12" spans="1:41" ht="15.6" x14ac:dyDescent="0.35">
      <c r="A12" s="27" t="s">
        <v>103</v>
      </c>
      <c r="B12" s="28" t="s">
        <v>127</v>
      </c>
      <c r="C12" s="30" t="s">
        <v>104</v>
      </c>
      <c r="D12" s="54">
        <v>0</v>
      </c>
      <c r="F12" s="192"/>
      <c r="G12" s="192"/>
      <c r="H12" s="192"/>
      <c r="I12" s="192"/>
      <c r="J12" s="192"/>
      <c r="K12" s="192"/>
      <c r="L12" s="192"/>
      <c r="M12" s="192"/>
      <c r="N12" s="192"/>
      <c r="O12" s="192"/>
      <c r="P12" s="192"/>
      <c r="Q12" s="192"/>
    </row>
    <row r="13" spans="1:41" x14ac:dyDescent="0.3">
      <c r="A13" s="32" t="s">
        <v>105</v>
      </c>
      <c r="B13" s="33"/>
      <c r="C13" s="33"/>
      <c r="D13" s="55" t="str">
        <f>IF(C12="&lt;","Lower",IF(C12="&gt;","Upper","Two"))</f>
        <v>Upper</v>
      </c>
      <c r="F13" t="s">
        <v>159</v>
      </c>
      <c r="M13" s="6"/>
    </row>
    <row r="14" spans="1:41" x14ac:dyDescent="0.3">
      <c r="A14" s="205" t="s">
        <v>98</v>
      </c>
      <c r="B14" s="206"/>
      <c r="C14" s="206"/>
      <c r="D14" s="207"/>
      <c r="F14" s="12" t="s">
        <v>213</v>
      </c>
      <c r="M14" s="6"/>
    </row>
    <row r="15" spans="1:41" x14ac:dyDescent="0.3">
      <c r="A15" s="35"/>
      <c r="B15" s="36"/>
      <c r="C15" s="37" t="s">
        <v>106</v>
      </c>
      <c r="D15" s="38">
        <v>0.05</v>
      </c>
      <c r="G15" t="s">
        <v>214</v>
      </c>
      <c r="M15" s="6"/>
    </row>
    <row r="16" spans="1:41" ht="15" thickBot="1" x14ac:dyDescent="0.35">
      <c r="A16" s="205" t="s">
        <v>107</v>
      </c>
      <c r="B16" s="206"/>
      <c r="C16" s="206"/>
      <c r="D16" s="207"/>
    </row>
    <row r="17" spans="1:20" x14ac:dyDescent="0.3">
      <c r="A17" s="214" t="str">
        <f>IF(C11="=","Lower Critical Value","Critical Value")</f>
        <v>Critical Value</v>
      </c>
      <c r="B17" s="215"/>
      <c r="C17" s="215"/>
      <c r="D17" s="40">
        <f>IF(D13="Two",NORMSINV(D15/2),IF(D13="Lower",NORMSINV(D15),NORMSINV(1-D15)))</f>
        <v>1.6448536269514715</v>
      </c>
      <c r="F17" s="235" t="s">
        <v>408</v>
      </c>
      <c r="G17" s="236"/>
      <c r="H17" s="236"/>
      <c r="I17" s="236"/>
      <c r="J17" s="236"/>
      <c r="K17" s="236"/>
      <c r="L17" s="236"/>
      <c r="M17" s="236"/>
      <c r="N17" s="236"/>
      <c r="O17" s="236"/>
      <c r="P17" s="237"/>
    </row>
    <row r="18" spans="1:20" x14ac:dyDescent="0.3">
      <c r="A18" s="244" t="str">
        <f>IF(C11="=","Upper Critical Value","")</f>
        <v/>
      </c>
      <c r="B18" s="212"/>
      <c r="C18" s="213"/>
      <c r="D18" s="41" t="str">
        <f>IF(C11="=",-D17,"")</f>
        <v/>
      </c>
      <c r="F18" s="238"/>
      <c r="G18" s="239"/>
      <c r="H18" s="239"/>
      <c r="I18" s="239"/>
      <c r="J18" s="239"/>
      <c r="K18" s="239"/>
      <c r="L18" s="239"/>
      <c r="M18" s="239"/>
      <c r="N18" s="239"/>
      <c r="O18" s="239"/>
      <c r="P18" s="240"/>
    </row>
    <row r="19" spans="1:20" x14ac:dyDescent="0.3">
      <c r="A19" s="205" t="s">
        <v>128</v>
      </c>
      <c r="B19" s="206"/>
      <c r="C19" s="206"/>
      <c r="D19" s="207"/>
      <c r="F19" s="238"/>
      <c r="G19" s="239"/>
      <c r="H19" s="239"/>
      <c r="I19" s="239"/>
      <c r="J19" s="239"/>
      <c r="K19" s="239"/>
      <c r="L19" s="239"/>
      <c r="M19" s="239"/>
      <c r="N19" s="239"/>
      <c r="O19" s="239"/>
      <c r="P19" s="240"/>
    </row>
    <row r="20" spans="1:20" x14ac:dyDescent="0.3">
      <c r="A20" s="228" t="s">
        <v>12</v>
      </c>
      <c r="B20" s="229"/>
      <c r="C20" s="229"/>
      <c r="D20" s="230"/>
      <c r="F20" s="238"/>
      <c r="G20" s="239"/>
      <c r="H20" s="239"/>
      <c r="I20" s="239"/>
      <c r="J20" s="239"/>
      <c r="K20" s="239"/>
      <c r="L20" s="239"/>
      <c r="M20" s="239"/>
      <c r="N20" s="239"/>
      <c r="O20" s="239"/>
      <c r="P20" s="240"/>
    </row>
    <row r="21" spans="1:20" ht="15" thickBot="1" x14ac:dyDescent="0.35">
      <c r="A21" s="211" t="s">
        <v>112</v>
      </c>
      <c r="B21" s="212"/>
      <c r="C21" s="213"/>
      <c r="D21" s="31">
        <f>C4</f>
        <v>233</v>
      </c>
      <c r="F21" s="241"/>
      <c r="G21" s="242"/>
      <c r="H21" s="242"/>
      <c r="I21" s="242"/>
      <c r="J21" s="242"/>
      <c r="K21" s="242"/>
      <c r="L21" s="242"/>
      <c r="M21" s="242"/>
      <c r="N21" s="242"/>
      <c r="O21" s="242"/>
      <c r="P21" s="243"/>
    </row>
    <row r="22" spans="1:20" x14ac:dyDescent="0.3">
      <c r="A22" s="211" t="s">
        <v>129</v>
      </c>
      <c r="B22" s="212"/>
      <c r="C22" s="213"/>
      <c r="D22" s="31">
        <f>B4</f>
        <v>186</v>
      </c>
    </row>
    <row r="23" spans="1:20" ht="15.6" x14ac:dyDescent="0.35">
      <c r="A23" s="214" t="s">
        <v>130</v>
      </c>
      <c r="B23" s="215"/>
      <c r="C23" s="215"/>
      <c r="D23" s="56">
        <f>D22/D21</f>
        <v>0.79828326180257514</v>
      </c>
      <c r="F23" t="s">
        <v>402</v>
      </c>
    </row>
    <row r="24" spans="1:20" ht="15" thickBot="1" x14ac:dyDescent="0.35">
      <c r="A24" s="228" t="s">
        <v>23</v>
      </c>
      <c r="B24" s="229"/>
      <c r="C24" s="229"/>
      <c r="D24" s="230"/>
    </row>
    <row r="25" spans="1:20" x14ac:dyDescent="0.3">
      <c r="A25" s="211" t="s">
        <v>112</v>
      </c>
      <c r="B25" s="212"/>
      <c r="C25" s="213"/>
      <c r="D25" s="31">
        <f>C5</f>
        <v>167</v>
      </c>
      <c r="F25" s="219" t="s">
        <v>393</v>
      </c>
      <c r="G25" s="220"/>
      <c r="H25" s="220"/>
      <c r="I25" s="221"/>
      <c r="K25" s="255" t="s">
        <v>410</v>
      </c>
      <c r="L25" s="256"/>
      <c r="M25" s="256"/>
      <c r="N25" s="256"/>
      <c r="O25" s="256"/>
      <c r="P25" s="256"/>
      <c r="Q25" s="256"/>
      <c r="R25" s="256"/>
      <c r="S25" s="256"/>
      <c r="T25" s="257"/>
    </row>
    <row r="26" spans="1:20" ht="15" thickBot="1" x14ac:dyDescent="0.35">
      <c r="A26" s="211" t="s">
        <v>129</v>
      </c>
      <c r="B26" s="212"/>
      <c r="C26" s="213"/>
      <c r="D26" s="31">
        <f>B5</f>
        <v>107</v>
      </c>
      <c r="F26" s="222"/>
      <c r="G26" s="223"/>
      <c r="H26" s="223"/>
      <c r="I26" s="224"/>
      <c r="K26" s="261"/>
      <c r="L26" s="262"/>
      <c r="M26" s="262"/>
      <c r="N26" s="262"/>
      <c r="O26" s="262"/>
      <c r="P26" s="262"/>
      <c r="Q26" s="262"/>
      <c r="R26" s="262"/>
      <c r="S26" s="262"/>
      <c r="T26" s="263"/>
    </row>
    <row r="27" spans="1:20" ht="15.6" x14ac:dyDescent="0.35">
      <c r="A27" s="214" t="s">
        <v>131</v>
      </c>
      <c r="B27" s="215"/>
      <c r="C27" s="215"/>
      <c r="D27" s="56">
        <f>D26/D25</f>
        <v>0.64071856287425155</v>
      </c>
      <c r="F27" s="205" t="s">
        <v>394</v>
      </c>
      <c r="G27" s="206"/>
      <c r="H27" s="206"/>
      <c r="I27" s="207"/>
    </row>
    <row r="28" spans="1:20" x14ac:dyDescent="0.3">
      <c r="A28" s="249"/>
      <c r="B28" s="250"/>
      <c r="C28" s="250"/>
      <c r="D28" s="251"/>
      <c r="F28" s="231" t="s">
        <v>394</v>
      </c>
      <c r="G28" s="232"/>
      <c r="H28" s="233"/>
      <c r="I28" s="54">
        <f>1-D15</f>
        <v>0.95</v>
      </c>
    </row>
    <row r="29" spans="1:20" x14ac:dyDescent="0.3">
      <c r="A29" s="252"/>
      <c r="B29" s="253"/>
      <c r="C29" s="253"/>
      <c r="D29" s="254"/>
      <c r="F29" s="211"/>
      <c r="G29" s="212"/>
      <c r="H29" s="212"/>
      <c r="I29" s="234"/>
    </row>
    <row r="30" spans="1:20" x14ac:dyDescent="0.3">
      <c r="A30" s="214" t="s">
        <v>132</v>
      </c>
      <c r="B30" s="215"/>
      <c r="C30" s="215"/>
      <c r="D30" s="56">
        <f>(D22+D26)/(D21+D25)</f>
        <v>0.73250000000000004</v>
      </c>
      <c r="F30" s="205" t="s">
        <v>109</v>
      </c>
      <c r="G30" s="206"/>
      <c r="H30" s="206"/>
      <c r="I30" s="207"/>
    </row>
    <row r="31" spans="1:20" x14ac:dyDescent="0.3">
      <c r="A31" s="214" t="s">
        <v>133</v>
      </c>
      <c r="B31" s="215"/>
      <c r="C31" s="215"/>
      <c r="D31" s="56">
        <f>SQRT(D30*(1-D30)*(1/D21+1/D25))</f>
        <v>4.4880688148608607E-2</v>
      </c>
      <c r="F31" s="228" t="s">
        <v>12</v>
      </c>
      <c r="G31" s="229"/>
      <c r="H31" s="229"/>
      <c r="I31" s="230"/>
    </row>
    <row r="32" spans="1:20" x14ac:dyDescent="0.3">
      <c r="A32" s="216" t="s">
        <v>134</v>
      </c>
      <c r="B32" s="217"/>
      <c r="C32" s="217"/>
      <c r="D32" s="43">
        <f>((D23-D27)-D11)/D31</f>
        <v>3.510746056446294</v>
      </c>
      <c r="F32" s="211" t="s">
        <v>112</v>
      </c>
      <c r="G32" s="212"/>
      <c r="H32" s="213"/>
      <c r="I32" s="31">
        <f>D21</f>
        <v>233</v>
      </c>
    </row>
    <row r="33" spans="1:9" x14ac:dyDescent="0.3">
      <c r="A33" s="214" t="s">
        <v>115</v>
      </c>
      <c r="B33" s="215"/>
      <c r="C33" s="215"/>
      <c r="D33" s="43">
        <f>IF(D13="Two",2*(1-NORMSDIST(ABS(D32))),IF(D13="Lower",NORMSDIST(D32),1-NORMSDIST((D32))))</f>
        <v>2.2342552361898083E-4</v>
      </c>
      <c r="F33" s="211" t="s">
        <v>129</v>
      </c>
      <c r="G33" s="212"/>
      <c r="H33" s="213"/>
      <c r="I33" s="31">
        <f>D22</f>
        <v>186</v>
      </c>
    </row>
    <row r="34" spans="1:9" ht="15.6" x14ac:dyDescent="0.35">
      <c r="A34" s="202"/>
      <c r="B34" s="203"/>
      <c r="C34" s="203"/>
      <c r="D34" s="204"/>
      <c r="F34" s="214" t="s">
        <v>130</v>
      </c>
      <c r="G34" s="215"/>
      <c r="H34" s="215"/>
      <c r="I34" s="56">
        <f>I33/I32</f>
        <v>0.79828326180257514</v>
      </c>
    </row>
    <row r="35" spans="1:9" x14ac:dyDescent="0.3">
      <c r="A35" s="205" t="s">
        <v>116</v>
      </c>
      <c r="B35" s="206"/>
      <c r="C35" s="206"/>
      <c r="D35" s="207"/>
      <c r="F35" s="228" t="s">
        <v>23</v>
      </c>
      <c r="G35" s="229"/>
      <c r="H35" s="229"/>
      <c r="I35" s="230"/>
    </row>
    <row r="36" spans="1:9" ht="15" thickBot="1" x14ac:dyDescent="0.35">
      <c r="A36" s="208" t="str">
        <f>IF(D33&lt;D15,"Reject Null Hypothesis", "Fail to reject Null Hypothesis")</f>
        <v>Reject Null Hypothesis</v>
      </c>
      <c r="B36" s="209"/>
      <c r="C36" s="209"/>
      <c r="D36" s="210"/>
      <c r="F36" s="211" t="s">
        <v>112</v>
      </c>
      <c r="G36" s="212"/>
      <c r="H36" s="213"/>
      <c r="I36" s="31">
        <f>D25</f>
        <v>167</v>
      </c>
    </row>
    <row r="37" spans="1:9" x14ac:dyDescent="0.3">
      <c r="F37" s="211" t="s">
        <v>129</v>
      </c>
      <c r="G37" s="212"/>
      <c r="H37" s="213"/>
      <c r="I37" s="31">
        <f>D26</f>
        <v>107</v>
      </c>
    </row>
    <row r="38" spans="1:9" ht="15.6" x14ac:dyDescent="0.35">
      <c r="F38" s="214" t="s">
        <v>131</v>
      </c>
      <c r="G38" s="215"/>
      <c r="H38" s="215"/>
      <c r="I38" s="56">
        <f>I37/I36</f>
        <v>0.64071856287425155</v>
      </c>
    </row>
    <row r="39" spans="1:9" x14ac:dyDescent="0.3">
      <c r="F39" s="202"/>
      <c r="G39" s="203"/>
      <c r="H39" s="203"/>
      <c r="I39" s="204"/>
    </row>
    <row r="40" spans="1:9" x14ac:dyDescent="0.3">
      <c r="F40" s="205" t="s">
        <v>395</v>
      </c>
      <c r="G40" s="206"/>
      <c r="H40" s="206"/>
      <c r="I40" s="207"/>
    </row>
    <row r="41" spans="1:9" x14ac:dyDescent="0.3">
      <c r="F41" s="214" t="s">
        <v>132</v>
      </c>
      <c r="G41" s="215"/>
      <c r="H41" s="215"/>
      <c r="I41" s="56">
        <f>(I33+I37)/(I32+I36)</f>
        <v>0.73250000000000004</v>
      </c>
    </row>
    <row r="42" spans="1:9" x14ac:dyDescent="0.3">
      <c r="F42" s="214" t="s">
        <v>133</v>
      </c>
      <c r="G42" s="215"/>
      <c r="H42" s="215"/>
      <c r="I42" s="56">
        <f>SQRT(I41*(1-I41)*(1/I32+1/I36))</f>
        <v>4.4880688148608607E-2</v>
      </c>
    </row>
    <row r="43" spans="1:9" x14ac:dyDescent="0.3">
      <c r="F43" s="216" t="s">
        <v>396</v>
      </c>
      <c r="G43" s="217"/>
      <c r="H43" s="217"/>
      <c r="I43" s="180">
        <f>NORMSINV(1-(1-I28)/2)</f>
        <v>1.9599639845400536</v>
      </c>
    </row>
    <row r="44" spans="1:9" x14ac:dyDescent="0.3">
      <c r="F44" s="202"/>
      <c r="G44" s="203"/>
      <c r="H44" s="203"/>
      <c r="I44" s="204"/>
    </row>
    <row r="45" spans="1:9" x14ac:dyDescent="0.3">
      <c r="F45" s="205" t="s">
        <v>397</v>
      </c>
      <c r="G45" s="206"/>
      <c r="H45" s="206"/>
      <c r="I45" s="207"/>
    </row>
    <row r="46" spans="1:9" x14ac:dyDescent="0.3">
      <c r="F46" s="225" t="s">
        <v>398</v>
      </c>
      <c r="G46" s="226"/>
      <c r="H46" s="227"/>
      <c r="I46" s="181">
        <f>(I34-I38)-I43*I42</f>
        <v>6.9600166555677107E-2</v>
      </c>
    </row>
    <row r="47" spans="1:9" ht="15" thickBot="1" x14ac:dyDescent="0.35">
      <c r="F47" s="182" t="s">
        <v>399</v>
      </c>
      <c r="G47" s="183"/>
      <c r="H47" s="184"/>
      <c r="I47" s="185">
        <f>(I34-I38)+I43*I42</f>
        <v>0.24552923130097007</v>
      </c>
    </row>
  </sheetData>
  <mergeCells count="49">
    <mergeCell ref="A8:D8"/>
    <mergeCell ref="A9:D9"/>
    <mergeCell ref="A10:D10"/>
    <mergeCell ref="A14:D14"/>
    <mergeCell ref="A16:D16"/>
    <mergeCell ref="A19:D19"/>
    <mergeCell ref="A20:D20"/>
    <mergeCell ref="A21:C21"/>
    <mergeCell ref="A22:C22"/>
    <mergeCell ref="F11:Q12"/>
    <mergeCell ref="A36:D36"/>
    <mergeCell ref="F17:P21"/>
    <mergeCell ref="A30:C30"/>
    <mergeCell ref="A31:C31"/>
    <mergeCell ref="A32:C32"/>
    <mergeCell ref="A33:C33"/>
    <mergeCell ref="A34:D34"/>
    <mergeCell ref="A35:D35"/>
    <mergeCell ref="A23:C23"/>
    <mergeCell ref="A24:D24"/>
    <mergeCell ref="A25:C25"/>
    <mergeCell ref="A26:C26"/>
    <mergeCell ref="A27:C27"/>
    <mergeCell ref="A28:D29"/>
    <mergeCell ref="A17:C17"/>
    <mergeCell ref="A18:C18"/>
    <mergeCell ref="F33:H33"/>
    <mergeCell ref="F34:H34"/>
    <mergeCell ref="F25:I25"/>
    <mergeCell ref="F26:I26"/>
    <mergeCell ref="F27:I27"/>
    <mergeCell ref="F28:H28"/>
    <mergeCell ref="F29:I29"/>
    <mergeCell ref="F45:I45"/>
    <mergeCell ref="F46:H46"/>
    <mergeCell ref="K25:T26"/>
    <mergeCell ref="F40:I40"/>
    <mergeCell ref="F41:H41"/>
    <mergeCell ref="F42:H42"/>
    <mergeCell ref="F43:H43"/>
    <mergeCell ref="F44:I44"/>
    <mergeCell ref="F35:I35"/>
    <mergeCell ref="F36:H36"/>
    <mergeCell ref="F37:H37"/>
    <mergeCell ref="F38:H38"/>
    <mergeCell ref="F39:I39"/>
    <mergeCell ref="F30:I30"/>
    <mergeCell ref="F31:I31"/>
    <mergeCell ref="F32:H32"/>
  </mergeCells>
  <conditionalFormatting sqref="D18">
    <cfRule type="cellIs" dxfId="1" priority="2" stopIfTrue="1" operator="notEqual">
      <formula>""</formula>
    </cfRule>
  </conditionalFormatting>
  <conditionalFormatting sqref="D18">
    <cfRule type="cellIs" dxfId="0" priority="1" stopIfTrue="1" operator="notEqual">
      <formula>""</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108BB-11FB-4701-9C1B-4628C60059B8}">
  <dimension ref="A1:W134"/>
  <sheetViews>
    <sheetView showGridLines="0" workbookViewId="0">
      <selection activeCell="F3" sqref="F3"/>
    </sheetView>
  </sheetViews>
  <sheetFormatPr defaultRowHeight="14.4" x14ac:dyDescent="0.3"/>
  <cols>
    <col min="1" max="1" width="17.21875" bestFit="1" customWidth="1"/>
    <col min="4" max="4" width="11" bestFit="1" customWidth="1"/>
    <col min="5" max="5" width="2.33203125" customWidth="1"/>
    <col min="6" max="8" width="11" customWidth="1"/>
    <col min="10" max="10" width="22.109375" customWidth="1"/>
    <col min="11" max="11" width="12" customWidth="1"/>
    <col min="12" max="12" width="11.88671875" bestFit="1" customWidth="1"/>
    <col min="13" max="13" width="10.109375" customWidth="1"/>
    <col min="22" max="22" width="17.6640625" bestFit="1" customWidth="1"/>
  </cols>
  <sheetData>
    <row r="1" spans="1:19" x14ac:dyDescent="0.3">
      <c r="A1" s="12" t="s">
        <v>215</v>
      </c>
      <c r="B1" t="s">
        <v>216</v>
      </c>
    </row>
    <row r="2" spans="1:19" x14ac:dyDescent="0.3">
      <c r="A2" s="12"/>
    </row>
    <row r="3" spans="1:19" x14ac:dyDescent="0.3">
      <c r="A3" s="12" t="s">
        <v>72</v>
      </c>
      <c r="B3" s="76">
        <f>MEDIAN(B7:B199)</f>
        <v>147</v>
      </c>
      <c r="C3" s="76">
        <f t="shared" ref="C3:D3" si="0">MEDIAN(C7:C199)</f>
        <v>136</v>
      </c>
      <c r="D3" s="76">
        <f t="shared" si="0"/>
        <v>131</v>
      </c>
      <c r="E3" s="76"/>
      <c r="F3" s="76"/>
      <c r="G3" s="76"/>
      <c r="H3" s="76"/>
    </row>
    <row r="4" spans="1:19" x14ac:dyDescent="0.3">
      <c r="A4" s="12" t="s">
        <v>71</v>
      </c>
      <c r="B4" s="76">
        <f>AVERAGE(B7:B200)</f>
        <v>242.3370786516854</v>
      </c>
      <c r="C4" s="76">
        <f t="shared" ref="C4:D4" si="1">AVERAGE(C7:C200)</f>
        <v>266.95275590551182</v>
      </c>
      <c r="D4" s="76">
        <f t="shared" si="1"/>
        <v>240.36065573770492</v>
      </c>
      <c r="E4" s="76"/>
      <c r="F4" s="76"/>
      <c r="G4" s="76"/>
      <c r="H4" s="76"/>
    </row>
    <row r="5" spans="1:19" x14ac:dyDescent="0.3">
      <c r="A5" s="12" t="s">
        <v>75</v>
      </c>
      <c r="B5" s="61">
        <f>_xlfn.STDEV.S(B7:B200)</f>
        <v>339.45698428185625</v>
      </c>
      <c r="C5" s="61">
        <f t="shared" ref="C5:D5" si="2">_xlfn.STDEV.S(C7:C200)</f>
        <v>338.56498891429277</v>
      </c>
      <c r="D5" s="61">
        <f t="shared" si="2"/>
        <v>295.29742254134703</v>
      </c>
      <c r="E5" s="61"/>
      <c r="F5" s="61"/>
      <c r="G5" s="61"/>
      <c r="H5" s="61"/>
      <c r="J5" s="283" t="s">
        <v>224</v>
      </c>
      <c r="K5" s="283"/>
      <c r="L5" s="283"/>
      <c r="M5" s="283"/>
      <c r="N5" s="283"/>
      <c r="O5" s="283"/>
      <c r="P5" s="283"/>
      <c r="Q5" s="283"/>
      <c r="R5" s="283"/>
      <c r="S5" s="283"/>
    </row>
    <row r="6" spans="1:19" x14ac:dyDescent="0.3">
      <c r="B6" s="280" t="s">
        <v>218</v>
      </c>
      <c r="C6" s="280"/>
      <c r="D6" s="280"/>
      <c r="E6" s="61"/>
      <c r="F6" s="280" t="s">
        <v>264</v>
      </c>
      <c r="G6" s="280"/>
      <c r="H6" s="280"/>
      <c r="J6" s="283"/>
      <c r="K6" s="283"/>
      <c r="L6" s="283"/>
      <c r="M6" s="283"/>
      <c r="N6" s="283"/>
      <c r="O6" s="283"/>
      <c r="P6" s="283"/>
      <c r="Q6" s="283"/>
      <c r="R6" s="283"/>
      <c r="S6" s="283"/>
    </row>
    <row r="7" spans="1:19" x14ac:dyDescent="0.3">
      <c r="B7" s="49" t="s">
        <v>36</v>
      </c>
      <c r="C7" s="17" t="s">
        <v>217</v>
      </c>
      <c r="D7" s="50" t="s">
        <v>13</v>
      </c>
      <c r="E7" s="61"/>
      <c r="F7" s="17" t="s">
        <v>36</v>
      </c>
      <c r="G7" s="17" t="s">
        <v>217</v>
      </c>
      <c r="H7" s="17" t="s">
        <v>13</v>
      </c>
      <c r="J7" s="12" t="s">
        <v>256</v>
      </c>
    </row>
    <row r="8" spans="1:19" x14ac:dyDescent="0.3">
      <c r="B8" s="79">
        <v>128</v>
      </c>
      <c r="C8" s="78">
        <v>20</v>
      </c>
      <c r="D8" s="80">
        <v>1068</v>
      </c>
      <c r="E8" s="95"/>
      <c r="F8" s="78">
        <f>ABS(B8-B$3)</f>
        <v>19</v>
      </c>
      <c r="G8" s="78">
        <f>ABS(C8-C$3)</f>
        <v>116</v>
      </c>
      <c r="H8" s="78">
        <f>ABS(D8-D$3)</f>
        <v>937</v>
      </c>
      <c r="J8" t="s">
        <v>257</v>
      </c>
    </row>
    <row r="9" spans="1:19" x14ac:dyDescent="0.3">
      <c r="B9" s="79">
        <v>560</v>
      </c>
      <c r="C9" s="78">
        <v>209</v>
      </c>
      <c r="D9" s="80">
        <v>893</v>
      </c>
      <c r="E9" s="95"/>
      <c r="F9" s="78">
        <f t="shared" ref="F9:F72" si="3">ABS(B9-B$3)</f>
        <v>413</v>
      </c>
      <c r="G9" s="78">
        <f t="shared" ref="G9:G72" si="4">ABS(C9-C$3)</f>
        <v>73</v>
      </c>
      <c r="H9" s="78">
        <f t="shared" ref="H9:H68" si="5">ABS(D9-D$3)</f>
        <v>762</v>
      </c>
      <c r="J9" t="s">
        <v>258</v>
      </c>
    </row>
    <row r="10" spans="1:19" x14ac:dyDescent="0.3">
      <c r="B10" s="79">
        <v>-29</v>
      </c>
      <c r="C10" s="78">
        <v>98</v>
      </c>
      <c r="D10" s="80">
        <v>39</v>
      </c>
      <c r="E10" s="95"/>
      <c r="F10" s="78">
        <f t="shared" si="3"/>
        <v>176</v>
      </c>
      <c r="G10" s="78">
        <f t="shared" si="4"/>
        <v>38</v>
      </c>
      <c r="H10" s="78">
        <f t="shared" si="5"/>
        <v>92</v>
      </c>
      <c r="J10" t="s">
        <v>259</v>
      </c>
    </row>
    <row r="11" spans="1:19" x14ac:dyDescent="0.3">
      <c r="B11" s="79">
        <v>429</v>
      </c>
      <c r="C11" s="78">
        <v>0</v>
      </c>
      <c r="D11" s="80">
        <v>54</v>
      </c>
      <c r="E11" s="95"/>
      <c r="F11" s="78">
        <f t="shared" si="3"/>
        <v>282</v>
      </c>
      <c r="G11" s="78">
        <f t="shared" si="4"/>
        <v>136</v>
      </c>
      <c r="H11" s="78">
        <f t="shared" si="5"/>
        <v>77</v>
      </c>
    </row>
    <row r="12" spans="1:19" x14ac:dyDescent="0.3">
      <c r="B12" s="79">
        <v>292</v>
      </c>
      <c r="C12" s="78">
        <v>292</v>
      </c>
      <c r="D12" s="80">
        <v>505</v>
      </c>
      <c r="E12" s="95"/>
      <c r="F12" s="78">
        <f t="shared" si="3"/>
        <v>145</v>
      </c>
      <c r="G12" s="78">
        <f t="shared" si="4"/>
        <v>156</v>
      </c>
      <c r="H12" s="78">
        <f t="shared" si="5"/>
        <v>374</v>
      </c>
      <c r="J12" s="12" t="s">
        <v>260</v>
      </c>
    </row>
    <row r="13" spans="1:19" ht="16.8" x14ac:dyDescent="0.35">
      <c r="B13" s="79">
        <v>40</v>
      </c>
      <c r="C13" s="78">
        <v>383</v>
      </c>
      <c r="D13" s="80">
        <v>99</v>
      </c>
      <c r="E13" s="95"/>
      <c r="F13" s="78">
        <f t="shared" si="3"/>
        <v>107</v>
      </c>
      <c r="G13" s="78">
        <f t="shared" si="4"/>
        <v>247</v>
      </c>
      <c r="H13" s="78">
        <f t="shared" si="5"/>
        <v>32</v>
      </c>
      <c r="K13" s="65" t="s">
        <v>219</v>
      </c>
      <c r="L13" s="12" t="s">
        <v>262</v>
      </c>
      <c r="N13" t="s">
        <v>263</v>
      </c>
    </row>
    <row r="14" spans="1:19" ht="15.6" x14ac:dyDescent="0.35">
      <c r="B14" s="79">
        <v>0</v>
      </c>
      <c r="C14" s="78">
        <v>0</v>
      </c>
      <c r="D14" s="80">
        <v>357</v>
      </c>
      <c r="E14" s="95"/>
      <c r="F14" s="78">
        <f t="shared" si="3"/>
        <v>147</v>
      </c>
      <c r="G14" s="78">
        <f t="shared" si="4"/>
        <v>136</v>
      </c>
      <c r="H14" s="78">
        <f t="shared" si="5"/>
        <v>226</v>
      </c>
      <c r="K14" s="65" t="s">
        <v>220</v>
      </c>
      <c r="L14" s="12" t="s">
        <v>261</v>
      </c>
      <c r="N14" t="s">
        <v>223</v>
      </c>
    </row>
    <row r="15" spans="1:19" x14ac:dyDescent="0.3">
      <c r="B15" s="79">
        <v>51</v>
      </c>
      <c r="C15" s="78">
        <v>58</v>
      </c>
      <c r="D15" s="80">
        <v>203</v>
      </c>
      <c r="E15" s="95"/>
      <c r="F15" s="78">
        <f t="shared" si="3"/>
        <v>96</v>
      </c>
      <c r="G15" s="78">
        <f t="shared" si="4"/>
        <v>78</v>
      </c>
      <c r="H15" s="78">
        <f t="shared" si="5"/>
        <v>72</v>
      </c>
      <c r="J15" t="s">
        <v>225</v>
      </c>
    </row>
    <row r="16" spans="1:19" x14ac:dyDescent="0.3">
      <c r="B16" s="79">
        <v>149</v>
      </c>
      <c r="C16" s="78">
        <v>73</v>
      </c>
      <c r="D16" s="80">
        <v>131</v>
      </c>
      <c r="E16" s="95"/>
      <c r="F16" s="78">
        <f t="shared" si="3"/>
        <v>2</v>
      </c>
      <c r="G16" s="78">
        <f t="shared" si="4"/>
        <v>63</v>
      </c>
      <c r="H16" s="78">
        <f t="shared" si="5"/>
        <v>0</v>
      </c>
    </row>
    <row r="17" spans="2:19" ht="15" thickBot="1" x14ac:dyDescent="0.35">
      <c r="B17" s="79">
        <v>0</v>
      </c>
      <c r="C17" s="78">
        <v>94</v>
      </c>
      <c r="D17" s="80">
        <v>51</v>
      </c>
      <c r="E17" s="95"/>
      <c r="F17" s="78">
        <f t="shared" si="3"/>
        <v>147</v>
      </c>
      <c r="G17" s="78">
        <f t="shared" si="4"/>
        <v>42</v>
      </c>
      <c r="H17" s="78">
        <f t="shared" si="5"/>
        <v>80</v>
      </c>
      <c r="J17" t="s">
        <v>226</v>
      </c>
    </row>
    <row r="18" spans="2:19" x14ac:dyDescent="0.3">
      <c r="B18" s="79">
        <v>-34</v>
      </c>
      <c r="C18" s="78">
        <v>84</v>
      </c>
      <c r="D18" s="80">
        <v>425</v>
      </c>
      <c r="E18" s="95"/>
      <c r="F18" s="78">
        <f t="shared" si="3"/>
        <v>181</v>
      </c>
      <c r="G18" s="78">
        <f t="shared" si="4"/>
        <v>52</v>
      </c>
      <c r="H18" s="78">
        <f t="shared" si="5"/>
        <v>294</v>
      </c>
      <c r="J18" s="85" t="s">
        <v>227</v>
      </c>
      <c r="K18" s="85" t="s">
        <v>79</v>
      </c>
      <c r="L18" s="85" t="s">
        <v>78</v>
      </c>
      <c r="M18" s="85" t="s">
        <v>228</v>
      </c>
      <c r="N18" s="85" t="s">
        <v>74</v>
      </c>
    </row>
    <row r="19" spans="2:19" x14ac:dyDescent="0.3">
      <c r="B19" s="79">
        <v>37</v>
      </c>
      <c r="C19" s="78">
        <v>327</v>
      </c>
      <c r="D19" s="80">
        <v>-40</v>
      </c>
      <c r="E19" s="95"/>
      <c r="F19" s="78">
        <f t="shared" si="3"/>
        <v>110</v>
      </c>
      <c r="G19" s="78">
        <f t="shared" si="4"/>
        <v>191</v>
      </c>
      <c r="H19" s="78">
        <f t="shared" si="5"/>
        <v>171</v>
      </c>
      <c r="J19" s="83" t="s">
        <v>36</v>
      </c>
      <c r="K19" s="83">
        <v>89</v>
      </c>
      <c r="L19" s="83">
        <v>19831</v>
      </c>
      <c r="M19" s="83">
        <v>222.82022471910113</v>
      </c>
      <c r="N19" s="83">
        <v>74210.444586312573</v>
      </c>
    </row>
    <row r="20" spans="2:19" x14ac:dyDescent="0.3">
      <c r="B20" s="79">
        <v>925</v>
      </c>
      <c r="C20" s="78">
        <v>130</v>
      </c>
      <c r="D20" s="80">
        <v>357</v>
      </c>
      <c r="E20" s="95"/>
      <c r="F20" s="78">
        <f t="shared" si="3"/>
        <v>778</v>
      </c>
      <c r="G20" s="78">
        <f t="shared" si="4"/>
        <v>6</v>
      </c>
      <c r="H20" s="78">
        <f t="shared" si="5"/>
        <v>226</v>
      </c>
      <c r="J20" s="83" t="s">
        <v>217</v>
      </c>
      <c r="K20" s="83">
        <v>127</v>
      </c>
      <c r="L20" s="83">
        <v>30735</v>
      </c>
      <c r="M20" s="83">
        <v>242.00787401574803</v>
      </c>
      <c r="N20" s="83">
        <v>72878.341207349076</v>
      </c>
    </row>
    <row r="21" spans="2:19" ht="15" thickBot="1" x14ac:dyDescent="0.35">
      <c r="B21" s="79">
        <v>233</v>
      </c>
      <c r="C21" s="78">
        <v>156</v>
      </c>
      <c r="D21" s="80">
        <v>38</v>
      </c>
      <c r="E21" s="95"/>
      <c r="F21" s="78">
        <f t="shared" si="3"/>
        <v>86</v>
      </c>
      <c r="G21" s="78">
        <f t="shared" si="4"/>
        <v>20</v>
      </c>
      <c r="H21" s="78">
        <f t="shared" si="5"/>
        <v>93</v>
      </c>
      <c r="J21" s="84" t="s">
        <v>13</v>
      </c>
      <c r="K21" s="84">
        <v>61</v>
      </c>
      <c r="L21" s="84">
        <v>12961</v>
      </c>
      <c r="M21" s="84">
        <v>212.47540983606558</v>
      </c>
      <c r="N21" s="84">
        <v>53461.420218579238</v>
      </c>
    </row>
    <row r="22" spans="2:19" x14ac:dyDescent="0.3">
      <c r="B22" s="79">
        <v>424</v>
      </c>
      <c r="C22" s="78">
        <v>1084</v>
      </c>
      <c r="D22" s="80">
        <v>366</v>
      </c>
      <c r="E22" s="95"/>
      <c r="F22" s="78">
        <f t="shared" si="3"/>
        <v>277</v>
      </c>
      <c r="G22" s="78">
        <f t="shared" si="4"/>
        <v>948</v>
      </c>
      <c r="H22" s="78">
        <f t="shared" si="5"/>
        <v>235</v>
      </c>
    </row>
    <row r="23" spans="2:19" x14ac:dyDescent="0.3">
      <c r="B23" s="79">
        <v>434</v>
      </c>
      <c r="C23" s="78">
        <v>76</v>
      </c>
      <c r="D23" s="80">
        <v>126</v>
      </c>
      <c r="E23" s="95"/>
      <c r="F23" s="78">
        <f t="shared" si="3"/>
        <v>287</v>
      </c>
      <c r="G23" s="78">
        <f t="shared" si="4"/>
        <v>60</v>
      </c>
      <c r="H23" s="78">
        <f t="shared" si="5"/>
        <v>5</v>
      </c>
    </row>
    <row r="24" spans="2:19" ht="15" thickBot="1" x14ac:dyDescent="0.35">
      <c r="B24" s="79">
        <v>-30</v>
      </c>
      <c r="C24" s="78">
        <v>453</v>
      </c>
      <c r="D24" s="80">
        <v>96</v>
      </c>
      <c r="E24" s="95"/>
      <c r="F24" s="78">
        <f t="shared" si="3"/>
        <v>177</v>
      </c>
      <c r="G24" s="78">
        <f t="shared" si="4"/>
        <v>317</v>
      </c>
      <c r="H24" s="78">
        <f t="shared" si="5"/>
        <v>35</v>
      </c>
      <c r="J24" t="s">
        <v>229</v>
      </c>
    </row>
    <row r="25" spans="2:19" x14ac:dyDescent="0.3">
      <c r="B25" s="79">
        <v>1273</v>
      </c>
      <c r="C25" s="78">
        <v>1179</v>
      </c>
      <c r="D25" s="80">
        <v>33</v>
      </c>
      <c r="E25" s="95"/>
      <c r="F25" s="78">
        <f t="shared" si="3"/>
        <v>1126</v>
      </c>
      <c r="G25" s="78">
        <f t="shared" si="4"/>
        <v>1043</v>
      </c>
      <c r="H25" s="78">
        <f t="shared" si="5"/>
        <v>98</v>
      </c>
      <c r="J25" s="85" t="s">
        <v>230</v>
      </c>
      <c r="K25" s="85" t="s">
        <v>231</v>
      </c>
      <c r="L25" s="85" t="s">
        <v>232</v>
      </c>
      <c r="M25" s="85" t="s">
        <v>233</v>
      </c>
      <c r="N25" s="85" t="s">
        <v>234</v>
      </c>
      <c r="O25" s="85" t="s">
        <v>235</v>
      </c>
      <c r="P25" s="85" t="s">
        <v>236</v>
      </c>
    </row>
    <row r="26" spans="2:19" x14ac:dyDescent="0.3">
      <c r="B26" s="79">
        <v>-69</v>
      </c>
      <c r="C26" s="78">
        <v>136</v>
      </c>
      <c r="D26" s="80">
        <v>-12</v>
      </c>
      <c r="E26" s="95"/>
      <c r="F26" s="78">
        <f t="shared" si="3"/>
        <v>216</v>
      </c>
      <c r="G26" s="78">
        <f t="shared" si="4"/>
        <v>0</v>
      </c>
      <c r="H26" s="78">
        <f t="shared" si="5"/>
        <v>143</v>
      </c>
      <c r="J26" s="83" t="s">
        <v>237</v>
      </c>
      <c r="K26" s="83">
        <v>41512.772246785462</v>
      </c>
      <c r="L26" s="83">
        <v>2</v>
      </c>
      <c r="M26" s="83">
        <v>20756.386123392731</v>
      </c>
      <c r="N26" s="83">
        <v>0.30058069190604469</v>
      </c>
      <c r="O26" s="83">
        <v>0.74063197761869304</v>
      </c>
      <c r="P26" s="83">
        <v>3.0287256475890825</v>
      </c>
    </row>
    <row r="27" spans="2:19" x14ac:dyDescent="0.3">
      <c r="B27" s="79">
        <v>-54</v>
      </c>
      <c r="C27" s="78">
        <v>0</v>
      </c>
      <c r="D27" s="80">
        <v>43</v>
      </c>
      <c r="E27" s="95"/>
      <c r="F27" s="78">
        <f t="shared" si="3"/>
        <v>201</v>
      </c>
      <c r="G27" s="78">
        <f t="shared" si="4"/>
        <v>136</v>
      </c>
      <c r="H27" s="78">
        <f t="shared" si="5"/>
        <v>88</v>
      </c>
      <c r="J27" s="83" t="s">
        <v>238</v>
      </c>
      <c r="K27" s="83">
        <v>18920875.32883624</v>
      </c>
      <c r="L27" s="83">
        <v>274</v>
      </c>
      <c r="M27" s="83">
        <v>69054.289521300147</v>
      </c>
      <c r="N27" s="83"/>
      <c r="O27" s="83"/>
      <c r="P27" s="83"/>
    </row>
    <row r="28" spans="2:19" x14ac:dyDescent="0.3">
      <c r="B28" s="79">
        <v>21</v>
      </c>
      <c r="C28" s="78">
        <v>575</v>
      </c>
      <c r="D28" s="80">
        <v>230</v>
      </c>
      <c r="E28" s="95"/>
      <c r="F28" s="78">
        <f t="shared" si="3"/>
        <v>126</v>
      </c>
      <c r="G28" s="78">
        <f t="shared" si="4"/>
        <v>439</v>
      </c>
      <c r="H28" s="78">
        <f t="shared" si="5"/>
        <v>99</v>
      </c>
      <c r="J28" s="83"/>
      <c r="K28" s="83"/>
      <c r="L28" s="83"/>
      <c r="M28" s="83"/>
      <c r="N28" s="83"/>
      <c r="O28" s="83"/>
      <c r="P28" s="83"/>
    </row>
    <row r="29" spans="2:19" ht="15" thickBot="1" x14ac:dyDescent="0.35">
      <c r="B29" s="79">
        <v>307</v>
      </c>
      <c r="C29" s="78">
        <v>640</v>
      </c>
      <c r="D29" s="80">
        <v>141</v>
      </c>
      <c r="E29" s="95"/>
      <c r="F29" s="78">
        <f t="shared" si="3"/>
        <v>160</v>
      </c>
      <c r="G29" s="78">
        <f t="shared" si="4"/>
        <v>504</v>
      </c>
      <c r="H29" s="78">
        <f t="shared" si="5"/>
        <v>10</v>
      </c>
      <c r="J29" s="84" t="s">
        <v>88</v>
      </c>
      <c r="K29" s="84">
        <v>18962388.101083025</v>
      </c>
      <c r="L29" s="84">
        <v>276</v>
      </c>
      <c r="M29" s="84"/>
      <c r="N29" s="84"/>
      <c r="O29" s="84"/>
      <c r="P29" s="84"/>
    </row>
    <row r="30" spans="2:19" x14ac:dyDescent="0.3">
      <c r="B30" s="79">
        <v>272</v>
      </c>
      <c r="C30" s="78">
        <v>241</v>
      </c>
      <c r="D30" s="80">
        <v>416</v>
      </c>
      <c r="E30" s="95"/>
      <c r="F30" s="78">
        <f t="shared" si="3"/>
        <v>125</v>
      </c>
      <c r="G30" s="78">
        <f t="shared" si="4"/>
        <v>105</v>
      </c>
      <c r="H30" s="78">
        <f t="shared" si="5"/>
        <v>285</v>
      </c>
    </row>
    <row r="31" spans="2:19" x14ac:dyDescent="0.3">
      <c r="B31" s="79">
        <v>253</v>
      </c>
      <c r="C31" s="78">
        <v>158</v>
      </c>
      <c r="D31" s="80">
        <v>40</v>
      </c>
      <c r="E31" s="95"/>
      <c r="F31" s="78">
        <f t="shared" si="3"/>
        <v>106</v>
      </c>
      <c r="G31" s="78">
        <f t="shared" si="4"/>
        <v>22</v>
      </c>
      <c r="H31" s="78">
        <f t="shared" si="5"/>
        <v>91</v>
      </c>
      <c r="J31" s="283" t="s">
        <v>272</v>
      </c>
      <c r="K31" s="283"/>
      <c r="L31" s="283"/>
      <c r="M31" s="283"/>
      <c r="N31" s="283"/>
      <c r="O31" s="283"/>
      <c r="P31" s="283"/>
      <c r="Q31" s="283"/>
      <c r="R31" s="283"/>
      <c r="S31" s="283"/>
    </row>
    <row r="32" spans="2:19" ht="15.6" customHeight="1" x14ac:dyDescent="0.3">
      <c r="B32" s="79">
        <v>0</v>
      </c>
      <c r="C32" s="78">
        <v>60</v>
      </c>
      <c r="D32" s="80">
        <v>-31</v>
      </c>
      <c r="E32" s="95"/>
      <c r="F32" s="78">
        <f t="shared" si="3"/>
        <v>147</v>
      </c>
      <c r="G32" s="78">
        <f t="shared" si="4"/>
        <v>76</v>
      </c>
      <c r="H32" s="78">
        <f t="shared" si="5"/>
        <v>162</v>
      </c>
      <c r="J32" s="283"/>
      <c r="K32" s="283"/>
      <c r="L32" s="283"/>
      <c r="M32" s="283"/>
      <c r="N32" s="283"/>
      <c r="O32" s="283"/>
      <c r="P32" s="283"/>
      <c r="Q32" s="283"/>
      <c r="R32" s="283"/>
      <c r="S32" s="283"/>
    </row>
    <row r="33" spans="2:19" x14ac:dyDescent="0.3">
      <c r="B33" s="79">
        <v>418</v>
      </c>
      <c r="C33" s="78">
        <v>21</v>
      </c>
      <c r="D33" s="80">
        <v>1144</v>
      </c>
      <c r="E33" s="95"/>
      <c r="F33" s="78">
        <f t="shared" si="3"/>
        <v>271</v>
      </c>
      <c r="G33" s="78">
        <f t="shared" si="4"/>
        <v>115</v>
      </c>
      <c r="H33" s="78">
        <f t="shared" si="5"/>
        <v>1013</v>
      </c>
      <c r="J33" s="97"/>
      <c r="K33" s="97"/>
      <c r="L33" s="97"/>
      <c r="M33" s="97"/>
      <c r="N33" s="97"/>
      <c r="O33" s="97"/>
      <c r="P33" s="97"/>
      <c r="Q33" s="97"/>
      <c r="R33" s="97"/>
      <c r="S33" s="97"/>
    </row>
    <row r="34" spans="2:19" x14ac:dyDescent="0.3">
      <c r="B34" s="79">
        <v>-30</v>
      </c>
      <c r="C34" s="78">
        <v>407</v>
      </c>
      <c r="D34" s="80">
        <v>629</v>
      </c>
      <c r="E34" s="95"/>
      <c r="F34" s="78">
        <f t="shared" si="3"/>
        <v>177</v>
      </c>
      <c r="G34" s="78">
        <f t="shared" si="4"/>
        <v>271</v>
      </c>
      <c r="H34" s="78">
        <f t="shared" si="5"/>
        <v>498</v>
      </c>
      <c r="J34" s="12" t="s">
        <v>265</v>
      </c>
    </row>
    <row r="35" spans="2:19" ht="15.6" x14ac:dyDescent="0.35">
      <c r="B35" s="79">
        <v>1956</v>
      </c>
      <c r="C35" s="78">
        <v>0</v>
      </c>
      <c r="D35" s="80">
        <v>-69</v>
      </c>
      <c r="E35" s="95"/>
      <c r="F35" s="78">
        <f t="shared" si="3"/>
        <v>1809</v>
      </c>
      <c r="G35" s="78">
        <f t="shared" si="4"/>
        <v>136</v>
      </c>
      <c r="H35" s="78">
        <f t="shared" si="5"/>
        <v>200</v>
      </c>
      <c r="J35" s="65" t="s">
        <v>219</v>
      </c>
      <c r="K35" t="s">
        <v>221</v>
      </c>
      <c r="M35" t="s">
        <v>263</v>
      </c>
    </row>
    <row r="36" spans="2:19" ht="15.6" x14ac:dyDescent="0.35">
      <c r="B36" s="79">
        <v>61</v>
      </c>
      <c r="C36" s="78">
        <v>-10</v>
      </c>
      <c r="D36" s="80">
        <v>50</v>
      </c>
      <c r="E36" s="95"/>
      <c r="F36" s="78">
        <f t="shared" si="3"/>
        <v>86</v>
      </c>
      <c r="G36" s="78">
        <f t="shared" si="4"/>
        <v>146</v>
      </c>
      <c r="H36" s="78">
        <f t="shared" si="5"/>
        <v>81</v>
      </c>
      <c r="J36" s="65" t="s">
        <v>220</v>
      </c>
      <c r="K36" s="82" t="s">
        <v>222</v>
      </c>
      <c r="M36" t="s">
        <v>223</v>
      </c>
    </row>
    <row r="37" spans="2:19" x14ac:dyDescent="0.3">
      <c r="B37" s="79">
        <v>365</v>
      </c>
      <c r="C37" s="78">
        <v>-34</v>
      </c>
      <c r="D37" s="80">
        <v>27</v>
      </c>
      <c r="E37" s="95"/>
      <c r="F37" s="78">
        <f t="shared" si="3"/>
        <v>218</v>
      </c>
      <c r="G37" s="78">
        <f t="shared" si="4"/>
        <v>170</v>
      </c>
      <c r="H37" s="78">
        <f t="shared" si="5"/>
        <v>104</v>
      </c>
      <c r="J37" s="192" t="s">
        <v>274</v>
      </c>
      <c r="K37" s="192"/>
      <c r="L37" s="192"/>
      <c r="M37" s="192"/>
      <c r="N37" s="192"/>
      <c r="O37" s="192"/>
      <c r="P37" s="192"/>
      <c r="Q37" s="192"/>
      <c r="R37" s="192"/>
      <c r="S37" s="192"/>
    </row>
    <row r="38" spans="2:19" x14ac:dyDescent="0.3">
      <c r="B38" s="79">
        <v>-10</v>
      </c>
      <c r="C38" s="78">
        <v>676</v>
      </c>
      <c r="D38" s="80">
        <v>756</v>
      </c>
      <c r="E38" s="95"/>
      <c r="F38" s="78">
        <f t="shared" si="3"/>
        <v>157</v>
      </c>
      <c r="G38" s="78">
        <f t="shared" si="4"/>
        <v>540</v>
      </c>
      <c r="H38" s="78">
        <f t="shared" si="5"/>
        <v>625</v>
      </c>
      <c r="J38" s="192"/>
      <c r="K38" s="192"/>
      <c r="L38" s="192"/>
      <c r="M38" s="192"/>
      <c r="N38" s="192"/>
      <c r="O38" s="192"/>
      <c r="P38" s="192"/>
      <c r="Q38" s="192"/>
      <c r="R38" s="192"/>
      <c r="S38" s="192"/>
    </row>
    <row r="39" spans="2:19" x14ac:dyDescent="0.3">
      <c r="B39" s="79">
        <v>338</v>
      </c>
      <c r="C39" s="78">
        <v>110</v>
      </c>
      <c r="D39" s="80">
        <v>54</v>
      </c>
      <c r="E39" s="95"/>
      <c r="F39" s="78">
        <f t="shared" si="3"/>
        <v>191</v>
      </c>
      <c r="G39" s="78">
        <f t="shared" si="4"/>
        <v>26</v>
      </c>
      <c r="H39" s="78">
        <f t="shared" si="5"/>
        <v>77</v>
      </c>
      <c r="J39" t="s">
        <v>225</v>
      </c>
    </row>
    <row r="40" spans="2:19" x14ac:dyDescent="0.3">
      <c r="B40" s="79">
        <v>1008</v>
      </c>
      <c r="C40" s="78">
        <v>53</v>
      </c>
      <c r="D40" s="80">
        <v>-44</v>
      </c>
      <c r="E40" s="95"/>
      <c r="F40" s="78">
        <f t="shared" si="3"/>
        <v>861</v>
      </c>
      <c r="G40" s="78">
        <f t="shared" si="4"/>
        <v>83</v>
      </c>
      <c r="H40" s="78">
        <f t="shared" si="5"/>
        <v>175</v>
      </c>
    </row>
    <row r="41" spans="2:19" ht="15" thickBot="1" x14ac:dyDescent="0.35">
      <c r="B41" s="79">
        <v>250</v>
      </c>
      <c r="C41" s="78">
        <v>105</v>
      </c>
      <c r="D41" s="80">
        <v>63</v>
      </c>
      <c r="E41" s="95"/>
      <c r="F41" s="78">
        <f t="shared" si="3"/>
        <v>103</v>
      </c>
      <c r="G41" s="78">
        <f t="shared" si="4"/>
        <v>31</v>
      </c>
      <c r="H41" s="78">
        <f t="shared" si="5"/>
        <v>68</v>
      </c>
      <c r="J41" t="s">
        <v>226</v>
      </c>
    </row>
    <row r="42" spans="2:19" x14ac:dyDescent="0.3">
      <c r="B42" s="79">
        <v>542</v>
      </c>
      <c r="C42" s="78">
        <v>72</v>
      </c>
      <c r="D42" s="80">
        <v>387</v>
      </c>
      <c r="E42" s="95"/>
      <c r="F42" s="78">
        <f t="shared" si="3"/>
        <v>395</v>
      </c>
      <c r="G42" s="78">
        <f t="shared" si="4"/>
        <v>64</v>
      </c>
      <c r="H42" s="78">
        <f t="shared" si="5"/>
        <v>256</v>
      </c>
      <c r="J42" s="85" t="s">
        <v>227</v>
      </c>
      <c r="K42" s="85" t="s">
        <v>79</v>
      </c>
      <c r="L42" s="85" t="s">
        <v>78</v>
      </c>
      <c r="M42" s="85" t="s">
        <v>228</v>
      </c>
      <c r="N42" s="85" t="s">
        <v>74</v>
      </c>
    </row>
    <row r="43" spans="2:19" x14ac:dyDescent="0.3">
      <c r="B43" s="79">
        <v>26</v>
      </c>
      <c r="C43" s="78">
        <v>35</v>
      </c>
      <c r="D43" s="80">
        <v>202</v>
      </c>
      <c r="E43" s="95"/>
      <c r="F43" s="78">
        <f t="shared" si="3"/>
        <v>121</v>
      </c>
      <c r="G43" s="78">
        <f t="shared" si="4"/>
        <v>101</v>
      </c>
      <c r="H43" s="78">
        <f t="shared" si="5"/>
        <v>71</v>
      </c>
      <c r="J43" s="83" t="s">
        <v>36</v>
      </c>
      <c r="K43" s="83">
        <v>89</v>
      </c>
      <c r="L43" s="83">
        <v>21568</v>
      </c>
      <c r="M43" s="83">
        <v>242.3370786516854</v>
      </c>
      <c r="N43" s="83">
        <v>115231.04417773239</v>
      </c>
    </row>
    <row r="44" spans="2:19" x14ac:dyDescent="0.3">
      <c r="B44" s="79">
        <v>311</v>
      </c>
      <c r="C44" s="78">
        <v>39</v>
      </c>
      <c r="D44" s="80">
        <v>-33</v>
      </c>
      <c r="E44" s="95"/>
      <c r="F44" s="78">
        <f t="shared" si="3"/>
        <v>164</v>
      </c>
      <c r="G44" s="78">
        <f t="shared" si="4"/>
        <v>97</v>
      </c>
      <c r="H44" s="78">
        <f t="shared" si="5"/>
        <v>164</v>
      </c>
      <c r="J44" s="83" t="s">
        <v>217</v>
      </c>
      <c r="K44" s="83">
        <v>127</v>
      </c>
      <c r="L44" s="83">
        <v>33903</v>
      </c>
      <c r="M44" s="83">
        <v>266.95275590551182</v>
      </c>
      <c r="N44" s="83">
        <v>114626.25171853518</v>
      </c>
    </row>
    <row r="45" spans="2:19" ht="15" thickBot="1" x14ac:dyDescent="0.35">
      <c r="B45" s="79">
        <v>146</v>
      </c>
      <c r="C45" s="78">
        <v>-19</v>
      </c>
      <c r="D45" s="80">
        <v>-40</v>
      </c>
      <c r="E45" s="95"/>
      <c r="F45" s="78">
        <f t="shared" si="3"/>
        <v>1</v>
      </c>
      <c r="G45" s="78">
        <f t="shared" si="4"/>
        <v>155</v>
      </c>
      <c r="H45" s="78">
        <f t="shared" si="5"/>
        <v>171</v>
      </c>
      <c r="J45" s="84" t="s">
        <v>13</v>
      </c>
      <c r="K45" s="84">
        <v>61</v>
      </c>
      <c r="L45" s="84">
        <v>14662</v>
      </c>
      <c r="M45" s="84">
        <v>240.36065573770492</v>
      </c>
      <c r="N45" s="84">
        <v>87200.567759562837</v>
      </c>
    </row>
    <row r="46" spans="2:19" x14ac:dyDescent="0.3">
      <c r="B46" s="79">
        <v>242</v>
      </c>
      <c r="C46" s="78">
        <v>850</v>
      </c>
      <c r="D46" s="80">
        <v>96</v>
      </c>
      <c r="E46" s="95"/>
      <c r="F46" s="78">
        <f t="shared" si="3"/>
        <v>95</v>
      </c>
      <c r="G46" s="78">
        <f t="shared" si="4"/>
        <v>714</v>
      </c>
      <c r="H46" s="78">
        <f t="shared" si="5"/>
        <v>35</v>
      </c>
    </row>
    <row r="47" spans="2:19" x14ac:dyDescent="0.3">
      <c r="B47" s="79">
        <v>135</v>
      </c>
      <c r="C47" s="78">
        <v>0</v>
      </c>
      <c r="D47" s="80">
        <v>680</v>
      </c>
      <c r="E47" s="95"/>
      <c r="F47" s="78">
        <f t="shared" si="3"/>
        <v>12</v>
      </c>
      <c r="G47" s="78">
        <f t="shared" si="4"/>
        <v>136</v>
      </c>
      <c r="H47" s="78">
        <f t="shared" si="5"/>
        <v>549</v>
      </c>
    </row>
    <row r="48" spans="2:19" ht="15" thickBot="1" x14ac:dyDescent="0.35">
      <c r="B48" s="79">
        <v>200</v>
      </c>
      <c r="C48" s="78">
        <v>25</v>
      </c>
      <c r="D48" s="80">
        <v>357</v>
      </c>
      <c r="E48" s="95"/>
      <c r="F48" s="78">
        <f t="shared" si="3"/>
        <v>53</v>
      </c>
      <c r="G48" s="78">
        <f t="shared" si="4"/>
        <v>111</v>
      </c>
      <c r="H48" s="78">
        <f t="shared" si="5"/>
        <v>226</v>
      </c>
      <c r="J48" t="s">
        <v>229</v>
      </c>
    </row>
    <row r="49" spans="2:23" x14ac:dyDescent="0.3">
      <c r="B49" s="79">
        <v>-31</v>
      </c>
      <c r="C49" s="78">
        <v>28</v>
      </c>
      <c r="D49" s="80">
        <v>24</v>
      </c>
      <c r="E49" s="95"/>
      <c r="F49" s="78">
        <f t="shared" si="3"/>
        <v>178</v>
      </c>
      <c r="G49" s="78">
        <f t="shared" si="4"/>
        <v>108</v>
      </c>
      <c r="H49" s="78">
        <f t="shared" si="5"/>
        <v>107</v>
      </c>
      <c r="J49" s="85" t="s">
        <v>230</v>
      </c>
      <c r="K49" s="85" t="s">
        <v>231</v>
      </c>
      <c r="L49" s="85" t="s">
        <v>232</v>
      </c>
      <c r="M49" s="85" t="s">
        <v>233</v>
      </c>
      <c r="N49" s="85" t="s">
        <v>234</v>
      </c>
      <c r="O49" s="85" t="s">
        <v>235</v>
      </c>
      <c r="P49" s="85" t="s">
        <v>236</v>
      </c>
    </row>
    <row r="50" spans="2:23" ht="14.4" customHeight="1" x14ac:dyDescent="0.3">
      <c r="B50" s="79">
        <v>0</v>
      </c>
      <c r="C50" s="78">
        <v>562</v>
      </c>
      <c r="D50" s="80">
        <v>143</v>
      </c>
      <c r="E50" s="95"/>
      <c r="F50" s="78">
        <f t="shared" si="3"/>
        <v>147</v>
      </c>
      <c r="G50" s="78">
        <f t="shared" si="4"/>
        <v>426</v>
      </c>
      <c r="H50" s="78">
        <f t="shared" si="5"/>
        <v>12</v>
      </c>
      <c r="J50" s="83" t="s">
        <v>237</v>
      </c>
      <c r="K50" s="83">
        <v>44578.568517483771</v>
      </c>
      <c r="L50" s="83">
        <v>2</v>
      </c>
      <c r="M50" s="83">
        <v>22289.284258741885</v>
      </c>
      <c r="N50" s="83">
        <v>0.20483675429387924</v>
      </c>
      <c r="O50" s="83">
        <v>0.81490496897581699</v>
      </c>
      <c r="P50" s="83">
        <v>3.0287256475890825</v>
      </c>
      <c r="U50" s="70"/>
      <c r="V50" s="70"/>
      <c r="W50" s="70"/>
    </row>
    <row r="51" spans="2:23" x14ac:dyDescent="0.3">
      <c r="B51" s="79">
        <v>312</v>
      </c>
      <c r="C51" s="78">
        <v>167</v>
      </c>
      <c r="D51" s="80">
        <v>914</v>
      </c>
      <c r="E51" s="95"/>
      <c r="F51" s="78">
        <f t="shared" si="3"/>
        <v>165</v>
      </c>
      <c r="G51" s="78">
        <f t="shared" si="4"/>
        <v>31</v>
      </c>
      <c r="H51" s="78">
        <f t="shared" si="5"/>
        <v>783</v>
      </c>
      <c r="J51" s="83" t="s">
        <v>238</v>
      </c>
      <c r="K51" s="83">
        <v>29815273.669749655</v>
      </c>
      <c r="L51" s="83">
        <v>274</v>
      </c>
      <c r="M51" s="83">
        <v>108814.86740784545</v>
      </c>
      <c r="N51" s="83"/>
      <c r="O51" s="83"/>
      <c r="P51" s="83"/>
      <c r="U51" s="70"/>
      <c r="V51" s="70"/>
      <c r="W51" s="70"/>
    </row>
    <row r="52" spans="2:23" x14ac:dyDescent="0.3">
      <c r="B52" s="79">
        <v>124</v>
      </c>
      <c r="C52" s="78">
        <v>104</v>
      </c>
      <c r="D52" s="80">
        <v>-38</v>
      </c>
      <c r="E52" s="95"/>
      <c r="F52" s="78">
        <f t="shared" si="3"/>
        <v>23</v>
      </c>
      <c r="G52" s="78">
        <f t="shared" si="4"/>
        <v>32</v>
      </c>
      <c r="H52" s="78">
        <f t="shared" si="5"/>
        <v>169</v>
      </c>
      <c r="J52" s="83"/>
      <c r="K52" s="83"/>
      <c r="L52" s="83"/>
      <c r="M52" s="83"/>
      <c r="N52" s="83"/>
      <c r="O52" s="83"/>
      <c r="P52" s="83"/>
    </row>
    <row r="53" spans="2:23" ht="15" thickBot="1" x14ac:dyDescent="0.35">
      <c r="B53" s="79">
        <v>-17</v>
      </c>
      <c r="C53" s="78">
        <v>-22</v>
      </c>
      <c r="D53" s="80">
        <v>345</v>
      </c>
      <c r="E53" s="95"/>
      <c r="F53" s="78">
        <f t="shared" si="3"/>
        <v>164</v>
      </c>
      <c r="G53" s="78">
        <f t="shared" si="4"/>
        <v>158</v>
      </c>
      <c r="H53" s="78">
        <f t="shared" si="5"/>
        <v>214</v>
      </c>
      <c r="J53" s="84" t="s">
        <v>88</v>
      </c>
      <c r="K53" s="84">
        <v>29859852.238267139</v>
      </c>
      <c r="L53" s="84">
        <v>276</v>
      </c>
      <c r="M53" s="84"/>
      <c r="N53" s="84"/>
      <c r="O53" s="84"/>
      <c r="P53" s="84"/>
    </row>
    <row r="54" spans="2:23" x14ac:dyDescent="0.3">
      <c r="B54" s="79">
        <v>169</v>
      </c>
      <c r="C54" s="78">
        <v>-19</v>
      </c>
      <c r="D54" s="80">
        <v>691</v>
      </c>
      <c r="E54" s="95"/>
      <c r="F54" s="78">
        <f t="shared" si="3"/>
        <v>22</v>
      </c>
      <c r="G54" s="78">
        <f t="shared" si="4"/>
        <v>155</v>
      </c>
      <c r="H54" s="78">
        <f t="shared" si="5"/>
        <v>560</v>
      </c>
      <c r="T54" s="70"/>
    </row>
    <row r="55" spans="2:23" x14ac:dyDescent="0.3">
      <c r="B55" s="79">
        <v>150</v>
      </c>
      <c r="C55" s="78">
        <v>-13</v>
      </c>
      <c r="D55" s="80">
        <v>294</v>
      </c>
      <c r="E55" s="95"/>
      <c r="F55" s="78">
        <f t="shared" si="3"/>
        <v>3</v>
      </c>
      <c r="G55" s="78">
        <f t="shared" si="4"/>
        <v>149</v>
      </c>
      <c r="H55" s="78">
        <f t="shared" si="5"/>
        <v>163</v>
      </c>
      <c r="J55" s="192" t="s">
        <v>411</v>
      </c>
      <c r="K55" s="192"/>
      <c r="L55" s="192"/>
      <c r="M55" s="192"/>
      <c r="N55" s="192"/>
      <c r="O55" s="192"/>
      <c r="P55" s="192"/>
      <c r="Q55" s="192"/>
      <c r="R55" s="192"/>
      <c r="S55" s="192"/>
      <c r="T55" s="70"/>
    </row>
    <row r="56" spans="2:23" x14ac:dyDescent="0.3">
      <c r="B56" s="79">
        <v>22</v>
      </c>
      <c r="C56" s="78">
        <v>-17</v>
      </c>
      <c r="D56" s="80">
        <v>545</v>
      </c>
      <c r="E56" s="95"/>
      <c r="F56" s="78">
        <f t="shared" si="3"/>
        <v>125</v>
      </c>
      <c r="G56" s="78">
        <f t="shared" si="4"/>
        <v>153</v>
      </c>
      <c r="H56" s="78">
        <f t="shared" si="5"/>
        <v>414</v>
      </c>
      <c r="J56" s="192"/>
      <c r="K56" s="192"/>
      <c r="L56" s="192"/>
      <c r="M56" s="192"/>
      <c r="N56" s="192"/>
      <c r="O56" s="192"/>
      <c r="P56" s="192"/>
      <c r="Q56" s="192"/>
      <c r="R56" s="192"/>
      <c r="S56" s="192"/>
      <c r="T56" s="69"/>
    </row>
    <row r="57" spans="2:23" x14ac:dyDescent="0.3">
      <c r="B57" s="79">
        <v>51</v>
      </c>
      <c r="C57" s="78">
        <v>563</v>
      </c>
      <c r="D57" s="80">
        <v>194</v>
      </c>
      <c r="E57" s="95"/>
      <c r="F57" s="78">
        <f t="shared" si="3"/>
        <v>96</v>
      </c>
      <c r="G57" s="78">
        <f t="shared" si="4"/>
        <v>427</v>
      </c>
      <c r="H57" s="78">
        <f t="shared" si="5"/>
        <v>63</v>
      </c>
      <c r="J57" s="192"/>
      <c r="K57" s="192"/>
      <c r="L57" s="192"/>
      <c r="M57" s="192"/>
      <c r="N57" s="192"/>
      <c r="O57" s="192"/>
      <c r="P57" s="192"/>
      <c r="Q57" s="192"/>
      <c r="R57" s="192"/>
      <c r="S57" s="192"/>
    </row>
    <row r="58" spans="2:23" x14ac:dyDescent="0.3">
      <c r="B58" s="79">
        <v>183</v>
      </c>
      <c r="C58" s="78">
        <v>627</v>
      </c>
      <c r="D58" s="80">
        <v>-30</v>
      </c>
      <c r="E58" s="95"/>
      <c r="F58" s="78">
        <f t="shared" si="3"/>
        <v>36</v>
      </c>
      <c r="G58" s="78">
        <f t="shared" si="4"/>
        <v>491</v>
      </c>
      <c r="H58" s="78">
        <f t="shared" si="5"/>
        <v>161</v>
      </c>
    </row>
    <row r="59" spans="2:23" x14ac:dyDescent="0.3">
      <c r="B59" s="79">
        <v>0</v>
      </c>
      <c r="C59" s="78">
        <v>96</v>
      </c>
      <c r="D59" s="80">
        <v>84</v>
      </c>
      <c r="E59" s="95"/>
      <c r="F59" s="78">
        <f t="shared" si="3"/>
        <v>147</v>
      </c>
      <c r="G59" s="78">
        <f t="shared" si="4"/>
        <v>40</v>
      </c>
      <c r="H59" s="78">
        <f t="shared" si="5"/>
        <v>47</v>
      </c>
      <c r="J59" s="86" t="s">
        <v>239</v>
      </c>
    </row>
    <row r="60" spans="2:23" x14ac:dyDescent="0.3">
      <c r="B60" s="79">
        <v>384</v>
      </c>
      <c r="C60" s="78">
        <v>1143</v>
      </c>
      <c r="D60" s="80">
        <v>143</v>
      </c>
      <c r="E60" s="95"/>
      <c r="F60" s="78">
        <f t="shared" si="3"/>
        <v>237</v>
      </c>
      <c r="G60" s="78">
        <f t="shared" si="4"/>
        <v>1007</v>
      </c>
      <c r="H60" s="78">
        <f t="shared" si="5"/>
        <v>12</v>
      </c>
      <c r="J60" t="s">
        <v>243</v>
      </c>
    </row>
    <row r="61" spans="2:23" x14ac:dyDescent="0.3">
      <c r="B61" s="79">
        <v>272</v>
      </c>
      <c r="C61" s="78">
        <v>338</v>
      </c>
      <c r="D61" s="80">
        <v>17</v>
      </c>
      <c r="E61" s="95"/>
      <c r="F61" s="78">
        <f t="shared" si="3"/>
        <v>125</v>
      </c>
      <c r="G61" s="78">
        <f t="shared" si="4"/>
        <v>202</v>
      </c>
      <c r="H61" s="78">
        <f t="shared" si="5"/>
        <v>114</v>
      </c>
    </row>
    <row r="62" spans="2:23" x14ac:dyDescent="0.3">
      <c r="B62" s="79">
        <v>141</v>
      </c>
      <c r="C62" s="78">
        <v>567</v>
      </c>
      <c r="D62" s="80">
        <v>148</v>
      </c>
      <c r="E62" s="95"/>
      <c r="F62" s="78">
        <f t="shared" si="3"/>
        <v>6</v>
      </c>
      <c r="G62" s="78">
        <f t="shared" si="4"/>
        <v>431</v>
      </c>
      <c r="H62" s="78">
        <f t="shared" si="5"/>
        <v>17</v>
      </c>
      <c r="J62" s="281" t="s">
        <v>241</v>
      </c>
      <c r="K62" s="87" t="s">
        <v>240</v>
      </c>
      <c r="L62" s="88" t="s">
        <v>240</v>
      </c>
    </row>
    <row r="63" spans="2:23" x14ac:dyDescent="0.3">
      <c r="B63" s="79">
        <v>482</v>
      </c>
      <c r="C63" s="78">
        <v>827</v>
      </c>
      <c r="D63" s="80">
        <v>0</v>
      </c>
      <c r="E63" s="95"/>
      <c r="F63" s="78">
        <f t="shared" si="3"/>
        <v>335</v>
      </c>
      <c r="G63" s="78">
        <f t="shared" si="4"/>
        <v>691</v>
      </c>
      <c r="H63" s="78">
        <f t="shared" si="5"/>
        <v>131</v>
      </c>
      <c r="J63" s="282"/>
      <c r="K63" s="89" t="s">
        <v>71</v>
      </c>
      <c r="L63" s="90" t="s">
        <v>242</v>
      </c>
    </row>
    <row r="64" spans="2:23" x14ac:dyDescent="0.3">
      <c r="B64" s="79">
        <v>76</v>
      </c>
      <c r="C64" s="78">
        <v>298</v>
      </c>
      <c r="D64" s="80">
        <v>193</v>
      </c>
      <c r="E64" s="95"/>
      <c r="F64" s="78">
        <f t="shared" si="3"/>
        <v>71</v>
      </c>
      <c r="G64" s="78">
        <f t="shared" si="4"/>
        <v>162</v>
      </c>
      <c r="H64" s="78">
        <f t="shared" si="5"/>
        <v>62</v>
      </c>
      <c r="J64" s="91" t="s">
        <v>36</v>
      </c>
      <c r="K64" s="92">
        <f>M43</f>
        <v>242.3370786516854</v>
      </c>
      <c r="L64" s="92">
        <f>K43</f>
        <v>89</v>
      </c>
    </row>
    <row r="65" spans="2:16" x14ac:dyDescent="0.3">
      <c r="B65" s="79">
        <v>-78</v>
      </c>
      <c r="C65" s="78">
        <v>-73</v>
      </c>
      <c r="D65" s="80">
        <v>-31</v>
      </c>
      <c r="E65" s="95"/>
      <c r="F65" s="78">
        <f t="shared" si="3"/>
        <v>225</v>
      </c>
      <c r="G65" s="78">
        <f t="shared" si="4"/>
        <v>209</v>
      </c>
      <c r="H65" s="78">
        <f t="shared" si="5"/>
        <v>162</v>
      </c>
      <c r="J65" s="91" t="s">
        <v>217</v>
      </c>
      <c r="K65" s="92">
        <f>M44</f>
        <v>266.95275590551182</v>
      </c>
      <c r="L65" s="92">
        <f>K44</f>
        <v>127</v>
      </c>
    </row>
    <row r="66" spans="2:16" x14ac:dyDescent="0.3">
      <c r="B66" s="79">
        <v>-26</v>
      </c>
      <c r="C66" s="78">
        <v>-59</v>
      </c>
      <c r="D66" s="80">
        <v>676</v>
      </c>
      <c r="E66" s="95"/>
      <c r="F66" s="78">
        <f t="shared" si="3"/>
        <v>173</v>
      </c>
      <c r="G66" s="78">
        <f t="shared" si="4"/>
        <v>195</v>
      </c>
      <c r="H66" s="78">
        <f t="shared" si="5"/>
        <v>545</v>
      </c>
      <c r="J66" s="91" t="s">
        <v>13</v>
      </c>
      <c r="K66" s="92">
        <f>M45</f>
        <v>240.36065573770492</v>
      </c>
      <c r="L66" s="92">
        <f>K45</f>
        <v>61</v>
      </c>
    </row>
    <row r="67" spans="2:16" x14ac:dyDescent="0.3">
      <c r="B67" s="79">
        <v>442</v>
      </c>
      <c r="C67" s="78">
        <v>163</v>
      </c>
      <c r="D67" s="80">
        <v>344</v>
      </c>
      <c r="E67" s="95"/>
      <c r="F67" s="78">
        <f t="shared" si="3"/>
        <v>295</v>
      </c>
      <c r="G67" s="78">
        <f t="shared" si="4"/>
        <v>27</v>
      </c>
      <c r="H67" s="78">
        <f t="shared" si="5"/>
        <v>213</v>
      </c>
    </row>
    <row r="68" spans="2:16" x14ac:dyDescent="0.3">
      <c r="B68" s="79">
        <v>17</v>
      </c>
      <c r="C68" s="78">
        <v>43</v>
      </c>
      <c r="D68" s="80">
        <v>119</v>
      </c>
      <c r="E68" s="95"/>
      <c r="F68" s="78">
        <f t="shared" si="3"/>
        <v>130</v>
      </c>
      <c r="G68" s="78">
        <f t="shared" si="4"/>
        <v>93</v>
      </c>
      <c r="H68" s="78">
        <f t="shared" si="5"/>
        <v>12</v>
      </c>
      <c r="J68" s="279" t="s">
        <v>249</v>
      </c>
      <c r="K68" s="285" t="s">
        <v>250</v>
      </c>
      <c r="L68" s="285" t="s">
        <v>251</v>
      </c>
      <c r="M68" s="285" t="s">
        <v>252</v>
      </c>
      <c r="N68" s="279" t="str">
        <f>IF(J80="","Results are NOT valid until Q Statistic is entered into B14","Results")</f>
        <v>Results</v>
      </c>
      <c r="O68" s="279"/>
      <c r="P68" s="279"/>
    </row>
    <row r="69" spans="2:16" x14ac:dyDescent="0.3">
      <c r="B69" s="79">
        <v>99</v>
      </c>
      <c r="C69" s="78">
        <v>-49</v>
      </c>
      <c r="D69" s="81"/>
      <c r="E69" s="96"/>
      <c r="F69" s="78">
        <f t="shared" si="3"/>
        <v>48</v>
      </c>
      <c r="G69" s="78">
        <f t="shared" si="4"/>
        <v>185</v>
      </c>
      <c r="H69" s="18"/>
      <c r="J69" s="279"/>
      <c r="K69" s="285"/>
      <c r="L69" s="285"/>
      <c r="M69" s="285"/>
      <c r="N69" s="279"/>
      <c r="O69" s="279"/>
      <c r="P69" s="279"/>
    </row>
    <row r="70" spans="2:16" x14ac:dyDescent="0.3">
      <c r="B70" s="79">
        <v>283</v>
      </c>
      <c r="C70" s="78">
        <v>53</v>
      </c>
      <c r="D70" s="81"/>
      <c r="E70" s="96"/>
      <c r="F70" s="78">
        <f t="shared" si="3"/>
        <v>136</v>
      </c>
      <c r="G70" s="78">
        <f t="shared" si="4"/>
        <v>83</v>
      </c>
      <c r="H70" s="18"/>
      <c r="J70" s="94" t="s">
        <v>253</v>
      </c>
      <c r="K70" s="21">
        <f>ABS(K64-K65)</f>
        <v>24.615677253826419</v>
      </c>
      <c r="L70" s="21">
        <f>SQRT(($M$51/2)*((1/L64)+(1/L65)))</f>
        <v>32.244758792926696</v>
      </c>
      <c r="M70" s="16">
        <f>L70*$K$80</f>
        <v>106.73015160458736</v>
      </c>
      <c r="N70" s="278" t="str">
        <f>IF(K70&gt;M70,"Means are different","Means are not different")</f>
        <v>Means are not different</v>
      </c>
      <c r="O70" s="278"/>
      <c r="P70" s="278"/>
    </row>
    <row r="71" spans="2:16" x14ac:dyDescent="0.3">
      <c r="B71" s="79">
        <v>1340</v>
      </c>
      <c r="C71" s="78">
        <v>307</v>
      </c>
      <c r="D71" s="81"/>
      <c r="E71" s="96"/>
      <c r="F71" s="78">
        <f t="shared" si="3"/>
        <v>1193</v>
      </c>
      <c r="G71" s="78">
        <f t="shared" si="4"/>
        <v>171</v>
      </c>
      <c r="H71" s="18"/>
      <c r="J71" s="94" t="s">
        <v>254</v>
      </c>
      <c r="K71" s="21">
        <f>ABS(K64-K66)</f>
        <v>1.9764229139804854</v>
      </c>
      <c r="L71" s="21">
        <f>SQRT(($M$51/2)*((1/L64)+(1/L66)))</f>
        <v>38.77169873124744</v>
      </c>
      <c r="M71" s="16">
        <f>L71*$K$80</f>
        <v>128.33432280042902</v>
      </c>
      <c r="N71" s="278" t="str">
        <f>IF(K71&gt;M71,"Means are different","Means are not different")</f>
        <v>Means are not different</v>
      </c>
      <c r="O71" s="278"/>
      <c r="P71" s="278"/>
    </row>
    <row r="72" spans="2:16" x14ac:dyDescent="0.3">
      <c r="B72" s="79">
        <v>365</v>
      </c>
      <c r="C72" s="78">
        <v>0</v>
      </c>
      <c r="D72" s="81"/>
      <c r="E72" s="96"/>
      <c r="F72" s="78">
        <f t="shared" si="3"/>
        <v>218</v>
      </c>
      <c r="G72" s="78">
        <f t="shared" si="4"/>
        <v>136</v>
      </c>
      <c r="H72" s="18"/>
      <c r="J72" s="94" t="s">
        <v>255</v>
      </c>
      <c r="K72" s="21">
        <f>ABS(K65-K66)</f>
        <v>26.592100167806905</v>
      </c>
      <c r="L72" s="21">
        <f>SQRT(($M$51/2)*((1/L65)+(1/L66)))</f>
        <v>36.336347263888882</v>
      </c>
      <c r="M72" s="16">
        <f>L72*$K$80</f>
        <v>120.2733094434722</v>
      </c>
      <c r="N72" s="278" t="str">
        <f>IF(K72&gt;M72,"Means are different","Means are not different")</f>
        <v>Means are not different</v>
      </c>
      <c r="O72" s="278"/>
      <c r="P72" s="278"/>
    </row>
    <row r="73" spans="2:16" x14ac:dyDescent="0.3">
      <c r="B73" s="79">
        <v>363</v>
      </c>
      <c r="C73" s="78">
        <v>691</v>
      </c>
      <c r="D73" s="81"/>
      <c r="E73" s="96"/>
      <c r="F73" s="78">
        <f t="shared" ref="F73:F96" si="6">ABS(B73-B$3)</f>
        <v>216</v>
      </c>
      <c r="G73" s="78">
        <f t="shared" ref="G73:G134" si="7">ABS(C73-C$3)</f>
        <v>555</v>
      </c>
      <c r="H73" s="18"/>
    </row>
    <row r="74" spans="2:16" x14ac:dyDescent="0.3">
      <c r="B74" s="79">
        <v>117</v>
      </c>
      <c r="C74" s="78">
        <v>-78</v>
      </c>
      <c r="D74" s="81"/>
      <c r="E74" s="96"/>
      <c r="F74" s="78">
        <f t="shared" si="6"/>
        <v>30</v>
      </c>
      <c r="G74" s="78">
        <f t="shared" si="7"/>
        <v>214</v>
      </c>
      <c r="H74" s="18"/>
    </row>
    <row r="75" spans="2:16" x14ac:dyDescent="0.3">
      <c r="B75" s="79">
        <v>464</v>
      </c>
      <c r="C75" s="78">
        <v>966</v>
      </c>
      <c r="D75" s="81"/>
      <c r="E75" s="96"/>
      <c r="F75" s="78">
        <f t="shared" si="6"/>
        <v>317</v>
      </c>
      <c r="G75" s="78">
        <f t="shared" si="7"/>
        <v>830</v>
      </c>
      <c r="H75" s="18"/>
      <c r="J75" s="284" t="s">
        <v>244</v>
      </c>
      <c r="K75" s="284"/>
    </row>
    <row r="76" spans="2:16" x14ac:dyDescent="0.3">
      <c r="B76" s="79">
        <v>-38</v>
      </c>
      <c r="C76" s="78">
        <v>294</v>
      </c>
      <c r="D76" s="81"/>
      <c r="E76" s="96"/>
      <c r="F76" s="78">
        <f t="shared" si="6"/>
        <v>185</v>
      </c>
      <c r="G76" s="78">
        <f t="shared" si="7"/>
        <v>158</v>
      </c>
      <c r="H76" s="18"/>
      <c r="J76" s="18" t="s">
        <v>98</v>
      </c>
      <c r="K76" s="18">
        <v>0.05</v>
      </c>
    </row>
    <row r="77" spans="2:16" x14ac:dyDescent="0.3">
      <c r="B77" s="79">
        <v>0</v>
      </c>
      <c r="C77" s="78">
        <v>408</v>
      </c>
      <c r="D77" s="81"/>
      <c r="E77" s="96"/>
      <c r="F77" s="78">
        <f t="shared" si="6"/>
        <v>147</v>
      </c>
      <c r="G77" s="78">
        <f t="shared" si="7"/>
        <v>272</v>
      </c>
      <c r="H77" s="18"/>
      <c r="J77" s="18" t="s">
        <v>245</v>
      </c>
      <c r="K77" s="18">
        <v>3</v>
      </c>
    </row>
    <row r="78" spans="2:16" x14ac:dyDescent="0.3">
      <c r="B78" s="79">
        <v>413</v>
      </c>
      <c r="C78" s="78">
        <v>1799</v>
      </c>
      <c r="D78" s="81"/>
      <c r="E78" s="96"/>
      <c r="F78" s="78">
        <f t="shared" si="6"/>
        <v>266</v>
      </c>
      <c r="G78" s="78">
        <f t="shared" si="7"/>
        <v>1663</v>
      </c>
      <c r="H78" s="18"/>
      <c r="J78" s="92" t="s">
        <v>246</v>
      </c>
      <c r="K78" s="92">
        <f>SUM(K43:K45)-COUNT(K43:K45)</f>
        <v>274</v>
      </c>
    </row>
    <row r="79" spans="2:16" x14ac:dyDescent="0.3">
      <c r="B79" s="79">
        <v>198</v>
      </c>
      <c r="C79" s="78">
        <v>-21</v>
      </c>
      <c r="D79" s="81"/>
      <c r="E79" s="96"/>
      <c r="F79" s="78">
        <f t="shared" si="6"/>
        <v>51</v>
      </c>
      <c r="G79" s="78">
        <f t="shared" si="7"/>
        <v>157</v>
      </c>
      <c r="H79" s="18"/>
      <c r="J79" s="92" t="s">
        <v>247</v>
      </c>
      <c r="K79" s="92">
        <f>M51</f>
        <v>108814.86740784545</v>
      </c>
    </row>
    <row r="80" spans="2:16" x14ac:dyDescent="0.3">
      <c r="B80" s="79">
        <v>675</v>
      </c>
      <c r="C80" s="78">
        <v>86</v>
      </c>
      <c r="D80" s="81"/>
      <c r="E80" s="96"/>
      <c r="F80" s="78">
        <f t="shared" si="6"/>
        <v>528</v>
      </c>
      <c r="G80" s="78">
        <f t="shared" si="7"/>
        <v>50</v>
      </c>
      <c r="H80" s="18"/>
      <c r="J80" s="93" t="s">
        <v>248</v>
      </c>
      <c r="K80" s="93">
        <v>3.31</v>
      </c>
    </row>
    <row r="81" spans="2:8" x14ac:dyDescent="0.3">
      <c r="B81" s="79">
        <v>-20</v>
      </c>
      <c r="C81" s="78">
        <v>954</v>
      </c>
      <c r="D81" s="81"/>
      <c r="E81" s="96"/>
      <c r="F81" s="78">
        <f t="shared" si="6"/>
        <v>167</v>
      </c>
      <c r="G81" s="78">
        <f t="shared" si="7"/>
        <v>818</v>
      </c>
      <c r="H81" s="18"/>
    </row>
    <row r="82" spans="2:8" x14ac:dyDescent="0.3">
      <c r="B82" s="79">
        <v>39</v>
      </c>
      <c r="C82" s="78">
        <v>384</v>
      </c>
      <c r="D82" s="81"/>
      <c r="E82" s="96"/>
      <c r="F82" s="78">
        <f t="shared" si="6"/>
        <v>108</v>
      </c>
      <c r="G82" s="78">
        <f t="shared" si="7"/>
        <v>248</v>
      </c>
      <c r="H82" s="18"/>
    </row>
    <row r="83" spans="2:8" x14ac:dyDescent="0.3">
      <c r="B83" s="79">
        <v>-31</v>
      </c>
      <c r="C83" s="78">
        <v>373</v>
      </c>
      <c r="D83" s="81"/>
      <c r="E83" s="96"/>
      <c r="F83" s="78">
        <f t="shared" si="6"/>
        <v>178</v>
      </c>
      <c r="G83" s="78">
        <f t="shared" si="7"/>
        <v>237</v>
      </c>
      <c r="H83" s="18"/>
    </row>
    <row r="84" spans="2:8" x14ac:dyDescent="0.3">
      <c r="B84" s="79">
        <v>-17</v>
      </c>
      <c r="C84" s="78">
        <v>169</v>
      </c>
      <c r="D84" s="81"/>
      <c r="E84" s="96"/>
      <c r="F84" s="78">
        <f t="shared" si="6"/>
        <v>164</v>
      </c>
      <c r="G84" s="78">
        <f t="shared" si="7"/>
        <v>33</v>
      </c>
      <c r="H84" s="18"/>
    </row>
    <row r="85" spans="2:8" x14ac:dyDescent="0.3">
      <c r="B85" s="79">
        <v>-21</v>
      </c>
      <c r="C85" s="78">
        <v>-52</v>
      </c>
      <c r="D85" s="81"/>
      <c r="E85" s="96"/>
      <c r="F85" s="78">
        <f t="shared" si="6"/>
        <v>168</v>
      </c>
      <c r="G85" s="78">
        <f t="shared" si="7"/>
        <v>188</v>
      </c>
      <c r="H85" s="18"/>
    </row>
    <row r="86" spans="2:8" x14ac:dyDescent="0.3">
      <c r="B86" s="79">
        <v>95</v>
      </c>
      <c r="C86" s="78">
        <v>-66</v>
      </c>
      <c r="D86" s="81"/>
      <c r="E86" s="96"/>
      <c r="F86" s="78">
        <f t="shared" si="6"/>
        <v>52</v>
      </c>
      <c r="G86" s="78">
        <f t="shared" si="7"/>
        <v>202</v>
      </c>
      <c r="H86" s="18"/>
    </row>
    <row r="87" spans="2:8" x14ac:dyDescent="0.3">
      <c r="B87" s="79">
        <v>165</v>
      </c>
      <c r="C87" s="78">
        <v>172</v>
      </c>
      <c r="D87" s="81"/>
      <c r="E87" s="96"/>
      <c r="F87" s="78">
        <f t="shared" si="6"/>
        <v>18</v>
      </c>
      <c r="G87" s="78">
        <f t="shared" si="7"/>
        <v>36</v>
      </c>
      <c r="H87" s="18"/>
    </row>
    <row r="88" spans="2:8" x14ac:dyDescent="0.3">
      <c r="B88" s="79">
        <v>354</v>
      </c>
      <c r="C88" s="78">
        <v>372</v>
      </c>
      <c r="D88" s="81"/>
      <c r="E88" s="96"/>
      <c r="F88" s="78">
        <f t="shared" si="6"/>
        <v>207</v>
      </c>
      <c r="G88" s="78">
        <f t="shared" si="7"/>
        <v>236</v>
      </c>
      <c r="H88" s="18"/>
    </row>
    <row r="89" spans="2:8" x14ac:dyDescent="0.3">
      <c r="B89" s="79">
        <v>704</v>
      </c>
      <c r="C89" s="78">
        <v>765</v>
      </c>
      <c r="D89" s="81"/>
      <c r="E89" s="96"/>
      <c r="F89" s="78">
        <f t="shared" si="6"/>
        <v>557</v>
      </c>
      <c r="G89" s="78">
        <f t="shared" si="7"/>
        <v>629</v>
      </c>
      <c r="H89" s="18"/>
    </row>
    <row r="90" spans="2:8" x14ac:dyDescent="0.3">
      <c r="B90" s="79">
        <v>39</v>
      </c>
      <c r="C90" s="78">
        <v>55</v>
      </c>
      <c r="D90" s="81"/>
      <c r="E90" s="96"/>
      <c r="F90" s="78">
        <f t="shared" si="6"/>
        <v>108</v>
      </c>
      <c r="G90" s="78">
        <f t="shared" si="7"/>
        <v>81</v>
      </c>
      <c r="H90" s="18"/>
    </row>
    <row r="91" spans="2:8" x14ac:dyDescent="0.3">
      <c r="B91" s="79">
        <v>147</v>
      </c>
      <c r="C91" s="78">
        <v>355</v>
      </c>
      <c r="D91" s="81"/>
      <c r="E91" s="96"/>
      <c r="F91" s="78">
        <f t="shared" si="6"/>
        <v>0</v>
      </c>
      <c r="G91" s="78">
        <f t="shared" si="7"/>
        <v>219</v>
      </c>
      <c r="H91" s="18"/>
    </row>
    <row r="92" spans="2:8" x14ac:dyDescent="0.3">
      <c r="B92" s="79">
        <v>383</v>
      </c>
      <c r="C92" s="78">
        <v>1208</v>
      </c>
      <c r="D92" s="81"/>
      <c r="E92" s="96"/>
      <c r="F92" s="78">
        <f t="shared" si="6"/>
        <v>236</v>
      </c>
      <c r="G92" s="78">
        <f t="shared" si="7"/>
        <v>1072</v>
      </c>
      <c r="H92" s="18"/>
    </row>
    <row r="93" spans="2:8" x14ac:dyDescent="0.3">
      <c r="B93" s="79">
        <v>493</v>
      </c>
      <c r="C93" s="78">
        <v>401</v>
      </c>
      <c r="D93" s="81"/>
      <c r="E93" s="96"/>
      <c r="F93" s="78">
        <f t="shared" si="6"/>
        <v>346</v>
      </c>
      <c r="G93" s="78">
        <f t="shared" si="7"/>
        <v>265</v>
      </c>
      <c r="H93" s="18"/>
    </row>
    <row r="94" spans="2:8" x14ac:dyDescent="0.3">
      <c r="B94" s="79">
        <v>851</v>
      </c>
      <c r="C94" s="78">
        <v>392</v>
      </c>
      <c r="D94" s="81"/>
      <c r="E94" s="96"/>
      <c r="F94" s="78">
        <f t="shared" si="6"/>
        <v>704</v>
      </c>
      <c r="G94" s="78">
        <f t="shared" si="7"/>
        <v>256</v>
      </c>
      <c r="H94" s="18"/>
    </row>
    <row r="95" spans="2:8" x14ac:dyDescent="0.3">
      <c r="B95" s="79">
        <v>-48</v>
      </c>
      <c r="C95" s="78">
        <v>36</v>
      </c>
      <c r="D95" s="81"/>
      <c r="E95" s="96"/>
      <c r="F95" s="78">
        <f t="shared" si="6"/>
        <v>195</v>
      </c>
      <c r="G95" s="78">
        <f t="shared" si="7"/>
        <v>100</v>
      </c>
      <c r="H95" s="18"/>
    </row>
    <row r="96" spans="2:8" x14ac:dyDescent="0.3">
      <c r="B96" s="78">
        <v>-87</v>
      </c>
      <c r="C96" s="78">
        <v>440</v>
      </c>
      <c r="D96" s="18"/>
      <c r="E96" s="96"/>
      <c r="F96" s="78">
        <f t="shared" si="6"/>
        <v>234</v>
      </c>
      <c r="G96" s="78">
        <f t="shared" si="7"/>
        <v>304</v>
      </c>
      <c r="H96" s="18"/>
    </row>
    <row r="97" spans="2:8" x14ac:dyDescent="0.3">
      <c r="B97" s="18"/>
      <c r="C97" s="78">
        <v>122</v>
      </c>
      <c r="D97" s="18"/>
      <c r="E97" s="96"/>
      <c r="F97" s="18"/>
      <c r="G97" s="78">
        <f t="shared" si="7"/>
        <v>14</v>
      </c>
      <c r="H97" s="18"/>
    </row>
    <row r="98" spans="2:8" x14ac:dyDescent="0.3">
      <c r="B98" s="18"/>
      <c r="C98" s="78">
        <v>100</v>
      </c>
      <c r="D98" s="18"/>
      <c r="E98" s="96"/>
      <c r="F98" s="18"/>
      <c r="G98" s="78">
        <f t="shared" si="7"/>
        <v>36</v>
      </c>
      <c r="H98" s="18"/>
    </row>
    <row r="99" spans="2:8" x14ac:dyDescent="0.3">
      <c r="B99" s="18"/>
      <c r="C99" s="78">
        <v>26</v>
      </c>
      <c r="D99" s="18"/>
      <c r="E99" s="96"/>
      <c r="F99" s="18"/>
      <c r="G99" s="78">
        <f t="shared" si="7"/>
        <v>110</v>
      </c>
      <c r="H99" s="18"/>
    </row>
    <row r="100" spans="2:8" x14ac:dyDescent="0.3">
      <c r="B100" s="18"/>
      <c r="C100" s="78">
        <v>-47</v>
      </c>
      <c r="D100" s="18"/>
      <c r="E100" s="96"/>
      <c r="F100" s="18"/>
      <c r="G100" s="78">
        <f t="shared" si="7"/>
        <v>183</v>
      </c>
      <c r="H100" s="18"/>
    </row>
    <row r="101" spans="2:8" x14ac:dyDescent="0.3">
      <c r="B101" s="18"/>
      <c r="C101" s="78">
        <v>10</v>
      </c>
      <c r="D101" s="18"/>
      <c r="E101" s="96"/>
      <c r="F101" s="18"/>
      <c r="G101" s="78">
        <f t="shared" si="7"/>
        <v>126</v>
      </c>
      <c r="H101" s="18"/>
    </row>
    <row r="102" spans="2:8" x14ac:dyDescent="0.3">
      <c r="B102" s="18"/>
      <c r="C102" s="78">
        <v>-38</v>
      </c>
      <c r="D102" s="18"/>
      <c r="E102" s="96"/>
      <c r="F102" s="18"/>
      <c r="G102" s="78">
        <f t="shared" si="7"/>
        <v>174</v>
      </c>
      <c r="H102" s="18"/>
    </row>
    <row r="103" spans="2:8" x14ac:dyDescent="0.3">
      <c r="B103" s="18"/>
      <c r="C103" s="78">
        <v>165</v>
      </c>
      <c r="D103" s="18"/>
      <c r="E103" s="96"/>
      <c r="F103" s="18"/>
      <c r="G103" s="78">
        <f t="shared" si="7"/>
        <v>29</v>
      </c>
      <c r="H103" s="18"/>
    </row>
    <row r="104" spans="2:8" x14ac:dyDescent="0.3">
      <c r="B104" s="18"/>
      <c r="C104" s="78">
        <v>159</v>
      </c>
      <c r="D104" s="18"/>
      <c r="E104" s="96"/>
      <c r="F104" s="18"/>
      <c r="G104" s="78">
        <f t="shared" si="7"/>
        <v>23</v>
      </c>
      <c r="H104" s="18"/>
    </row>
    <row r="105" spans="2:8" x14ac:dyDescent="0.3">
      <c r="B105" s="18"/>
      <c r="C105" s="78">
        <v>1022</v>
      </c>
      <c r="D105" s="18"/>
      <c r="E105" s="96"/>
      <c r="F105" s="18"/>
      <c r="G105" s="78">
        <f t="shared" si="7"/>
        <v>886</v>
      </c>
      <c r="H105" s="18"/>
    </row>
    <row r="106" spans="2:8" x14ac:dyDescent="0.3">
      <c r="B106" s="18"/>
      <c r="C106" s="78">
        <v>0</v>
      </c>
      <c r="D106" s="18"/>
      <c r="E106" s="96"/>
      <c r="F106" s="18"/>
      <c r="G106" s="78">
        <f t="shared" si="7"/>
        <v>136</v>
      </c>
      <c r="H106" s="18"/>
    </row>
    <row r="107" spans="2:8" x14ac:dyDescent="0.3">
      <c r="B107" s="18"/>
      <c r="C107" s="78">
        <v>161</v>
      </c>
      <c r="D107" s="18"/>
      <c r="E107" s="96"/>
      <c r="F107" s="18"/>
      <c r="G107" s="78">
        <f t="shared" si="7"/>
        <v>25</v>
      </c>
      <c r="H107" s="18"/>
    </row>
    <row r="108" spans="2:8" x14ac:dyDescent="0.3">
      <c r="B108" s="18"/>
      <c r="C108" s="78">
        <v>590</v>
      </c>
      <c r="D108" s="18"/>
      <c r="E108" s="96"/>
      <c r="F108" s="18"/>
      <c r="G108" s="78">
        <f t="shared" si="7"/>
        <v>454</v>
      </c>
      <c r="H108" s="18"/>
    </row>
    <row r="109" spans="2:8" x14ac:dyDescent="0.3">
      <c r="B109" s="18"/>
      <c r="C109" s="78">
        <v>-50</v>
      </c>
      <c r="D109" s="18"/>
      <c r="E109" s="96"/>
      <c r="F109" s="18"/>
      <c r="G109" s="78">
        <f t="shared" si="7"/>
        <v>186</v>
      </c>
      <c r="H109" s="18"/>
    </row>
    <row r="110" spans="2:8" x14ac:dyDescent="0.3">
      <c r="B110" s="18"/>
      <c r="C110" s="78">
        <v>34</v>
      </c>
      <c r="D110" s="18"/>
      <c r="E110" s="96"/>
      <c r="F110" s="18"/>
      <c r="G110" s="78">
        <f t="shared" si="7"/>
        <v>102</v>
      </c>
      <c r="H110" s="18"/>
    </row>
    <row r="111" spans="2:8" x14ac:dyDescent="0.3">
      <c r="B111" s="18"/>
      <c r="C111" s="78">
        <v>496</v>
      </c>
      <c r="D111" s="18"/>
      <c r="E111" s="96"/>
      <c r="F111" s="18"/>
      <c r="G111" s="78">
        <f t="shared" si="7"/>
        <v>360</v>
      </c>
      <c r="H111" s="18"/>
    </row>
    <row r="112" spans="2:8" x14ac:dyDescent="0.3">
      <c r="B112" s="18"/>
      <c r="C112" s="78">
        <v>-33</v>
      </c>
      <c r="D112" s="18"/>
      <c r="E112" s="96"/>
      <c r="F112" s="18"/>
      <c r="G112" s="78">
        <f t="shared" si="7"/>
        <v>169</v>
      </c>
      <c r="H112" s="18"/>
    </row>
    <row r="113" spans="2:8" x14ac:dyDescent="0.3">
      <c r="B113" s="18"/>
      <c r="C113" s="78">
        <v>601</v>
      </c>
      <c r="D113" s="18"/>
      <c r="E113" s="96"/>
      <c r="F113" s="18"/>
      <c r="G113" s="78">
        <f t="shared" si="7"/>
        <v>465</v>
      </c>
      <c r="H113" s="18"/>
    </row>
    <row r="114" spans="2:8" x14ac:dyDescent="0.3">
      <c r="B114" s="18"/>
      <c r="C114" s="78">
        <v>479</v>
      </c>
      <c r="D114" s="18"/>
      <c r="E114" s="96"/>
      <c r="F114" s="18"/>
      <c r="G114" s="78">
        <f t="shared" si="7"/>
        <v>343</v>
      </c>
      <c r="H114" s="18"/>
    </row>
    <row r="115" spans="2:8" x14ac:dyDescent="0.3">
      <c r="B115" s="18"/>
      <c r="C115" s="78">
        <v>69</v>
      </c>
      <c r="D115" s="18"/>
      <c r="E115" s="96"/>
      <c r="F115" s="18"/>
      <c r="G115" s="78">
        <f t="shared" si="7"/>
        <v>67</v>
      </c>
      <c r="H115" s="18"/>
    </row>
    <row r="116" spans="2:8" x14ac:dyDescent="0.3">
      <c r="B116" s="18"/>
      <c r="C116" s="78">
        <v>-74</v>
      </c>
      <c r="D116" s="18"/>
      <c r="E116" s="96"/>
      <c r="F116" s="18"/>
      <c r="G116" s="78">
        <f t="shared" si="7"/>
        <v>210</v>
      </c>
      <c r="H116" s="18"/>
    </row>
    <row r="117" spans="2:8" x14ac:dyDescent="0.3">
      <c r="B117" s="18"/>
      <c r="C117" s="78">
        <v>116</v>
      </c>
      <c r="D117" s="18"/>
      <c r="E117" s="96"/>
      <c r="F117" s="18"/>
      <c r="G117" s="78">
        <f t="shared" si="7"/>
        <v>20</v>
      </c>
      <c r="H117" s="18"/>
    </row>
    <row r="118" spans="2:8" x14ac:dyDescent="0.3">
      <c r="B118" s="18"/>
      <c r="C118" s="78">
        <v>468</v>
      </c>
      <c r="D118" s="18"/>
      <c r="E118" s="96"/>
      <c r="F118" s="18"/>
      <c r="G118" s="78">
        <f t="shared" si="7"/>
        <v>332</v>
      </c>
      <c r="H118" s="18"/>
    </row>
    <row r="119" spans="2:8" x14ac:dyDescent="0.3">
      <c r="B119" s="18"/>
      <c r="C119" s="78">
        <v>288</v>
      </c>
      <c r="D119" s="18"/>
      <c r="E119" s="96"/>
      <c r="F119" s="18"/>
      <c r="G119" s="78">
        <f t="shared" si="7"/>
        <v>152</v>
      </c>
      <c r="H119" s="18"/>
    </row>
    <row r="120" spans="2:8" x14ac:dyDescent="0.3">
      <c r="B120" s="18"/>
      <c r="C120" s="78">
        <v>690</v>
      </c>
      <c r="D120" s="18"/>
      <c r="E120" s="96"/>
      <c r="F120" s="18"/>
      <c r="G120" s="78">
        <f t="shared" si="7"/>
        <v>554</v>
      </c>
      <c r="H120" s="18"/>
    </row>
    <row r="121" spans="2:8" x14ac:dyDescent="0.3">
      <c r="B121" s="18"/>
      <c r="C121" s="78">
        <v>141</v>
      </c>
      <c r="D121" s="18"/>
      <c r="E121" s="96"/>
      <c r="F121" s="18"/>
      <c r="G121" s="78">
        <f t="shared" si="7"/>
        <v>5</v>
      </c>
      <c r="H121" s="18"/>
    </row>
    <row r="122" spans="2:8" x14ac:dyDescent="0.3">
      <c r="B122" s="18"/>
      <c r="C122" s="78">
        <v>-65</v>
      </c>
      <c r="D122" s="18"/>
      <c r="E122" s="96"/>
      <c r="F122" s="18"/>
      <c r="G122" s="78">
        <f t="shared" si="7"/>
        <v>201</v>
      </c>
      <c r="H122" s="18"/>
    </row>
    <row r="123" spans="2:8" x14ac:dyDescent="0.3">
      <c r="B123" s="18"/>
      <c r="C123" s="78">
        <v>343</v>
      </c>
      <c r="D123" s="18"/>
      <c r="E123" s="96"/>
      <c r="F123" s="18"/>
      <c r="G123" s="78">
        <f t="shared" si="7"/>
        <v>207</v>
      </c>
      <c r="H123" s="18"/>
    </row>
    <row r="124" spans="2:8" x14ac:dyDescent="0.3">
      <c r="B124" s="18"/>
      <c r="C124" s="78">
        <v>320</v>
      </c>
      <c r="D124" s="18"/>
      <c r="E124" s="96"/>
      <c r="F124" s="18"/>
      <c r="G124" s="78">
        <f t="shared" si="7"/>
        <v>184</v>
      </c>
      <c r="H124" s="18"/>
    </row>
    <row r="125" spans="2:8" x14ac:dyDescent="0.3">
      <c r="B125" s="18"/>
      <c r="C125" s="78">
        <v>729</v>
      </c>
      <c r="D125" s="18"/>
      <c r="E125" s="96"/>
      <c r="F125" s="18"/>
      <c r="G125" s="78">
        <f t="shared" si="7"/>
        <v>593</v>
      </c>
      <c r="H125" s="18"/>
    </row>
    <row r="126" spans="2:8" x14ac:dyDescent="0.3">
      <c r="B126" s="18"/>
      <c r="C126" s="78">
        <v>29</v>
      </c>
      <c r="D126" s="18"/>
      <c r="E126" s="96"/>
      <c r="F126" s="18"/>
      <c r="G126" s="78">
        <f t="shared" si="7"/>
        <v>107</v>
      </c>
      <c r="H126" s="18"/>
    </row>
    <row r="127" spans="2:8" x14ac:dyDescent="0.3">
      <c r="B127" s="18"/>
      <c r="C127" s="78">
        <v>692</v>
      </c>
      <c r="D127" s="18"/>
      <c r="E127" s="96"/>
      <c r="F127" s="18"/>
      <c r="G127" s="78">
        <f t="shared" si="7"/>
        <v>556</v>
      </c>
      <c r="H127" s="18"/>
    </row>
    <row r="128" spans="2:8" x14ac:dyDescent="0.3">
      <c r="B128" s="18"/>
      <c r="C128" s="78">
        <v>67</v>
      </c>
      <c r="D128" s="18"/>
      <c r="E128" s="96"/>
      <c r="F128" s="18"/>
      <c r="G128" s="78">
        <f t="shared" si="7"/>
        <v>69</v>
      </c>
      <c r="H128" s="18"/>
    </row>
    <row r="129" spans="2:8" x14ac:dyDescent="0.3">
      <c r="B129" s="18"/>
      <c r="C129" s="78">
        <v>303</v>
      </c>
      <c r="D129" s="18"/>
      <c r="E129" s="96"/>
      <c r="F129" s="18"/>
      <c r="G129" s="78">
        <f t="shared" si="7"/>
        <v>167</v>
      </c>
      <c r="H129" s="18"/>
    </row>
    <row r="130" spans="2:8" x14ac:dyDescent="0.3">
      <c r="B130" s="18"/>
      <c r="C130" s="78">
        <v>99</v>
      </c>
      <c r="D130" s="18"/>
      <c r="E130" s="96"/>
      <c r="F130" s="18"/>
      <c r="G130" s="78">
        <f t="shared" si="7"/>
        <v>37</v>
      </c>
      <c r="H130" s="18"/>
    </row>
    <row r="131" spans="2:8" x14ac:dyDescent="0.3">
      <c r="B131" s="18"/>
      <c r="C131" s="78">
        <v>837</v>
      </c>
      <c r="D131" s="18"/>
      <c r="E131" s="96"/>
      <c r="F131" s="18"/>
      <c r="G131" s="78">
        <f t="shared" si="7"/>
        <v>701</v>
      </c>
      <c r="H131" s="18"/>
    </row>
    <row r="132" spans="2:8" x14ac:dyDescent="0.3">
      <c r="B132" s="18"/>
      <c r="C132" s="78">
        <v>278</v>
      </c>
      <c r="D132" s="18"/>
      <c r="E132" s="96"/>
      <c r="F132" s="18"/>
      <c r="G132" s="78">
        <f t="shared" si="7"/>
        <v>142</v>
      </c>
      <c r="H132" s="18"/>
    </row>
    <row r="133" spans="2:8" x14ac:dyDescent="0.3">
      <c r="B133" s="18"/>
      <c r="C133" s="78">
        <v>29</v>
      </c>
      <c r="D133" s="18"/>
      <c r="E133" s="96"/>
      <c r="F133" s="18"/>
      <c r="G133" s="78">
        <f t="shared" si="7"/>
        <v>107</v>
      </c>
      <c r="H133" s="18"/>
    </row>
    <row r="134" spans="2:8" x14ac:dyDescent="0.3">
      <c r="B134" s="18"/>
      <c r="C134" s="78">
        <v>154</v>
      </c>
      <c r="D134" s="18"/>
      <c r="E134" s="96"/>
      <c r="F134" s="18"/>
      <c r="G134" s="78">
        <f t="shared" si="7"/>
        <v>18</v>
      </c>
      <c r="H134" s="18"/>
    </row>
  </sheetData>
  <mergeCells count="16">
    <mergeCell ref="J75:K75"/>
    <mergeCell ref="J68:J69"/>
    <mergeCell ref="K68:K69"/>
    <mergeCell ref="L68:L69"/>
    <mergeCell ref="M68:M69"/>
    <mergeCell ref="N70:P70"/>
    <mergeCell ref="N68:P69"/>
    <mergeCell ref="N71:P71"/>
    <mergeCell ref="N72:P72"/>
    <mergeCell ref="B6:D6"/>
    <mergeCell ref="J62:J63"/>
    <mergeCell ref="F6:H6"/>
    <mergeCell ref="J37:S38"/>
    <mergeCell ref="J55:S57"/>
    <mergeCell ref="J5:S6"/>
    <mergeCell ref="J31:S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4EF6-BFA9-4B49-9F5F-E7EAD1E98A7F}">
  <dimension ref="A1:W82"/>
  <sheetViews>
    <sheetView showGridLines="0" workbookViewId="0">
      <selection activeCell="J17" sqref="J17"/>
    </sheetView>
  </sheetViews>
  <sheetFormatPr defaultRowHeight="14.4" x14ac:dyDescent="0.3"/>
  <cols>
    <col min="1" max="1" width="17.21875" bestFit="1" customWidth="1"/>
    <col min="4" max="4" width="11" bestFit="1" customWidth="1"/>
    <col min="5" max="5" width="2.33203125" customWidth="1"/>
    <col min="6" max="8" width="11" customWidth="1"/>
    <col min="10" max="10" width="22.109375" customWidth="1"/>
    <col min="11" max="11" width="12" customWidth="1"/>
    <col min="12" max="12" width="11.88671875" bestFit="1" customWidth="1"/>
    <col min="13" max="13" width="10.109375" customWidth="1"/>
    <col min="22" max="22" width="17.6640625" bestFit="1" customWidth="1"/>
  </cols>
  <sheetData>
    <row r="1" spans="1:19" x14ac:dyDescent="0.3">
      <c r="A1" s="12" t="s">
        <v>266</v>
      </c>
      <c r="B1" t="s">
        <v>267</v>
      </c>
    </row>
    <row r="2" spans="1:19" x14ac:dyDescent="0.3">
      <c r="A2" s="12"/>
    </row>
    <row r="3" spans="1:19" x14ac:dyDescent="0.3">
      <c r="A3" s="12" t="s">
        <v>72</v>
      </c>
      <c r="B3" s="76">
        <f>MEDIAN(B8:B199)</f>
        <v>275</v>
      </c>
      <c r="C3" s="76">
        <f t="shared" ref="C3:D3" si="0">MEDIAN(C8:C199)</f>
        <v>417.5</v>
      </c>
      <c r="D3" s="76">
        <f t="shared" si="0"/>
        <v>590</v>
      </c>
      <c r="E3" s="76"/>
      <c r="F3" s="76"/>
      <c r="G3" s="76"/>
      <c r="H3" s="76"/>
    </row>
    <row r="4" spans="1:19" x14ac:dyDescent="0.3">
      <c r="A4" s="12" t="s">
        <v>71</v>
      </c>
      <c r="B4" s="76">
        <f>AVERAGE(B7:B200)</f>
        <v>285.64516129032256</v>
      </c>
      <c r="C4" s="76">
        <f t="shared" ref="C4:D4" si="1">AVERAGE(C7:C200)</f>
        <v>507.91935483870969</v>
      </c>
      <c r="D4" s="76">
        <f t="shared" si="1"/>
        <v>692.75510204081638</v>
      </c>
      <c r="E4" s="76"/>
      <c r="F4" s="76"/>
      <c r="G4" s="76"/>
      <c r="H4" s="76"/>
    </row>
    <row r="5" spans="1:19" x14ac:dyDescent="0.3">
      <c r="A5" s="12" t="s">
        <v>75</v>
      </c>
      <c r="B5" s="61">
        <f>_xlfn.STDEV.S(B7:B200)</f>
        <v>211.68714130970542</v>
      </c>
      <c r="C5" s="61">
        <f t="shared" ref="C5:D5" si="2">_xlfn.STDEV.S(C7:C200)</f>
        <v>274.29111604381313</v>
      </c>
      <c r="D5" s="61">
        <f t="shared" si="2"/>
        <v>425.32588146288123</v>
      </c>
      <c r="E5" s="61"/>
      <c r="F5" s="61"/>
      <c r="G5" s="61"/>
      <c r="H5" s="61"/>
      <c r="J5" s="283" t="s">
        <v>271</v>
      </c>
      <c r="K5" s="283"/>
      <c r="L5" s="283"/>
      <c r="M5" s="283"/>
      <c r="N5" s="283"/>
      <c r="O5" s="283"/>
      <c r="P5" s="283"/>
      <c r="Q5" s="283"/>
      <c r="R5" s="283"/>
      <c r="S5" s="283"/>
    </row>
    <row r="6" spans="1:19" ht="30" customHeight="1" x14ac:dyDescent="0.3">
      <c r="B6" s="245" t="s">
        <v>269</v>
      </c>
      <c r="C6" s="245"/>
      <c r="D6" s="245"/>
      <c r="E6" s="61"/>
      <c r="F6" s="286" t="s">
        <v>270</v>
      </c>
      <c r="G6" s="286"/>
      <c r="H6" s="286"/>
      <c r="J6" s="283"/>
      <c r="K6" s="283"/>
      <c r="L6" s="283"/>
      <c r="M6" s="283"/>
      <c r="N6" s="283"/>
      <c r="O6" s="283"/>
      <c r="P6" s="283"/>
      <c r="Q6" s="283"/>
      <c r="R6" s="283"/>
      <c r="S6" s="283"/>
    </row>
    <row r="7" spans="1:19" x14ac:dyDescent="0.3">
      <c r="B7" s="49" t="s">
        <v>17</v>
      </c>
      <c r="C7" s="17" t="s">
        <v>45</v>
      </c>
      <c r="D7" s="50" t="s">
        <v>268</v>
      </c>
      <c r="E7" s="61"/>
      <c r="F7" s="49" t="s">
        <v>17</v>
      </c>
      <c r="G7" s="17" t="s">
        <v>45</v>
      </c>
      <c r="H7" s="50" t="s">
        <v>268</v>
      </c>
      <c r="J7" s="12" t="s">
        <v>256</v>
      </c>
    </row>
    <row r="8" spans="1:19" x14ac:dyDescent="0.3">
      <c r="B8" s="79">
        <v>1068</v>
      </c>
      <c r="C8" s="78">
        <v>292</v>
      </c>
      <c r="D8" s="80">
        <v>327</v>
      </c>
      <c r="E8" s="95"/>
      <c r="F8" s="78">
        <f>ABS(B8-B$3)</f>
        <v>793</v>
      </c>
      <c r="G8" s="78">
        <f>ABS(C8-C$3)</f>
        <v>125.5</v>
      </c>
      <c r="H8" s="78">
        <f>ABS(D8-D$3)</f>
        <v>263</v>
      </c>
      <c r="J8" t="s">
        <v>257</v>
      </c>
    </row>
    <row r="9" spans="1:19" x14ac:dyDescent="0.3">
      <c r="B9" s="79">
        <v>128</v>
      </c>
      <c r="C9" s="78">
        <v>893</v>
      </c>
      <c r="D9" s="80">
        <v>156</v>
      </c>
      <c r="E9" s="95"/>
      <c r="F9" s="78">
        <f t="shared" ref="F9:H69" si="3">ABS(B9-B$3)</f>
        <v>147</v>
      </c>
      <c r="G9" s="78">
        <f t="shared" si="3"/>
        <v>475.5</v>
      </c>
      <c r="H9" s="78">
        <f t="shared" si="3"/>
        <v>434</v>
      </c>
      <c r="J9" t="s">
        <v>258</v>
      </c>
    </row>
    <row r="10" spans="1:19" x14ac:dyDescent="0.3">
      <c r="B10" s="79">
        <v>560</v>
      </c>
      <c r="C10" s="78">
        <v>383</v>
      </c>
      <c r="D10" s="80">
        <v>1084</v>
      </c>
      <c r="E10" s="95"/>
      <c r="F10" s="78">
        <f t="shared" si="3"/>
        <v>285</v>
      </c>
      <c r="G10" s="78">
        <f t="shared" si="3"/>
        <v>34.5</v>
      </c>
      <c r="H10" s="78">
        <f t="shared" si="3"/>
        <v>494</v>
      </c>
      <c r="J10" t="s">
        <v>259</v>
      </c>
    </row>
    <row r="11" spans="1:19" x14ac:dyDescent="0.3">
      <c r="B11" s="79">
        <v>429</v>
      </c>
      <c r="C11" s="78">
        <v>292</v>
      </c>
      <c r="D11" s="80">
        <v>357</v>
      </c>
      <c r="E11" s="95"/>
      <c r="F11" s="78">
        <f t="shared" si="3"/>
        <v>154</v>
      </c>
      <c r="G11" s="78">
        <f t="shared" si="3"/>
        <v>125.5</v>
      </c>
      <c r="H11" s="78">
        <f t="shared" si="3"/>
        <v>233</v>
      </c>
    </row>
    <row r="12" spans="1:19" x14ac:dyDescent="0.3">
      <c r="B12" s="79">
        <v>168</v>
      </c>
      <c r="C12" s="78">
        <v>148</v>
      </c>
      <c r="D12" s="80">
        <v>1179</v>
      </c>
      <c r="E12" s="95"/>
      <c r="F12" s="78">
        <f t="shared" si="3"/>
        <v>107</v>
      </c>
      <c r="G12" s="78">
        <f t="shared" si="3"/>
        <v>269.5</v>
      </c>
      <c r="H12" s="78">
        <f t="shared" si="3"/>
        <v>589</v>
      </c>
      <c r="J12" s="12" t="s">
        <v>260</v>
      </c>
    </row>
    <row r="13" spans="1:19" ht="16.8" x14ac:dyDescent="0.35">
      <c r="B13" s="79">
        <v>203</v>
      </c>
      <c r="C13" s="78">
        <v>505</v>
      </c>
      <c r="D13" s="80">
        <v>575</v>
      </c>
      <c r="E13" s="95"/>
      <c r="F13" s="78">
        <f t="shared" si="3"/>
        <v>72</v>
      </c>
      <c r="G13" s="78">
        <f t="shared" si="3"/>
        <v>87.5</v>
      </c>
      <c r="H13" s="78">
        <f t="shared" si="3"/>
        <v>15</v>
      </c>
      <c r="K13" s="65" t="s">
        <v>219</v>
      </c>
      <c r="L13" s="12" t="s">
        <v>262</v>
      </c>
      <c r="N13" t="s">
        <v>273</v>
      </c>
    </row>
    <row r="14" spans="1:19" ht="15.6" x14ac:dyDescent="0.35">
      <c r="B14" s="79">
        <v>925</v>
      </c>
      <c r="C14" s="78">
        <v>453</v>
      </c>
      <c r="D14" s="80">
        <v>425</v>
      </c>
      <c r="E14" s="95"/>
      <c r="F14" s="78">
        <f t="shared" si="3"/>
        <v>650</v>
      </c>
      <c r="G14" s="78">
        <f t="shared" si="3"/>
        <v>35.5</v>
      </c>
      <c r="H14" s="78">
        <f t="shared" si="3"/>
        <v>165</v>
      </c>
      <c r="K14" s="65" t="s">
        <v>220</v>
      </c>
      <c r="L14" s="12" t="s">
        <v>261</v>
      </c>
      <c r="N14" t="s">
        <v>223</v>
      </c>
    </row>
    <row r="15" spans="1:19" x14ac:dyDescent="0.3">
      <c r="B15" s="79">
        <v>241</v>
      </c>
      <c r="C15" s="78">
        <v>640</v>
      </c>
      <c r="D15" s="80">
        <v>214</v>
      </c>
      <c r="E15" s="95"/>
      <c r="F15" s="78">
        <f t="shared" si="3"/>
        <v>34</v>
      </c>
      <c r="G15" s="78">
        <f t="shared" si="3"/>
        <v>222.5</v>
      </c>
      <c r="H15" s="78">
        <f t="shared" si="3"/>
        <v>376</v>
      </c>
      <c r="J15" t="s">
        <v>225</v>
      </c>
    </row>
    <row r="16" spans="1:19" x14ac:dyDescent="0.3">
      <c r="B16" s="79">
        <v>60</v>
      </c>
      <c r="C16" s="78">
        <v>233</v>
      </c>
      <c r="D16" s="80">
        <v>272</v>
      </c>
      <c r="E16" s="95"/>
      <c r="F16" s="78">
        <f t="shared" si="3"/>
        <v>215</v>
      </c>
      <c r="G16" s="78">
        <f t="shared" si="3"/>
        <v>184.5</v>
      </c>
      <c r="H16" s="78">
        <f t="shared" si="3"/>
        <v>318</v>
      </c>
    </row>
    <row r="17" spans="2:19" ht="15" thickBot="1" x14ac:dyDescent="0.35">
      <c r="B17" s="79">
        <v>407</v>
      </c>
      <c r="C17" s="78">
        <v>434</v>
      </c>
      <c r="D17" s="80">
        <v>416</v>
      </c>
      <c r="E17" s="95"/>
      <c r="F17" s="78">
        <f t="shared" si="3"/>
        <v>132</v>
      </c>
      <c r="G17" s="78">
        <f t="shared" si="3"/>
        <v>16.5</v>
      </c>
      <c r="H17" s="78">
        <f t="shared" si="3"/>
        <v>174</v>
      </c>
      <c r="J17" t="s">
        <v>226</v>
      </c>
    </row>
    <row r="18" spans="2:19" x14ac:dyDescent="0.3">
      <c r="B18" s="79">
        <v>424</v>
      </c>
      <c r="C18" s="78">
        <v>1273</v>
      </c>
      <c r="D18" s="80">
        <v>850</v>
      </c>
      <c r="E18" s="95"/>
      <c r="F18" s="78">
        <f t="shared" si="3"/>
        <v>149</v>
      </c>
      <c r="G18" s="78">
        <f t="shared" si="3"/>
        <v>855.5</v>
      </c>
      <c r="H18" s="78">
        <f t="shared" si="3"/>
        <v>260</v>
      </c>
      <c r="J18" s="85" t="s">
        <v>227</v>
      </c>
      <c r="K18" s="85" t="s">
        <v>79</v>
      </c>
      <c r="L18" s="85" t="s">
        <v>78</v>
      </c>
      <c r="M18" s="85" t="s">
        <v>228</v>
      </c>
      <c r="N18" s="85" t="s">
        <v>74</v>
      </c>
    </row>
    <row r="19" spans="2:19" x14ac:dyDescent="0.3">
      <c r="B19" s="79">
        <v>205</v>
      </c>
      <c r="C19" s="78">
        <v>357</v>
      </c>
      <c r="D19" s="80">
        <v>1956</v>
      </c>
      <c r="E19" s="95"/>
      <c r="F19" s="78">
        <f t="shared" si="3"/>
        <v>70</v>
      </c>
      <c r="G19" s="78">
        <f t="shared" si="3"/>
        <v>60.5</v>
      </c>
      <c r="H19" s="78">
        <f t="shared" si="3"/>
        <v>1366</v>
      </c>
      <c r="J19" s="83" t="s">
        <v>17</v>
      </c>
      <c r="K19" s="83">
        <v>62</v>
      </c>
      <c r="L19" s="83">
        <v>9860</v>
      </c>
      <c r="M19" s="83">
        <v>159.03225806451613</v>
      </c>
      <c r="N19" s="83">
        <v>19220.753040719199</v>
      </c>
    </row>
    <row r="20" spans="2:19" x14ac:dyDescent="0.3">
      <c r="B20" s="79">
        <v>126</v>
      </c>
      <c r="C20" s="78">
        <v>676</v>
      </c>
      <c r="D20" s="80">
        <v>562</v>
      </c>
      <c r="E20" s="95"/>
      <c r="F20" s="78">
        <f t="shared" si="3"/>
        <v>149</v>
      </c>
      <c r="G20" s="78">
        <f t="shared" si="3"/>
        <v>258.5</v>
      </c>
      <c r="H20" s="78">
        <f t="shared" si="3"/>
        <v>28</v>
      </c>
      <c r="J20" s="83" t="s">
        <v>45</v>
      </c>
      <c r="K20" s="83">
        <v>62</v>
      </c>
      <c r="L20" s="83">
        <v>11957</v>
      </c>
      <c r="M20" s="83">
        <v>192.85483870967741</v>
      </c>
      <c r="N20" s="83">
        <v>45742.593336858801</v>
      </c>
    </row>
    <row r="21" spans="2:19" ht="15" thickBot="1" x14ac:dyDescent="0.35">
      <c r="B21" s="79">
        <v>39</v>
      </c>
      <c r="C21" s="78">
        <v>366</v>
      </c>
      <c r="D21" s="80">
        <v>1008</v>
      </c>
      <c r="E21" s="95"/>
      <c r="F21" s="78">
        <f t="shared" si="3"/>
        <v>236</v>
      </c>
      <c r="G21" s="78">
        <f t="shared" si="3"/>
        <v>51.5</v>
      </c>
      <c r="H21" s="78">
        <f t="shared" si="3"/>
        <v>418</v>
      </c>
      <c r="J21" s="84" t="s">
        <v>268</v>
      </c>
      <c r="K21" s="84">
        <v>49</v>
      </c>
      <c r="L21" s="84">
        <v>15527</v>
      </c>
      <c r="M21" s="84">
        <v>316.87755102040819</v>
      </c>
      <c r="N21" s="84">
        <v>89177.401360544216</v>
      </c>
    </row>
    <row r="22" spans="2:19" x14ac:dyDescent="0.3">
      <c r="B22" s="79">
        <v>40</v>
      </c>
      <c r="C22" s="78">
        <v>307</v>
      </c>
      <c r="D22" s="80">
        <v>250</v>
      </c>
      <c r="E22" s="95"/>
      <c r="F22" s="78">
        <f t="shared" si="3"/>
        <v>235</v>
      </c>
      <c r="G22" s="78">
        <f t="shared" si="3"/>
        <v>110.5</v>
      </c>
      <c r="H22" s="78">
        <f t="shared" si="3"/>
        <v>340</v>
      </c>
    </row>
    <row r="23" spans="2:19" x14ac:dyDescent="0.3">
      <c r="B23" s="79">
        <v>365</v>
      </c>
      <c r="C23" s="78">
        <v>230</v>
      </c>
      <c r="D23" s="80">
        <v>542</v>
      </c>
      <c r="E23" s="95"/>
      <c r="F23" s="78">
        <f t="shared" si="3"/>
        <v>90</v>
      </c>
      <c r="G23" s="78">
        <f t="shared" si="3"/>
        <v>187.5</v>
      </c>
      <c r="H23" s="78">
        <f t="shared" si="3"/>
        <v>48</v>
      </c>
    </row>
    <row r="24" spans="2:19" ht="15" thickBot="1" x14ac:dyDescent="0.35">
      <c r="B24" s="79">
        <v>104</v>
      </c>
      <c r="C24" s="78">
        <v>342</v>
      </c>
      <c r="D24" s="80">
        <v>756</v>
      </c>
      <c r="E24" s="95"/>
      <c r="F24" s="78">
        <f t="shared" si="3"/>
        <v>171</v>
      </c>
      <c r="G24" s="78">
        <f t="shared" si="3"/>
        <v>75.5</v>
      </c>
      <c r="H24" s="78">
        <f t="shared" si="3"/>
        <v>166</v>
      </c>
      <c r="J24" t="s">
        <v>229</v>
      </c>
    </row>
    <row r="25" spans="2:19" x14ac:dyDescent="0.3">
      <c r="B25" s="79">
        <v>563</v>
      </c>
      <c r="C25" s="78">
        <v>253</v>
      </c>
      <c r="D25" s="80">
        <v>627</v>
      </c>
      <c r="E25" s="95"/>
      <c r="F25" s="78">
        <f t="shared" si="3"/>
        <v>288</v>
      </c>
      <c r="G25" s="78">
        <f t="shared" si="3"/>
        <v>164.5</v>
      </c>
      <c r="H25" s="78">
        <f t="shared" si="3"/>
        <v>37</v>
      </c>
      <c r="J25" s="85" t="s">
        <v>230</v>
      </c>
      <c r="K25" s="85" t="s">
        <v>231</v>
      </c>
      <c r="L25" s="85" t="s">
        <v>232</v>
      </c>
      <c r="M25" s="85" t="s">
        <v>233</v>
      </c>
      <c r="N25" s="85" t="s">
        <v>234</v>
      </c>
      <c r="O25" s="85" t="s">
        <v>235</v>
      </c>
      <c r="P25" s="85" t="s">
        <v>236</v>
      </c>
    </row>
    <row r="26" spans="2:19" x14ac:dyDescent="0.3">
      <c r="B26" s="79">
        <v>311</v>
      </c>
      <c r="C26" s="78">
        <v>418</v>
      </c>
      <c r="D26" s="80">
        <v>1143</v>
      </c>
      <c r="E26" s="95"/>
      <c r="F26" s="78">
        <f t="shared" si="3"/>
        <v>36</v>
      </c>
      <c r="G26" s="78">
        <f t="shared" si="3"/>
        <v>0.5</v>
      </c>
      <c r="H26" s="78">
        <f t="shared" si="3"/>
        <v>553</v>
      </c>
      <c r="J26" s="83" t="s">
        <v>237</v>
      </c>
      <c r="K26" s="83">
        <v>733057.77618185524</v>
      </c>
      <c r="L26" s="83">
        <v>2</v>
      </c>
      <c r="M26" s="83">
        <v>366528.88809092762</v>
      </c>
      <c r="N26" s="83">
        <v>7.5588740833233379</v>
      </c>
      <c r="O26" s="83">
        <v>7.1626433094618136E-4</v>
      </c>
      <c r="P26" s="83">
        <v>3.0491486177374134</v>
      </c>
    </row>
    <row r="27" spans="2:19" x14ac:dyDescent="0.3">
      <c r="B27" s="79">
        <v>146</v>
      </c>
      <c r="C27" s="78">
        <v>338</v>
      </c>
      <c r="D27" s="80">
        <v>827</v>
      </c>
      <c r="E27" s="95"/>
      <c r="F27" s="78">
        <f t="shared" si="3"/>
        <v>129</v>
      </c>
      <c r="G27" s="78">
        <f t="shared" si="3"/>
        <v>79.5</v>
      </c>
      <c r="H27" s="78">
        <f t="shared" si="3"/>
        <v>237</v>
      </c>
      <c r="J27" s="83" t="s">
        <v>238</v>
      </c>
      <c r="K27" s="83">
        <v>8243279.3943383815</v>
      </c>
      <c r="L27" s="83">
        <v>170</v>
      </c>
      <c r="M27" s="83">
        <v>48489.878790225775</v>
      </c>
      <c r="N27" s="83"/>
      <c r="O27" s="83"/>
      <c r="P27" s="83"/>
    </row>
    <row r="28" spans="2:19" x14ac:dyDescent="0.3">
      <c r="B28" s="79">
        <v>567</v>
      </c>
      <c r="C28" s="78">
        <v>1144</v>
      </c>
      <c r="D28" s="80">
        <v>298</v>
      </c>
      <c r="E28" s="95"/>
      <c r="F28" s="78">
        <f t="shared" si="3"/>
        <v>292</v>
      </c>
      <c r="G28" s="78">
        <f t="shared" si="3"/>
        <v>726.5</v>
      </c>
      <c r="H28" s="78">
        <f t="shared" si="3"/>
        <v>292</v>
      </c>
      <c r="J28" s="83"/>
      <c r="K28" s="83"/>
      <c r="L28" s="83"/>
      <c r="M28" s="83"/>
      <c r="N28" s="83"/>
      <c r="O28" s="83"/>
      <c r="P28" s="83"/>
    </row>
    <row r="29" spans="2:19" ht="15" thickBot="1" x14ac:dyDescent="0.35">
      <c r="B29" s="79">
        <v>312</v>
      </c>
      <c r="C29" s="78">
        <v>629</v>
      </c>
      <c r="D29" s="80">
        <v>361</v>
      </c>
      <c r="E29" s="95"/>
      <c r="F29" s="78">
        <f t="shared" si="3"/>
        <v>37</v>
      </c>
      <c r="G29" s="78">
        <f t="shared" si="3"/>
        <v>211.5</v>
      </c>
      <c r="H29" s="78">
        <f t="shared" si="3"/>
        <v>229</v>
      </c>
      <c r="J29" s="84" t="s">
        <v>88</v>
      </c>
      <c r="K29" s="84">
        <v>8976337.1705202367</v>
      </c>
      <c r="L29" s="84">
        <v>172</v>
      </c>
      <c r="M29" s="84"/>
      <c r="N29" s="84"/>
      <c r="O29" s="84"/>
      <c r="P29" s="84"/>
    </row>
    <row r="30" spans="2:19" x14ac:dyDescent="0.3">
      <c r="B30" s="79">
        <v>387</v>
      </c>
      <c r="C30" s="78">
        <v>338</v>
      </c>
      <c r="D30" s="80">
        <v>691</v>
      </c>
      <c r="E30" s="95"/>
      <c r="F30" s="78">
        <f t="shared" si="3"/>
        <v>112</v>
      </c>
      <c r="G30" s="78">
        <f t="shared" si="3"/>
        <v>79.5</v>
      </c>
      <c r="H30" s="78">
        <f t="shared" si="3"/>
        <v>101</v>
      </c>
    </row>
    <row r="31" spans="2:19" x14ac:dyDescent="0.3">
      <c r="B31" s="79">
        <v>169</v>
      </c>
      <c r="C31" s="78">
        <v>108</v>
      </c>
      <c r="D31" s="80">
        <v>384</v>
      </c>
      <c r="E31" s="95"/>
      <c r="F31" s="78">
        <f t="shared" si="3"/>
        <v>106</v>
      </c>
      <c r="G31" s="78">
        <f t="shared" si="3"/>
        <v>309.5</v>
      </c>
      <c r="H31" s="78">
        <f t="shared" si="3"/>
        <v>206</v>
      </c>
      <c r="J31" s="283" t="s">
        <v>412</v>
      </c>
      <c r="K31" s="283"/>
      <c r="L31" s="283"/>
      <c r="M31" s="283"/>
      <c r="N31" s="283"/>
      <c r="O31" s="283"/>
      <c r="P31" s="283"/>
      <c r="Q31" s="283"/>
      <c r="R31" s="283"/>
      <c r="S31" s="283"/>
    </row>
    <row r="32" spans="2:19" ht="15.6" customHeight="1" x14ac:dyDescent="0.3">
      <c r="B32" s="79">
        <v>-49</v>
      </c>
      <c r="C32" s="78">
        <v>288</v>
      </c>
      <c r="D32" s="80">
        <v>1799</v>
      </c>
      <c r="E32" s="95"/>
      <c r="F32" s="78">
        <f t="shared" si="3"/>
        <v>324</v>
      </c>
      <c r="G32" s="78">
        <f t="shared" si="3"/>
        <v>129.5</v>
      </c>
      <c r="H32" s="78">
        <f t="shared" si="3"/>
        <v>1209</v>
      </c>
      <c r="J32" s="283"/>
      <c r="K32" s="283"/>
      <c r="L32" s="283"/>
      <c r="M32" s="283"/>
      <c r="N32" s="283"/>
      <c r="O32" s="283"/>
      <c r="P32" s="283"/>
      <c r="Q32" s="283"/>
      <c r="R32" s="283"/>
      <c r="S32" s="283"/>
    </row>
    <row r="33" spans="2:19" x14ac:dyDescent="0.3">
      <c r="B33" s="79">
        <v>17</v>
      </c>
      <c r="C33" s="78">
        <v>307</v>
      </c>
      <c r="D33" s="80">
        <v>680</v>
      </c>
      <c r="E33" s="95"/>
      <c r="F33" s="78">
        <f t="shared" si="3"/>
        <v>258</v>
      </c>
      <c r="G33" s="78">
        <f t="shared" si="3"/>
        <v>110.5</v>
      </c>
      <c r="H33" s="78">
        <f t="shared" si="3"/>
        <v>90</v>
      </c>
      <c r="J33" s="97"/>
      <c r="K33" s="97"/>
      <c r="L33" s="97"/>
      <c r="M33" s="97"/>
      <c r="N33" s="97"/>
      <c r="O33" s="97"/>
      <c r="P33" s="97"/>
      <c r="Q33" s="97"/>
      <c r="R33" s="97"/>
      <c r="S33" s="97"/>
    </row>
    <row r="34" spans="2:19" x14ac:dyDescent="0.3">
      <c r="B34" s="79">
        <v>183</v>
      </c>
      <c r="C34" s="78">
        <v>966</v>
      </c>
      <c r="D34" s="80">
        <v>373</v>
      </c>
      <c r="E34" s="95"/>
      <c r="F34" s="78">
        <f t="shared" si="3"/>
        <v>92</v>
      </c>
      <c r="G34" s="78">
        <f t="shared" si="3"/>
        <v>548.5</v>
      </c>
      <c r="H34" s="78">
        <f t="shared" si="3"/>
        <v>217</v>
      </c>
      <c r="J34" s="12" t="s">
        <v>265</v>
      </c>
    </row>
    <row r="35" spans="2:19" ht="15.6" x14ac:dyDescent="0.35">
      <c r="B35" s="79">
        <v>272</v>
      </c>
      <c r="C35" s="78">
        <v>294</v>
      </c>
      <c r="D35" s="80">
        <v>442</v>
      </c>
      <c r="E35" s="95"/>
      <c r="F35" s="78">
        <f t="shared" si="3"/>
        <v>3</v>
      </c>
      <c r="G35" s="78">
        <f t="shared" si="3"/>
        <v>123.5</v>
      </c>
      <c r="H35" s="78">
        <f t="shared" si="3"/>
        <v>148</v>
      </c>
      <c r="J35" s="65" t="s">
        <v>219</v>
      </c>
      <c r="K35" t="s">
        <v>221</v>
      </c>
      <c r="M35" t="s">
        <v>273</v>
      </c>
    </row>
    <row r="36" spans="2:19" ht="15.6" x14ac:dyDescent="0.35">
      <c r="B36" s="79">
        <v>86</v>
      </c>
      <c r="C36" s="78">
        <v>411</v>
      </c>
      <c r="D36" s="80">
        <v>914</v>
      </c>
      <c r="E36" s="95"/>
      <c r="F36" s="78">
        <f t="shared" si="3"/>
        <v>189</v>
      </c>
      <c r="G36" s="78">
        <f t="shared" si="3"/>
        <v>6.5</v>
      </c>
      <c r="H36" s="78">
        <f t="shared" si="3"/>
        <v>324</v>
      </c>
      <c r="J36" s="65" t="s">
        <v>220</v>
      </c>
      <c r="K36" s="82" t="s">
        <v>222</v>
      </c>
      <c r="M36" t="s">
        <v>223</v>
      </c>
    </row>
    <row r="37" spans="2:19" x14ac:dyDescent="0.3">
      <c r="B37" s="79">
        <v>285</v>
      </c>
      <c r="C37" s="78">
        <v>408</v>
      </c>
      <c r="D37" s="80">
        <v>1576</v>
      </c>
      <c r="E37" s="95"/>
      <c r="F37" s="78">
        <f t="shared" si="3"/>
        <v>10</v>
      </c>
      <c r="G37" s="78">
        <f t="shared" si="3"/>
        <v>9.5</v>
      </c>
      <c r="H37" s="78">
        <f t="shared" si="3"/>
        <v>986</v>
      </c>
      <c r="J37" s="192" t="s">
        <v>275</v>
      </c>
      <c r="K37" s="192"/>
      <c r="L37" s="192"/>
      <c r="M37" s="192"/>
      <c r="N37" s="192"/>
      <c r="O37" s="192"/>
      <c r="P37" s="192"/>
      <c r="Q37" s="192"/>
      <c r="R37" s="192"/>
      <c r="S37" s="192"/>
    </row>
    <row r="38" spans="2:19" x14ac:dyDescent="0.3">
      <c r="B38" s="79">
        <v>357</v>
      </c>
      <c r="C38" s="78">
        <v>482</v>
      </c>
      <c r="D38" s="80">
        <v>728</v>
      </c>
      <c r="E38" s="95"/>
      <c r="F38" s="78">
        <f t="shared" si="3"/>
        <v>82</v>
      </c>
      <c r="G38" s="78">
        <f t="shared" si="3"/>
        <v>64.5</v>
      </c>
      <c r="H38" s="78">
        <f t="shared" si="3"/>
        <v>138</v>
      </c>
      <c r="J38" s="192"/>
      <c r="K38" s="192"/>
      <c r="L38" s="192"/>
      <c r="M38" s="192"/>
      <c r="N38" s="192"/>
      <c r="O38" s="192"/>
      <c r="P38" s="192"/>
      <c r="Q38" s="192"/>
      <c r="R38" s="192"/>
      <c r="S38" s="192"/>
    </row>
    <row r="39" spans="2:19" x14ac:dyDescent="0.3">
      <c r="B39" s="79">
        <v>384</v>
      </c>
      <c r="C39" s="78">
        <v>954</v>
      </c>
      <c r="D39" s="80">
        <v>283</v>
      </c>
      <c r="E39" s="95"/>
      <c r="F39" s="78">
        <f t="shared" si="3"/>
        <v>109</v>
      </c>
      <c r="G39" s="78">
        <f t="shared" si="3"/>
        <v>536.5</v>
      </c>
      <c r="H39" s="78">
        <f t="shared" si="3"/>
        <v>307</v>
      </c>
      <c r="J39" t="s">
        <v>225</v>
      </c>
    </row>
    <row r="40" spans="2:19" x14ac:dyDescent="0.3">
      <c r="B40" s="79">
        <v>366</v>
      </c>
      <c r="C40" s="78">
        <v>485</v>
      </c>
      <c r="D40" s="80">
        <v>355</v>
      </c>
      <c r="E40" s="95"/>
      <c r="F40" s="78">
        <f t="shared" si="3"/>
        <v>91</v>
      </c>
      <c r="G40" s="78">
        <f t="shared" si="3"/>
        <v>67.5</v>
      </c>
      <c r="H40" s="78">
        <f t="shared" si="3"/>
        <v>235</v>
      </c>
    </row>
    <row r="41" spans="2:19" ht="15" thickBot="1" x14ac:dyDescent="0.35">
      <c r="B41" s="79">
        <v>169</v>
      </c>
      <c r="C41" s="78">
        <v>470</v>
      </c>
      <c r="D41" s="80">
        <v>294</v>
      </c>
      <c r="E41" s="95"/>
      <c r="F41" s="78">
        <f t="shared" si="3"/>
        <v>106</v>
      </c>
      <c r="G41" s="78">
        <f t="shared" si="3"/>
        <v>52.5</v>
      </c>
      <c r="H41" s="78">
        <f t="shared" si="3"/>
        <v>296</v>
      </c>
      <c r="J41" t="s">
        <v>226</v>
      </c>
    </row>
    <row r="42" spans="2:19" x14ac:dyDescent="0.3">
      <c r="B42" s="79">
        <v>-26</v>
      </c>
      <c r="C42" s="78">
        <v>257</v>
      </c>
      <c r="D42" s="80">
        <v>430</v>
      </c>
      <c r="E42" s="95"/>
      <c r="F42" s="78">
        <f t="shared" si="3"/>
        <v>301</v>
      </c>
      <c r="G42" s="78">
        <f t="shared" si="3"/>
        <v>160.5</v>
      </c>
      <c r="H42" s="78">
        <f t="shared" si="3"/>
        <v>160</v>
      </c>
      <c r="J42" s="85" t="s">
        <v>227</v>
      </c>
      <c r="K42" s="85" t="s">
        <v>79</v>
      </c>
      <c r="L42" s="85" t="s">
        <v>78</v>
      </c>
      <c r="M42" s="85" t="s">
        <v>228</v>
      </c>
      <c r="N42" s="85" t="s">
        <v>74</v>
      </c>
    </row>
    <row r="43" spans="2:19" x14ac:dyDescent="0.3">
      <c r="B43" s="79">
        <v>17</v>
      </c>
      <c r="C43" s="78">
        <v>533</v>
      </c>
      <c r="D43" s="80">
        <v>413</v>
      </c>
      <c r="E43" s="95"/>
      <c r="F43" s="78">
        <f t="shared" si="3"/>
        <v>258</v>
      </c>
      <c r="G43" s="78">
        <f t="shared" si="3"/>
        <v>115.5</v>
      </c>
      <c r="H43" s="78">
        <f t="shared" si="3"/>
        <v>177</v>
      </c>
      <c r="J43" s="83" t="s">
        <v>17</v>
      </c>
      <c r="K43" s="83">
        <v>62</v>
      </c>
      <c r="L43" s="83">
        <v>17710</v>
      </c>
      <c r="M43" s="83">
        <v>285.64516129032256</v>
      </c>
      <c r="N43" s="83">
        <v>44811.445795875195</v>
      </c>
    </row>
    <row r="44" spans="2:19" x14ac:dyDescent="0.3">
      <c r="B44" s="79">
        <v>172</v>
      </c>
      <c r="C44" s="78">
        <v>765</v>
      </c>
      <c r="D44" s="80">
        <v>1022</v>
      </c>
      <c r="E44" s="95"/>
      <c r="F44" s="78">
        <f t="shared" si="3"/>
        <v>103</v>
      </c>
      <c r="G44" s="78">
        <f t="shared" si="3"/>
        <v>347.5</v>
      </c>
      <c r="H44" s="78">
        <f t="shared" si="3"/>
        <v>432</v>
      </c>
      <c r="J44" s="83" t="s">
        <v>45</v>
      </c>
      <c r="K44" s="83">
        <v>62</v>
      </c>
      <c r="L44" s="83">
        <v>31491</v>
      </c>
      <c r="M44" s="83">
        <v>507.91935483870969</v>
      </c>
      <c r="N44" s="83">
        <v>75235.616340560562</v>
      </c>
    </row>
    <row r="45" spans="2:19" ht="15" thickBot="1" x14ac:dyDescent="0.35">
      <c r="B45" s="79">
        <v>372</v>
      </c>
      <c r="C45" s="78">
        <v>1340</v>
      </c>
      <c r="D45" s="80">
        <v>590</v>
      </c>
      <c r="E45" s="95"/>
      <c r="F45" s="78">
        <f t="shared" si="3"/>
        <v>97</v>
      </c>
      <c r="G45" s="78">
        <f t="shared" si="3"/>
        <v>922.5</v>
      </c>
      <c r="H45" s="78">
        <f t="shared" si="3"/>
        <v>0</v>
      </c>
      <c r="J45" s="84" t="s">
        <v>268</v>
      </c>
      <c r="K45" s="84">
        <v>49</v>
      </c>
      <c r="L45" s="84">
        <v>33945</v>
      </c>
      <c r="M45" s="84">
        <v>692.75510204081638</v>
      </c>
      <c r="N45" s="84">
        <v>180902.10544217689</v>
      </c>
    </row>
    <row r="46" spans="2:19" x14ac:dyDescent="0.3">
      <c r="B46" s="79">
        <v>434</v>
      </c>
      <c r="C46" s="78">
        <v>345</v>
      </c>
      <c r="D46" s="80">
        <v>675</v>
      </c>
      <c r="E46" s="95"/>
      <c r="F46" s="78">
        <f t="shared" si="3"/>
        <v>159</v>
      </c>
      <c r="G46" s="78">
        <f t="shared" si="3"/>
        <v>72.5</v>
      </c>
      <c r="H46" s="78">
        <f t="shared" si="3"/>
        <v>85</v>
      </c>
    </row>
    <row r="47" spans="2:19" x14ac:dyDescent="0.3">
      <c r="B47" s="79">
        <v>99</v>
      </c>
      <c r="C47" s="78">
        <v>1208</v>
      </c>
      <c r="D47" s="80">
        <v>488</v>
      </c>
      <c r="E47" s="95"/>
      <c r="F47" s="78">
        <f t="shared" si="3"/>
        <v>176</v>
      </c>
      <c r="G47" s="78">
        <f t="shared" si="3"/>
        <v>790.5</v>
      </c>
      <c r="H47" s="78">
        <f t="shared" si="3"/>
        <v>102</v>
      </c>
    </row>
    <row r="48" spans="2:19" ht="15" thickBot="1" x14ac:dyDescent="0.35">
      <c r="B48" s="79">
        <v>55</v>
      </c>
      <c r="C48" s="78">
        <v>401</v>
      </c>
      <c r="D48" s="80">
        <v>1271</v>
      </c>
      <c r="E48" s="95"/>
      <c r="F48" s="78">
        <f t="shared" si="3"/>
        <v>220</v>
      </c>
      <c r="G48" s="78">
        <f t="shared" si="3"/>
        <v>16.5</v>
      </c>
      <c r="H48" s="78">
        <f t="shared" si="3"/>
        <v>681</v>
      </c>
      <c r="J48" t="s">
        <v>229</v>
      </c>
    </row>
    <row r="49" spans="2:23" x14ac:dyDescent="0.3">
      <c r="B49" s="79">
        <v>392</v>
      </c>
      <c r="C49" s="78">
        <v>403</v>
      </c>
      <c r="D49" s="80">
        <v>690</v>
      </c>
      <c r="E49" s="95"/>
      <c r="F49" s="78">
        <f t="shared" si="3"/>
        <v>117</v>
      </c>
      <c r="G49" s="78">
        <f t="shared" si="3"/>
        <v>14.5</v>
      </c>
      <c r="H49" s="78">
        <f t="shared" si="3"/>
        <v>100</v>
      </c>
      <c r="J49" s="85" t="s">
        <v>230</v>
      </c>
      <c r="K49" s="85" t="s">
        <v>231</v>
      </c>
      <c r="L49" s="85" t="s">
        <v>232</v>
      </c>
      <c r="M49" s="85" t="s">
        <v>233</v>
      </c>
      <c r="N49" s="85" t="s">
        <v>234</v>
      </c>
      <c r="O49" s="85" t="s">
        <v>235</v>
      </c>
      <c r="P49" s="85" t="s">
        <v>236</v>
      </c>
    </row>
    <row r="50" spans="2:23" ht="14.4" customHeight="1" x14ac:dyDescent="0.3">
      <c r="B50" s="79">
        <v>365</v>
      </c>
      <c r="C50" s="78">
        <v>440</v>
      </c>
      <c r="D50" s="80">
        <v>704</v>
      </c>
      <c r="E50" s="95"/>
      <c r="F50" s="78">
        <f t="shared" si="3"/>
        <v>90</v>
      </c>
      <c r="G50" s="78">
        <f t="shared" si="3"/>
        <v>22.5</v>
      </c>
      <c r="H50" s="78">
        <f t="shared" si="3"/>
        <v>114</v>
      </c>
      <c r="J50" s="83" t="s">
        <v>237</v>
      </c>
      <c r="K50" s="83">
        <v>4608211.2004760765</v>
      </c>
      <c r="L50" s="83">
        <v>2</v>
      </c>
      <c r="M50" s="83">
        <v>2304105.6002380382</v>
      </c>
      <c r="N50" s="83">
        <v>24.471682278146172</v>
      </c>
      <c r="O50" s="98">
        <v>4.5704226346899267E-10</v>
      </c>
      <c r="P50" s="83">
        <v>3.0491486177374134</v>
      </c>
      <c r="U50" s="70"/>
      <c r="V50" s="70"/>
      <c r="W50" s="70"/>
    </row>
    <row r="51" spans="2:23" x14ac:dyDescent="0.3">
      <c r="B51" s="79">
        <v>100</v>
      </c>
      <c r="C51" s="78">
        <v>691</v>
      </c>
      <c r="D51" s="80">
        <v>676</v>
      </c>
      <c r="E51" s="95"/>
      <c r="F51" s="78">
        <f t="shared" si="3"/>
        <v>175</v>
      </c>
      <c r="G51" s="78">
        <f t="shared" si="3"/>
        <v>273.5</v>
      </c>
      <c r="H51" s="78">
        <f t="shared" si="3"/>
        <v>86</v>
      </c>
      <c r="J51" s="83" t="s">
        <v>238</v>
      </c>
      <c r="K51" s="83">
        <v>16006171.85154707</v>
      </c>
      <c r="L51" s="83">
        <v>170</v>
      </c>
      <c r="M51" s="83">
        <v>94153.952067923936</v>
      </c>
      <c r="N51" s="83"/>
      <c r="O51" s="83"/>
      <c r="P51" s="83"/>
      <c r="U51" s="70"/>
      <c r="V51" s="70"/>
      <c r="W51" s="70"/>
    </row>
    <row r="52" spans="2:23" x14ac:dyDescent="0.3">
      <c r="B52" s="79">
        <v>464</v>
      </c>
      <c r="C52" s="78">
        <v>835</v>
      </c>
      <c r="D52" s="80">
        <v>320</v>
      </c>
      <c r="E52" s="95"/>
      <c r="F52" s="78">
        <f t="shared" si="3"/>
        <v>189</v>
      </c>
      <c r="G52" s="78">
        <f t="shared" si="3"/>
        <v>417.5</v>
      </c>
      <c r="H52" s="78">
        <f t="shared" si="3"/>
        <v>270</v>
      </c>
      <c r="J52" s="83"/>
      <c r="K52" s="83"/>
      <c r="L52" s="83"/>
      <c r="M52" s="83"/>
      <c r="N52" s="83"/>
      <c r="O52" s="83"/>
      <c r="P52" s="83"/>
    </row>
    <row r="53" spans="2:23" ht="15" thickBot="1" x14ac:dyDescent="0.35">
      <c r="B53" s="79">
        <v>545</v>
      </c>
      <c r="C53" s="78">
        <v>363</v>
      </c>
      <c r="D53" s="80">
        <v>377</v>
      </c>
      <c r="E53" s="95"/>
      <c r="F53" s="78">
        <f t="shared" si="3"/>
        <v>270</v>
      </c>
      <c r="G53" s="78">
        <f t="shared" si="3"/>
        <v>54.5</v>
      </c>
      <c r="H53" s="78">
        <f t="shared" si="3"/>
        <v>213</v>
      </c>
      <c r="J53" s="84" t="s">
        <v>88</v>
      </c>
      <c r="K53" s="84">
        <v>20614383.052023146</v>
      </c>
      <c r="L53" s="84">
        <v>172</v>
      </c>
      <c r="M53" s="84"/>
      <c r="N53" s="84"/>
      <c r="O53" s="84"/>
      <c r="P53" s="84"/>
    </row>
    <row r="54" spans="2:23" x14ac:dyDescent="0.3">
      <c r="B54" s="79">
        <v>295</v>
      </c>
      <c r="C54" s="78">
        <v>194</v>
      </c>
      <c r="D54" s="80">
        <v>1097</v>
      </c>
      <c r="E54" s="95"/>
      <c r="F54" s="78">
        <f t="shared" si="3"/>
        <v>20</v>
      </c>
      <c r="G54" s="78">
        <f t="shared" si="3"/>
        <v>223.5</v>
      </c>
      <c r="H54" s="78">
        <f t="shared" si="3"/>
        <v>507</v>
      </c>
      <c r="T54" s="70"/>
    </row>
    <row r="55" spans="2:23" x14ac:dyDescent="0.3">
      <c r="B55" s="79">
        <v>198</v>
      </c>
      <c r="C55" s="78">
        <v>341</v>
      </c>
      <c r="D55" s="80">
        <v>837</v>
      </c>
      <c r="E55" s="95"/>
      <c r="F55" s="78">
        <f t="shared" si="3"/>
        <v>77</v>
      </c>
      <c r="G55" s="78">
        <f t="shared" si="3"/>
        <v>76.5</v>
      </c>
      <c r="H55" s="78">
        <f t="shared" si="3"/>
        <v>247</v>
      </c>
      <c r="J55" s="192" t="s">
        <v>413</v>
      </c>
      <c r="K55" s="192"/>
      <c r="L55" s="192"/>
      <c r="M55" s="192"/>
      <c r="N55" s="192"/>
      <c r="O55" s="192"/>
      <c r="P55" s="192"/>
      <c r="Q55" s="192"/>
      <c r="R55" s="192"/>
      <c r="S55" s="192"/>
      <c r="T55" s="70"/>
    </row>
    <row r="56" spans="2:23" x14ac:dyDescent="0.3">
      <c r="B56" s="79">
        <v>202</v>
      </c>
      <c r="C56" s="78">
        <v>417</v>
      </c>
      <c r="D56" s="80">
        <v>1651</v>
      </c>
      <c r="E56" s="95"/>
      <c r="F56" s="78">
        <f t="shared" si="3"/>
        <v>73</v>
      </c>
      <c r="G56" s="78">
        <f t="shared" si="3"/>
        <v>0.5</v>
      </c>
      <c r="H56" s="78">
        <f t="shared" si="3"/>
        <v>1061</v>
      </c>
      <c r="J56" s="192"/>
      <c r="K56" s="192"/>
      <c r="L56" s="192"/>
      <c r="M56" s="192"/>
      <c r="N56" s="192"/>
      <c r="O56" s="192"/>
      <c r="P56" s="192"/>
      <c r="Q56" s="192"/>
      <c r="R56" s="192"/>
      <c r="S56" s="192"/>
      <c r="T56" s="69"/>
    </row>
    <row r="57" spans="2:23" x14ac:dyDescent="0.3">
      <c r="B57" s="79">
        <v>262</v>
      </c>
      <c r="C57" s="78">
        <v>337</v>
      </c>
      <c r="D57" s="80"/>
      <c r="E57" s="95"/>
      <c r="F57" s="78">
        <f t="shared" si="3"/>
        <v>13</v>
      </c>
      <c r="G57" s="78">
        <f t="shared" si="3"/>
        <v>80.5</v>
      </c>
      <c r="H57" s="78"/>
      <c r="J57" s="192"/>
      <c r="K57" s="192"/>
      <c r="L57" s="192"/>
      <c r="M57" s="192"/>
      <c r="N57" s="192"/>
      <c r="O57" s="192"/>
      <c r="P57" s="192"/>
      <c r="Q57" s="192"/>
      <c r="R57" s="192"/>
      <c r="S57" s="192"/>
    </row>
    <row r="58" spans="2:23" x14ac:dyDescent="0.3">
      <c r="B58" s="79">
        <v>452</v>
      </c>
      <c r="C58" s="78">
        <v>681</v>
      </c>
      <c r="D58" s="80"/>
      <c r="E58" s="95"/>
      <c r="F58" s="78">
        <f t="shared" si="3"/>
        <v>177</v>
      </c>
      <c r="G58" s="78">
        <f t="shared" si="3"/>
        <v>263.5</v>
      </c>
      <c r="H58" s="78"/>
    </row>
    <row r="59" spans="2:23" x14ac:dyDescent="0.3">
      <c r="B59" s="79">
        <v>198</v>
      </c>
      <c r="C59" s="78">
        <v>496</v>
      </c>
      <c r="D59" s="80"/>
      <c r="E59" s="95"/>
      <c r="F59" s="78">
        <f t="shared" si="3"/>
        <v>77</v>
      </c>
      <c r="G59" s="78">
        <f t="shared" si="3"/>
        <v>78.5</v>
      </c>
      <c r="H59" s="78"/>
      <c r="J59" s="86" t="s">
        <v>239</v>
      </c>
    </row>
    <row r="60" spans="2:23" x14ac:dyDescent="0.3">
      <c r="B60" s="79">
        <v>-17</v>
      </c>
      <c r="C60" s="78">
        <v>601</v>
      </c>
      <c r="D60" s="80"/>
      <c r="E60" s="95"/>
      <c r="F60" s="78">
        <f t="shared" si="3"/>
        <v>292</v>
      </c>
      <c r="G60" s="78">
        <f t="shared" si="3"/>
        <v>183.5</v>
      </c>
      <c r="H60" s="78"/>
      <c r="J60" t="s">
        <v>279</v>
      </c>
    </row>
    <row r="61" spans="2:23" x14ac:dyDescent="0.3">
      <c r="B61" s="79">
        <v>165</v>
      </c>
      <c r="C61" s="78">
        <v>479</v>
      </c>
      <c r="D61" s="80"/>
      <c r="E61" s="95"/>
      <c r="F61" s="78">
        <f t="shared" si="3"/>
        <v>110</v>
      </c>
      <c r="G61" s="78">
        <f t="shared" si="3"/>
        <v>61.5</v>
      </c>
      <c r="H61" s="78"/>
    </row>
    <row r="62" spans="2:23" x14ac:dyDescent="0.3">
      <c r="B62" s="79">
        <v>354</v>
      </c>
      <c r="C62" s="78">
        <v>468</v>
      </c>
      <c r="D62" s="80"/>
      <c r="E62" s="95"/>
      <c r="F62" s="78">
        <f t="shared" si="3"/>
        <v>79</v>
      </c>
      <c r="G62" s="78">
        <f t="shared" si="3"/>
        <v>50.5</v>
      </c>
      <c r="H62" s="78"/>
      <c r="J62" s="281" t="s">
        <v>241</v>
      </c>
      <c r="K62" s="87" t="s">
        <v>240</v>
      </c>
      <c r="L62" s="88" t="s">
        <v>240</v>
      </c>
    </row>
    <row r="63" spans="2:23" x14ac:dyDescent="0.3">
      <c r="B63" s="79">
        <v>700</v>
      </c>
      <c r="C63" s="78">
        <v>288</v>
      </c>
      <c r="D63" s="80"/>
      <c r="E63" s="95"/>
      <c r="F63" s="78">
        <f t="shared" si="3"/>
        <v>425</v>
      </c>
      <c r="G63" s="78">
        <f t="shared" si="3"/>
        <v>129.5</v>
      </c>
      <c r="H63" s="78"/>
      <c r="J63" s="282"/>
      <c r="K63" s="89" t="s">
        <v>71</v>
      </c>
      <c r="L63" s="90" t="s">
        <v>242</v>
      </c>
    </row>
    <row r="64" spans="2:23" x14ac:dyDescent="0.3">
      <c r="B64" s="79">
        <v>193</v>
      </c>
      <c r="C64" s="78">
        <v>729</v>
      </c>
      <c r="D64" s="80"/>
      <c r="E64" s="95"/>
      <c r="F64" s="78">
        <f t="shared" si="3"/>
        <v>82</v>
      </c>
      <c r="G64" s="78">
        <f t="shared" si="3"/>
        <v>311.5</v>
      </c>
      <c r="H64" s="78"/>
      <c r="J64" s="91" t="s">
        <v>17</v>
      </c>
      <c r="K64" s="92">
        <f>M43</f>
        <v>285.64516129032256</v>
      </c>
      <c r="L64" s="92">
        <f>K43</f>
        <v>62</v>
      </c>
    </row>
    <row r="65" spans="2:16" x14ac:dyDescent="0.3">
      <c r="B65" s="79">
        <v>343</v>
      </c>
      <c r="C65" s="78">
        <v>692</v>
      </c>
      <c r="D65" s="80"/>
      <c r="E65" s="95"/>
      <c r="F65" s="78">
        <f t="shared" si="3"/>
        <v>68</v>
      </c>
      <c r="G65" s="78">
        <f t="shared" si="3"/>
        <v>274.5</v>
      </c>
      <c r="H65" s="78"/>
      <c r="J65" s="91" t="s">
        <v>45</v>
      </c>
      <c r="K65" s="92">
        <f>M44</f>
        <v>507.91935483870969</v>
      </c>
      <c r="L65" s="92">
        <f>K44</f>
        <v>62</v>
      </c>
    </row>
    <row r="66" spans="2:16" x14ac:dyDescent="0.3">
      <c r="B66" s="79">
        <v>434</v>
      </c>
      <c r="C66" s="78">
        <v>343</v>
      </c>
      <c r="D66" s="80"/>
      <c r="E66" s="95"/>
      <c r="F66" s="78">
        <f t="shared" si="3"/>
        <v>159</v>
      </c>
      <c r="G66" s="78">
        <f t="shared" si="3"/>
        <v>74.5</v>
      </c>
      <c r="H66" s="78"/>
      <c r="J66" s="91" t="s">
        <v>268</v>
      </c>
      <c r="K66" s="92">
        <f>M45</f>
        <v>692.75510204081638</v>
      </c>
      <c r="L66" s="92">
        <f>K45</f>
        <v>49</v>
      </c>
    </row>
    <row r="67" spans="2:16" x14ac:dyDescent="0.3">
      <c r="B67" s="79">
        <v>344</v>
      </c>
      <c r="C67" s="78">
        <v>383</v>
      </c>
      <c r="D67" s="80"/>
      <c r="E67" s="95"/>
      <c r="F67" s="78">
        <f t="shared" si="3"/>
        <v>69</v>
      </c>
      <c r="G67" s="78">
        <f t="shared" si="3"/>
        <v>34.5</v>
      </c>
      <c r="H67" s="78"/>
    </row>
    <row r="68" spans="2:16" x14ac:dyDescent="0.3">
      <c r="B68" s="79">
        <v>303</v>
      </c>
      <c r="C68" s="78">
        <v>493</v>
      </c>
      <c r="D68" s="80"/>
      <c r="E68" s="95"/>
      <c r="F68" s="78">
        <f t="shared" si="3"/>
        <v>28</v>
      </c>
      <c r="G68" s="78">
        <f t="shared" si="3"/>
        <v>75.5</v>
      </c>
      <c r="H68" s="78"/>
      <c r="J68" s="279" t="s">
        <v>249</v>
      </c>
      <c r="K68" s="285" t="s">
        <v>250</v>
      </c>
      <c r="L68" s="285" t="s">
        <v>251</v>
      </c>
      <c r="M68" s="285" t="s">
        <v>252</v>
      </c>
      <c r="N68" s="279" t="str">
        <f>IF(J80="","Results are NOT valid until Q Statistic is entered into B14","Results")</f>
        <v>Results</v>
      </c>
      <c r="O68" s="279"/>
      <c r="P68" s="279"/>
    </row>
    <row r="69" spans="2:16" x14ac:dyDescent="0.3">
      <c r="B69" s="79">
        <v>278</v>
      </c>
      <c r="C69" s="78">
        <v>851</v>
      </c>
      <c r="D69" s="81"/>
      <c r="E69" s="96"/>
      <c r="F69" s="78">
        <f t="shared" si="3"/>
        <v>3</v>
      </c>
      <c r="G69" s="78">
        <f t="shared" si="3"/>
        <v>433.5</v>
      </c>
      <c r="H69" s="18"/>
      <c r="J69" s="279"/>
      <c r="K69" s="285"/>
      <c r="L69" s="285"/>
      <c r="M69" s="285"/>
      <c r="N69" s="279"/>
      <c r="O69" s="279"/>
      <c r="P69" s="279"/>
    </row>
    <row r="70" spans="2:16" x14ac:dyDescent="0.3">
      <c r="J70" s="94" t="s">
        <v>276</v>
      </c>
      <c r="K70" s="21">
        <f>ABS(K64-K65)</f>
        <v>222.27419354838713</v>
      </c>
      <c r="L70" s="21">
        <f>SQRT(($M$51/2)*((1/L64)+(1/L65)))</f>
        <v>38.969374258869045</v>
      </c>
      <c r="M70" s="21">
        <f>L70*$K$80</f>
        <v>128.98862879685655</v>
      </c>
      <c r="N70" s="278" t="str">
        <f>IF(K70&gt;M70,"Means are different","Means are not different")</f>
        <v>Means are different</v>
      </c>
      <c r="O70" s="278"/>
      <c r="P70" s="278"/>
    </row>
    <row r="71" spans="2:16" x14ac:dyDescent="0.3">
      <c r="J71" s="94" t="s">
        <v>277</v>
      </c>
      <c r="K71" s="21">
        <f>ABS(K64-K66)</f>
        <v>407.10994075049382</v>
      </c>
      <c r="L71" s="21">
        <f>SQRT(($M$51/2)*((1/L64)+(1/L66)))</f>
        <v>41.47361423847579</v>
      </c>
      <c r="M71" s="21">
        <f>L71*$K$80</f>
        <v>137.27766312935486</v>
      </c>
      <c r="N71" s="278" t="str">
        <f>IF(K71&gt;M71,"Means are different","Means are not different")</f>
        <v>Means are different</v>
      </c>
      <c r="O71" s="278"/>
      <c r="P71" s="278"/>
    </row>
    <row r="72" spans="2:16" x14ac:dyDescent="0.3">
      <c r="J72" s="94" t="s">
        <v>278</v>
      </c>
      <c r="K72" s="21">
        <f>ABS(K65-K66)</f>
        <v>184.83574720210669</v>
      </c>
      <c r="L72" s="21">
        <f>SQRT(($M$51/2)*((1/L65)+(1/L66)))</f>
        <v>41.47361423847579</v>
      </c>
      <c r="M72" s="21">
        <f>L72*$K$80</f>
        <v>137.27766312935486</v>
      </c>
      <c r="N72" s="278" t="str">
        <f>IF(K72&gt;M72,"Means are different","Means are not different")</f>
        <v>Means are different</v>
      </c>
      <c r="O72" s="278"/>
      <c r="P72" s="278"/>
    </row>
    <row r="75" spans="2:16" x14ac:dyDescent="0.3">
      <c r="J75" s="284" t="s">
        <v>244</v>
      </c>
      <c r="K75" s="284"/>
    </row>
    <row r="76" spans="2:16" x14ac:dyDescent="0.3">
      <c r="J76" s="18" t="s">
        <v>98</v>
      </c>
      <c r="K76" s="18">
        <v>0.05</v>
      </c>
    </row>
    <row r="77" spans="2:16" x14ac:dyDescent="0.3">
      <c r="J77" s="18" t="s">
        <v>245</v>
      </c>
      <c r="K77" s="18">
        <v>3</v>
      </c>
    </row>
    <row r="78" spans="2:16" x14ac:dyDescent="0.3">
      <c r="J78" s="92" t="s">
        <v>246</v>
      </c>
      <c r="K78" s="92">
        <f>SUM(K43:K45)-COUNT(K43:K45)</f>
        <v>170</v>
      </c>
    </row>
    <row r="79" spans="2:16" x14ac:dyDescent="0.3">
      <c r="J79" s="92" t="s">
        <v>247</v>
      </c>
      <c r="K79" s="92">
        <f>M51</f>
        <v>94153.952067923936</v>
      </c>
    </row>
    <row r="80" spans="2:16" x14ac:dyDescent="0.3">
      <c r="J80" s="93" t="s">
        <v>248</v>
      </c>
      <c r="K80" s="93">
        <v>3.31</v>
      </c>
    </row>
    <row r="82" spans="10:10" x14ac:dyDescent="0.3">
      <c r="J82" t="s">
        <v>280</v>
      </c>
    </row>
  </sheetData>
  <mergeCells count="16">
    <mergeCell ref="J55:S57"/>
    <mergeCell ref="J5:S6"/>
    <mergeCell ref="B6:D6"/>
    <mergeCell ref="F6:H6"/>
    <mergeCell ref="J31:S32"/>
    <mergeCell ref="J37:S38"/>
    <mergeCell ref="N70:P70"/>
    <mergeCell ref="N71:P71"/>
    <mergeCell ref="N72:P72"/>
    <mergeCell ref="J75:K75"/>
    <mergeCell ref="J62:J63"/>
    <mergeCell ref="J68:J69"/>
    <mergeCell ref="K68:K69"/>
    <mergeCell ref="L68:L69"/>
    <mergeCell ref="M68:M69"/>
    <mergeCell ref="N68:P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49D8-E4AA-4E85-82AC-5AA4697FF68E}">
  <dimension ref="A1:V54"/>
  <sheetViews>
    <sheetView showGridLines="0" workbookViewId="0">
      <selection activeCell="P21" sqref="P21"/>
    </sheetView>
  </sheetViews>
  <sheetFormatPr defaultRowHeight="14.4" x14ac:dyDescent="0.3"/>
  <cols>
    <col min="1" max="1" width="11.21875" customWidth="1"/>
    <col min="4" max="4" width="7.21875" bestFit="1" customWidth="1"/>
    <col min="5" max="5" width="10.21875" customWidth="1"/>
    <col min="7" max="7" width="20.77734375" bestFit="1" customWidth="1"/>
    <col min="10" max="10" width="5.21875" customWidth="1"/>
    <col min="11" max="11" width="8.88671875" customWidth="1"/>
    <col min="13" max="13" width="11.21875" customWidth="1"/>
    <col min="14" max="14" width="10.44140625" customWidth="1"/>
    <col min="15" max="15" width="8" customWidth="1"/>
    <col min="18" max="18" width="7.33203125" customWidth="1"/>
    <col min="21" max="21" width="8.88671875" customWidth="1"/>
  </cols>
  <sheetData>
    <row r="1" spans="1:22" x14ac:dyDescent="0.3">
      <c r="A1" s="12" t="s">
        <v>281</v>
      </c>
      <c r="B1" t="s">
        <v>282</v>
      </c>
    </row>
    <row r="2" spans="1:22" x14ac:dyDescent="0.3">
      <c r="A2" s="12"/>
    </row>
    <row r="3" spans="1:22" x14ac:dyDescent="0.3">
      <c r="B3" s="280" t="s">
        <v>284</v>
      </c>
      <c r="C3" s="280"/>
      <c r="D3" s="280"/>
      <c r="E3" s="280"/>
      <c r="F3" s="280"/>
      <c r="G3" s="280"/>
      <c r="H3" s="280"/>
      <c r="I3" s="280"/>
    </row>
    <row r="4" spans="1:22" ht="28.8" x14ac:dyDescent="0.3">
      <c r="A4" s="100" t="s">
        <v>283</v>
      </c>
      <c r="B4" s="48" t="s">
        <v>46</v>
      </c>
      <c r="C4" s="48" t="s">
        <v>42</v>
      </c>
      <c r="D4" s="48" t="s">
        <v>34</v>
      </c>
      <c r="E4" s="48" t="s">
        <v>21</v>
      </c>
      <c r="F4" s="48" t="s">
        <v>47</v>
      </c>
      <c r="G4" s="48" t="s">
        <v>39</v>
      </c>
      <c r="H4" s="48" t="s">
        <v>30</v>
      </c>
      <c r="I4" s="48" t="s">
        <v>88</v>
      </c>
    </row>
    <row r="5" spans="1:22" ht="15.6" x14ac:dyDescent="0.35">
      <c r="A5" s="99" t="s">
        <v>18</v>
      </c>
      <c r="B5" s="99">
        <f>COUNTIFS(CustomerDataSet_Original!Insurer,'Q5'!B$4,CustomerDataSet_Original!Approched_Insurer,'Q5'!$A$5)</f>
        <v>16</v>
      </c>
      <c r="C5" s="99">
        <f>COUNTIFS(CustomerDataSet_Original!Insurer,'Q5'!C$4,CustomerDataSet_Original!Approched_Insurer,'Q5'!$A$5)</f>
        <v>7</v>
      </c>
      <c r="D5" s="99">
        <f>COUNTIFS(CustomerDataSet_Original!Insurer,'Q5'!D$4,CustomerDataSet_Original!Approched_Insurer,'Q5'!$A$5)</f>
        <v>6</v>
      </c>
      <c r="E5" s="99">
        <f>COUNTIFS(CustomerDataSet_Original!Insurer,'Q5'!E$4,CustomerDataSet_Original!Approched_Insurer,'Q5'!$A$5)</f>
        <v>5</v>
      </c>
      <c r="F5" s="99">
        <f>COUNTIFS(CustomerDataSet_Original!Insurer,'Q5'!F$4,CustomerDataSet_Original!Approched_Insurer,'Q5'!$A$5)</f>
        <v>7</v>
      </c>
      <c r="G5" s="99">
        <f>COUNTIFS(CustomerDataSet_Original!Insurer,'Q5'!G$4,CustomerDataSet_Original!Approched_Insurer,'Q5'!$A$5)</f>
        <v>9</v>
      </c>
      <c r="H5" s="99">
        <f>COUNTIFS(CustomerDataSet_Original!Insurer,'Q5'!H$4,CustomerDataSet_Original!Approched_Insurer,'Q5'!$A$5)</f>
        <v>19</v>
      </c>
      <c r="I5" s="16">
        <f>SUM(B5:H5)</f>
        <v>69</v>
      </c>
      <c r="K5" s="65" t="s">
        <v>219</v>
      </c>
      <c r="L5" t="s">
        <v>301</v>
      </c>
      <c r="O5" t="s">
        <v>304</v>
      </c>
    </row>
    <row r="6" spans="1:22" ht="15.6" x14ac:dyDescent="0.35">
      <c r="A6" s="99" t="s">
        <v>43</v>
      </c>
      <c r="B6" s="99">
        <f>COUNTIFS(CustomerDataSet_Original!Insurer,'Q5'!B$4,CustomerDataSet_Original!Approched_Insurer,'Q5'!$A$6)</f>
        <v>67</v>
      </c>
      <c r="C6" s="99">
        <f>COUNTIFS(CustomerDataSet_Original!Insurer,'Q5'!C$4,CustomerDataSet_Original!Approched_Insurer,'Q5'!$A$6)</f>
        <v>43</v>
      </c>
      <c r="D6" s="99">
        <f>COUNTIFS(CustomerDataSet_Original!Insurer,'Q5'!D$4,CustomerDataSet_Original!Approched_Insurer,'Q5'!$A$6)</f>
        <v>40</v>
      </c>
      <c r="E6" s="99">
        <f>COUNTIFS(CustomerDataSet_Original!Insurer,'Q5'!E$4,CustomerDataSet_Original!Approched_Insurer,'Q5'!$A$6)</f>
        <v>42</v>
      </c>
      <c r="F6" s="99">
        <f>COUNTIFS(CustomerDataSet_Original!Insurer,'Q5'!F$4,CustomerDataSet_Original!Approched_Insurer,'Q5'!$A$6)</f>
        <v>44</v>
      </c>
      <c r="G6" s="99">
        <f>COUNTIFS(CustomerDataSet_Original!Insurer,'Q5'!G$4,CustomerDataSet_Original!Approched_Insurer,'Q5'!$A$6)</f>
        <v>49</v>
      </c>
      <c r="H6" s="99">
        <f>COUNTIFS(CustomerDataSet_Original!Insurer,'Q5'!H$4,CustomerDataSet_Original!Approched_Insurer,'Q5'!$A$6)</f>
        <v>46</v>
      </c>
      <c r="I6" s="16">
        <f>SUM(B6:H6)</f>
        <v>331</v>
      </c>
      <c r="K6" s="65" t="s">
        <v>220</v>
      </c>
      <c r="L6" t="s">
        <v>302</v>
      </c>
      <c r="O6" t="s">
        <v>303</v>
      </c>
    </row>
    <row r="7" spans="1:22" x14ac:dyDescent="0.3">
      <c r="A7" s="15" t="s">
        <v>88</v>
      </c>
      <c r="B7" s="15">
        <f>SUM(B5:B6)</f>
        <v>83</v>
      </c>
      <c r="C7" s="15">
        <f t="shared" ref="C7:H7" si="0">SUM(C5:C6)</f>
        <v>50</v>
      </c>
      <c r="D7" s="15">
        <f t="shared" si="0"/>
        <v>46</v>
      </c>
      <c r="E7" s="15">
        <f t="shared" si="0"/>
        <v>47</v>
      </c>
      <c r="F7" s="15">
        <f t="shared" si="0"/>
        <v>51</v>
      </c>
      <c r="G7" s="15">
        <f t="shared" si="0"/>
        <v>58</v>
      </c>
      <c r="H7" s="15">
        <f t="shared" si="0"/>
        <v>65</v>
      </c>
      <c r="I7" s="16">
        <f>SUM(B7:H7)</f>
        <v>400</v>
      </c>
    </row>
    <row r="8" spans="1:22" ht="14.4" customHeight="1" x14ac:dyDescent="0.3">
      <c r="A8" s="15" t="s">
        <v>124</v>
      </c>
      <c r="B8" s="74">
        <f t="shared" ref="B8:I8" si="1">B5/B7</f>
        <v>0.19277108433734941</v>
      </c>
      <c r="C8" s="74">
        <f t="shared" si="1"/>
        <v>0.14000000000000001</v>
      </c>
      <c r="D8" s="74">
        <f t="shared" si="1"/>
        <v>0.13043478260869565</v>
      </c>
      <c r="E8" s="74">
        <f t="shared" si="1"/>
        <v>0.10638297872340426</v>
      </c>
      <c r="F8" s="74">
        <f t="shared" si="1"/>
        <v>0.13725490196078433</v>
      </c>
      <c r="G8" s="74">
        <f t="shared" si="1"/>
        <v>0.15517241379310345</v>
      </c>
      <c r="H8" s="74">
        <f t="shared" si="1"/>
        <v>0.29230769230769232</v>
      </c>
      <c r="I8" s="101">
        <f t="shared" si="1"/>
        <v>0.17249999999999999</v>
      </c>
      <c r="K8" s="192" t="s">
        <v>305</v>
      </c>
      <c r="L8" s="192"/>
      <c r="M8" s="192"/>
      <c r="N8" s="192"/>
      <c r="O8" s="192"/>
      <c r="P8" s="192"/>
      <c r="Q8" s="192"/>
      <c r="R8" s="192"/>
      <c r="S8" s="192"/>
      <c r="T8" s="70"/>
      <c r="U8" s="70"/>
      <c r="V8" s="70"/>
    </row>
    <row r="9" spans="1:22" x14ac:dyDescent="0.3">
      <c r="A9" s="51"/>
      <c r="B9" s="102"/>
      <c r="C9" s="102"/>
      <c r="D9" s="102"/>
      <c r="E9" s="102"/>
      <c r="F9" s="102"/>
      <c r="G9" s="102"/>
      <c r="H9" s="102"/>
      <c r="I9" s="103"/>
      <c r="K9" s="70"/>
      <c r="L9" s="70"/>
      <c r="M9" s="70"/>
      <c r="N9" s="70"/>
      <c r="O9" s="70"/>
      <c r="P9" s="70"/>
      <c r="Q9" s="70"/>
      <c r="R9" s="70"/>
      <c r="S9" s="70"/>
      <c r="T9" s="70"/>
      <c r="U9" s="70"/>
      <c r="V9" s="70"/>
    </row>
    <row r="10" spans="1:22" x14ac:dyDescent="0.3">
      <c r="B10" s="280" t="s">
        <v>285</v>
      </c>
      <c r="C10" s="280"/>
      <c r="D10" s="280"/>
      <c r="E10" s="280"/>
      <c r="F10" s="280"/>
      <c r="G10" s="280"/>
      <c r="H10" s="280"/>
      <c r="I10" s="280"/>
      <c r="K10" t="s">
        <v>159</v>
      </c>
      <c r="R10" s="6"/>
    </row>
    <row r="11" spans="1:22" ht="28.8" x14ac:dyDescent="0.35">
      <c r="A11" s="100" t="s">
        <v>283</v>
      </c>
      <c r="B11" s="48" t="s">
        <v>46</v>
      </c>
      <c r="C11" s="48" t="s">
        <v>42</v>
      </c>
      <c r="D11" s="48" t="s">
        <v>34</v>
      </c>
      <c r="E11" s="48" t="s">
        <v>21</v>
      </c>
      <c r="F11" s="48" t="s">
        <v>47</v>
      </c>
      <c r="G11" s="48" t="s">
        <v>39</v>
      </c>
      <c r="H11" s="48" t="s">
        <v>30</v>
      </c>
      <c r="I11" s="48" t="s">
        <v>88</v>
      </c>
      <c r="K11" s="12" t="s">
        <v>306</v>
      </c>
      <c r="R11" s="6"/>
    </row>
    <row r="12" spans="1:22" ht="15" thickBot="1" x14ac:dyDescent="0.35">
      <c r="A12" s="99" t="s">
        <v>18</v>
      </c>
      <c r="B12" s="104">
        <f>B7*$I$8</f>
        <v>14.317499999999999</v>
      </c>
      <c r="C12" s="104">
        <f t="shared" ref="C12:H12" si="2">C7*$I$8</f>
        <v>8.625</v>
      </c>
      <c r="D12" s="104">
        <f t="shared" si="2"/>
        <v>7.9349999999999996</v>
      </c>
      <c r="E12" s="104">
        <f t="shared" si="2"/>
        <v>8.1074999999999999</v>
      </c>
      <c r="F12" s="104">
        <f t="shared" si="2"/>
        <v>8.7974999999999994</v>
      </c>
      <c r="G12" s="104">
        <f t="shared" si="2"/>
        <v>10.004999999999999</v>
      </c>
      <c r="H12" s="104">
        <f t="shared" si="2"/>
        <v>11.212499999999999</v>
      </c>
      <c r="I12" s="16">
        <f>SUM(B12:H12)</f>
        <v>69</v>
      </c>
      <c r="R12" s="6"/>
    </row>
    <row r="13" spans="1:22" ht="14.4" customHeight="1" x14ac:dyDescent="0.3">
      <c r="A13" s="99" t="s">
        <v>43</v>
      </c>
      <c r="B13" s="104">
        <f>B7*(1-$I$8)</f>
        <v>68.682500000000005</v>
      </c>
      <c r="C13" s="104">
        <f t="shared" ref="C13:H13" si="3">C7*(1-$I$8)</f>
        <v>41.375</v>
      </c>
      <c r="D13" s="104">
        <f t="shared" si="3"/>
        <v>38.064999999999998</v>
      </c>
      <c r="E13" s="104">
        <f t="shared" si="3"/>
        <v>38.892499999999998</v>
      </c>
      <c r="F13" s="104">
        <f t="shared" si="3"/>
        <v>42.202500000000001</v>
      </c>
      <c r="G13" s="104">
        <f t="shared" si="3"/>
        <v>47.994999999999997</v>
      </c>
      <c r="H13" s="104">
        <f t="shared" si="3"/>
        <v>53.787500000000001</v>
      </c>
      <c r="I13" s="16">
        <f>SUM(B13:H13)</f>
        <v>331</v>
      </c>
      <c r="K13" s="193" t="s">
        <v>414</v>
      </c>
      <c r="L13" s="194"/>
      <c r="M13" s="194"/>
      <c r="N13" s="194"/>
      <c r="O13" s="194"/>
      <c r="P13" s="194"/>
      <c r="Q13" s="194"/>
      <c r="R13" s="194"/>
      <c r="S13" s="194"/>
      <c r="T13" s="194"/>
      <c r="U13" s="195"/>
    </row>
    <row r="14" spans="1:22" x14ac:dyDescent="0.3">
      <c r="A14" s="15" t="s">
        <v>88</v>
      </c>
      <c r="B14" s="15">
        <f>SUM(B12:B13)</f>
        <v>83</v>
      </c>
      <c r="C14" s="15">
        <f t="shared" ref="C14" si="4">SUM(C12:C13)</f>
        <v>50</v>
      </c>
      <c r="D14" s="15">
        <f t="shared" ref="D14" si="5">SUM(D12:D13)</f>
        <v>46</v>
      </c>
      <c r="E14" s="15">
        <f t="shared" ref="E14" si="6">SUM(E12:E13)</f>
        <v>47</v>
      </c>
      <c r="F14" s="15">
        <f t="shared" ref="F14" si="7">SUM(F12:F13)</f>
        <v>51</v>
      </c>
      <c r="G14" s="15">
        <f t="shared" ref="G14" si="8">SUM(G12:G13)</f>
        <v>58</v>
      </c>
      <c r="H14" s="15">
        <f t="shared" ref="H14" si="9">SUM(H12:H13)</f>
        <v>65</v>
      </c>
      <c r="I14" s="15">
        <f>SUM(B14:H14)</f>
        <v>400</v>
      </c>
      <c r="K14" s="196"/>
      <c r="L14" s="197"/>
      <c r="M14" s="197"/>
      <c r="N14" s="197"/>
      <c r="O14" s="197"/>
      <c r="P14" s="197"/>
      <c r="Q14" s="197"/>
      <c r="R14" s="197"/>
      <c r="S14" s="197"/>
      <c r="T14" s="197"/>
      <c r="U14" s="198"/>
    </row>
    <row r="15" spans="1:22" x14ac:dyDescent="0.3">
      <c r="A15" s="51"/>
      <c r="C15" s="51"/>
      <c r="D15" s="51"/>
      <c r="E15" s="51"/>
      <c r="F15" s="51"/>
      <c r="G15" s="51"/>
      <c r="H15" s="51"/>
      <c r="I15" s="51"/>
      <c r="K15" s="196"/>
      <c r="L15" s="197"/>
      <c r="M15" s="197"/>
      <c r="N15" s="197"/>
      <c r="O15" s="197"/>
      <c r="P15" s="197"/>
      <c r="Q15" s="197"/>
      <c r="R15" s="197"/>
      <c r="S15" s="197"/>
      <c r="T15" s="197"/>
      <c r="U15" s="198"/>
    </row>
    <row r="16" spans="1:22" ht="16.8" thickBot="1" x14ac:dyDescent="0.35">
      <c r="A16" s="105" t="s">
        <v>291</v>
      </c>
      <c r="K16" s="199"/>
      <c r="L16" s="200"/>
      <c r="M16" s="200"/>
      <c r="N16" s="200"/>
      <c r="O16" s="200"/>
      <c r="P16" s="200"/>
      <c r="Q16" s="200"/>
      <c r="R16" s="200"/>
      <c r="S16" s="200"/>
      <c r="T16" s="200"/>
      <c r="U16" s="201"/>
    </row>
    <row r="17" spans="1:18" ht="16.8" x14ac:dyDescent="0.35">
      <c r="A17" s="17" t="s">
        <v>286</v>
      </c>
      <c r="B17" s="17" t="s">
        <v>287</v>
      </c>
      <c r="C17" s="17" t="s">
        <v>288</v>
      </c>
      <c r="D17" s="17" t="s">
        <v>289</v>
      </c>
      <c r="E17" s="17" t="s">
        <v>290</v>
      </c>
      <c r="G17" s="293" t="s">
        <v>293</v>
      </c>
      <c r="H17" s="293"/>
      <c r="K17" s="12" t="s">
        <v>307</v>
      </c>
    </row>
    <row r="18" spans="1:18" x14ac:dyDescent="0.3">
      <c r="A18" s="16">
        <v>16</v>
      </c>
      <c r="B18" s="21">
        <v>14.317499999999999</v>
      </c>
      <c r="C18" s="21">
        <f>A18-B18</f>
        <v>1.682500000000001</v>
      </c>
      <c r="D18" s="21">
        <f>C18^2</f>
        <v>2.8308062500000033</v>
      </c>
      <c r="E18" s="21">
        <f>D18/B18</f>
        <v>0.1977165182469009</v>
      </c>
      <c r="G18" s="108" t="s">
        <v>294</v>
      </c>
      <c r="H18" s="109">
        <v>0.05</v>
      </c>
      <c r="K18" t="s">
        <v>308</v>
      </c>
    </row>
    <row r="19" spans="1:18" x14ac:dyDescent="0.3">
      <c r="A19" s="16">
        <v>7</v>
      </c>
      <c r="B19" s="21">
        <v>8.625</v>
      </c>
      <c r="C19" s="21">
        <f t="shared" ref="C19:C31" si="10">A19-B19</f>
        <v>-1.625</v>
      </c>
      <c r="D19" s="21">
        <f t="shared" ref="D19:D31" si="11">C19^2</f>
        <v>2.640625</v>
      </c>
      <c r="E19" s="21">
        <f t="shared" ref="E19:E31" si="12">D19/B19</f>
        <v>0.3061594202898551</v>
      </c>
      <c r="G19" s="19" t="s">
        <v>295</v>
      </c>
      <c r="H19" s="20">
        <v>2</v>
      </c>
    </row>
    <row r="20" spans="1:18" x14ac:dyDescent="0.3">
      <c r="A20" s="16">
        <v>6</v>
      </c>
      <c r="B20" s="21">
        <v>7.9349999999999996</v>
      </c>
      <c r="C20" s="21">
        <f t="shared" si="10"/>
        <v>-1.9349999999999996</v>
      </c>
      <c r="D20" s="21">
        <f t="shared" si="11"/>
        <v>3.7442249999999984</v>
      </c>
      <c r="E20" s="21">
        <f t="shared" si="12"/>
        <v>0.47186200378071813</v>
      </c>
      <c r="G20" s="19" t="s">
        <v>296</v>
      </c>
      <c r="H20" s="20">
        <v>7</v>
      </c>
      <c r="K20" s="294" t="s">
        <v>294</v>
      </c>
      <c r="L20" s="294"/>
      <c r="M20" s="294"/>
      <c r="N20" s="19">
        <f>H18</f>
        <v>0.05</v>
      </c>
    </row>
    <row r="21" spans="1:18" x14ac:dyDescent="0.3">
      <c r="A21" s="16">
        <v>5</v>
      </c>
      <c r="B21" s="21">
        <v>8.1074999999999999</v>
      </c>
      <c r="C21" s="21">
        <f t="shared" si="10"/>
        <v>-3.1074999999999999</v>
      </c>
      <c r="D21" s="21">
        <f t="shared" si="11"/>
        <v>9.6565562499999995</v>
      </c>
      <c r="E21" s="21">
        <f t="shared" si="12"/>
        <v>1.1910646006783843</v>
      </c>
      <c r="G21" s="19" t="s">
        <v>108</v>
      </c>
      <c r="H21" s="107">
        <f>(H19-1)*(H20-1)</f>
        <v>6</v>
      </c>
      <c r="K21" s="294" t="s">
        <v>309</v>
      </c>
      <c r="L21" s="294"/>
      <c r="M21" s="294"/>
      <c r="N21" s="112">
        <f>SQRT(H24)</f>
        <v>3.5484626592010207</v>
      </c>
    </row>
    <row r="22" spans="1:18" x14ac:dyDescent="0.3">
      <c r="A22" s="16">
        <v>7</v>
      </c>
      <c r="B22" s="21">
        <v>8.7974999999999994</v>
      </c>
      <c r="C22" s="21">
        <f t="shared" si="10"/>
        <v>-1.7974999999999994</v>
      </c>
      <c r="D22" s="21">
        <f t="shared" si="11"/>
        <v>3.2310062499999979</v>
      </c>
      <c r="E22" s="21">
        <f t="shared" si="12"/>
        <v>0.36726413753907339</v>
      </c>
    </row>
    <row r="23" spans="1:18" ht="29.4" x14ac:dyDescent="0.35">
      <c r="A23" s="16">
        <v>9</v>
      </c>
      <c r="B23" s="21">
        <v>10.004999999999999</v>
      </c>
      <c r="C23" s="21">
        <f t="shared" si="10"/>
        <v>-1.004999999999999</v>
      </c>
      <c r="D23" s="21">
        <f t="shared" si="11"/>
        <v>1.010024999999998</v>
      </c>
      <c r="E23" s="21">
        <f t="shared" si="12"/>
        <v>0.1009520239880058</v>
      </c>
      <c r="G23" s="293" t="s">
        <v>297</v>
      </c>
      <c r="H23" s="293"/>
      <c r="K23" s="293" t="s">
        <v>310</v>
      </c>
      <c r="L23" s="293"/>
      <c r="M23" s="293"/>
      <c r="N23" s="293"/>
      <c r="O23" s="117" t="s">
        <v>315</v>
      </c>
    </row>
    <row r="24" spans="1:18" x14ac:dyDescent="0.3">
      <c r="A24" s="16">
        <v>19</v>
      </c>
      <c r="B24" s="21">
        <v>11.212499999999999</v>
      </c>
      <c r="C24" s="21">
        <f t="shared" si="10"/>
        <v>7.7875000000000014</v>
      </c>
      <c r="D24" s="21">
        <f t="shared" si="11"/>
        <v>60.645156250000021</v>
      </c>
      <c r="E24" s="21">
        <f t="shared" si="12"/>
        <v>5.4087095875139379</v>
      </c>
      <c r="G24" s="108" t="s">
        <v>298</v>
      </c>
      <c r="H24" s="110">
        <f>CHIINV(H18, H21)</f>
        <v>12.591587243743978</v>
      </c>
      <c r="K24" s="292" t="s">
        <v>46</v>
      </c>
      <c r="L24" s="292"/>
      <c r="M24" s="292"/>
      <c r="N24" s="107">
        <f>B5/B7</f>
        <v>0.19277108433734941</v>
      </c>
      <c r="O24" s="16">
        <v>83</v>
      </c>
    </row>
    <row r="25" spans="1:18" x14ac:dyDescent="0.3">
      <c r="A25" s="16">
        <v>67</v>
      </c>
      <c r="B25" s="21">
        <v>68.682500000000005</v>
      </c>
      <c r="C25" s="21">
        <f t="shared" si="10"/>
        <v>-1.6825000000000045</v>
      </c>
      <c r="D25" s="21">
        <f t="shared" si="11"/>
        <v>2.8308062500000153</v>
      </c>
      <c r="E25" s="21">
        <f t="shared" si="12"/>
        <v>4.1215830087722713E-2</v>
      </c>
      <c r="G25" s="108" t="s">
        <v>299</v>
      </c>
      <c r="H25" s="110">
        <f>E32</f>
        <v>9.7205175734584603</v>
      </c>
      <c r="K25" s="292" t="s">
        <v>42</v>
      </c>
      <c r="L25" s="292"/>
      <c r="M25" s="292"/>
      <c r="N25" s="107">
        <f>C5/C7</f>
        <v>0.14000000000000001</v>
      </c>
      <c r="O25" s="16">
        <v>50</v>
      </c>
    </row>
    <row r="26" spans="1:18" x14ac:dyDescent="0.3">
      <c r="A26" s="16">
        <v>43</v>
      </c>
      <c r="B26" s="21">
        <v>41.375</v>
      </c>
      <c r="C26" s="21">
        <f t="shared" si="10"/>
        <v>1.625</v>
      </c>
      <c r="D26" s="21">
        <f t="shared" si="11"/>
        <v>2.640625</v>
      </c>
      <c r="E26" s="21">
        <f t="shared" si="12"/>
        <v>6.3821752265861023E-2</v>
      </c>
      <c r="G26" s="111" t="s">
        <v>300</v>
      </c>
      <c r="H26" s="110">
        <f>CHIDIST(H25, H21)</f>
        <v>0.13692581488308217</v>
      </c>
      <c r="K26" s="292" t="s">
        <v>34</v>
      </c>
      <c r="L26" s="292"/>
      <c r="M26" s="292"/>
      <c r="N26" s="107">
        <f>D5/D7</f>
        <v>0.13043478260869565</v>
      </c>
      <c r="O26" s="16">
        <v>46</v>
      </c>
    </row>
    <row r="27" spans="1:18" x14ac:dyDescent="0.3">
      <c r="A27" s="16">
        <v>40</v>
      </c>
      <c r="B27" s="21">
        <v>38.064999999999998</v>
      </c>
      <c r="C27" s="21">
        <f t="shared" si="10"/>
        <v>1.9350000000000023</v>
      </c>
      <c r="D27" s="21">
        <f t="shared" si="11"/>
        <v>3.744225000000009</v>
      </c>
      <c r="E27" s="21">
        <f t="shared" si="12"/>
        <v>9.8363982661237595E-2</v>
      </c>
      <c r="G27" s="288" t="str">
        <f>IF(H26&lt;H18, "Reject the null hypothesis", "Do not reject the null hypothesis")</f>
        <v>Do not reject the null hypothesis</v>
      </c>
      <c r="H27" s="290"/>
      <c r="K27" s="292" t="s">
        <v>21</v>
      </c>
      <c r="L27" s="292"/>
      <c r="M27" s="292"/>
      <c r="N27" s="21">
        <f>E5/E7</f>
        <v>0.10638297872340426</v>
      </c>
      <c r="O27" s="16">
        <v>47</v>
      </c>
    </row>
    <row r="28" spans="1:18" x14ac:dyDescent="0.3">
      <c r="A28" s="16">
        <v>42</v>
      </c>
      <c r="B28" s="21">
        <v>38.892499999999998</v>
      </c>
      <c r="C28" s="21">
        <f t="shared" si="10"/>
        <v>3.1075000000000017</v>
      </c>
      <c r="D28" s="21">
        <f t="shared" si="11"/>
        <v>9.6565562500000102</v>
      </c>
      <c r="E28" s="21">
        <f t="shared" si="12"/>
        <v>0.2482883910779716</v>
      </c>
      <c r="K28" s="292" t="s">
        <v>47</v>
      </c>
      <c r="L28" s="292"/>
      <c r="M28" s="292"/>
      <c r="N28" s="21">
        <f>F5/F7</f>
        <v>0.13725490196078433</v>
      </c>
      <c r="O28" s="16">
        <v>51</v>
      </c>
    </row>
    <row r="29" spans="1:18" x14ac:dyDescent="0.3">
      <c r="A29" s="16">
        <v>44</v>
      </c>
      <c r="B29" s="21">
        <v>42.202500000000001</v>
      </c>
      <c r="C29" s="21">
        <f t="shared" si="10"/>
        <v>1.7974999999999994</v>
      </c>
      <c r="D29" s="21">
        <f t="shared" si="11"/>
        <v>3.2310062499999979</v>
      </c>
      <c r="E29" s="21">
        <f t="shared" si="12"/>
        <v>7.6559593625969979E-2</v>
      </c>
      <c r="K29" s="292" t="s">
        <v>39</v>
      </c>
      <c r="L29" s="292"/>
      <c r="M29" s="292"/>
      <c r="N29" s="21">
        <f>G5/G7</f>
        <v>0.15517241379310345</v>
      </c>
      <c r="O29" s="16">
        <v>58</v>
      </c>
    </row>
    <row r="30" spans="1:18" x14ac:dyDescent="0.3">
      <c r="A30" s="16">
        <v>49</v>
      </c>
      <c r="B30" s="21">
        <v>47.994999999999997</v>
      </c>
      <c r="C30" s="21">
        <f t="shared" si="10"/>
        <v>1.0050000000000026</v>
      </c>
      <c r="D30" s="21">
        <f t="shared" si="11"/>
        <v>1.0100250000000051</v>
      </c>
      <c r="E30" s="21">
        <f t="shared" si="12"/>
        <v>2.1044379622877491E-2</v>
      </c>
      <c r="K30" s="292" t="s">
        <v>30</v>
      </c>
      <c r="L30" s="292"/>
      <c r="M30" s="292"/>
      <c r="N30" s="21">
        <f>H5/H7</f>
        <v>0.29230769230769232</v>
      </c>
      <c r="O30" s="16">
        <v>65</v>
      </c>
    </row>
    <row r="31" spans="1:18" x14ac:dyDescent="0.3">
      <c r="A31" s="16">
        <v>46</v>
      </c>
      <c r="B31" s="21">
        <v>53.787500000000001</v>
      </c>
      <c r="C31" s="21">
        <f t="shared" si="10"/>
        <v>-7.7875000000000014</v>
      </c>
      <c r="D31" s="21">
        <f t="shared" si="11"/>
        <v>60.645156250000021</v>
      </c>
      <c r="E31" s="21">
        <f t="shared" si="12"/>
        <v>1.1274953520799447</v>
      </c>
    </row>
    <row r="32" spans="1:18" x14ac:dyDescent="0.3">
      <c r="A32" s="284" t="s">
        <v>292</v>
      </c>
      <c r="B32" s="284"/>
      <c r="C32" s="284"/>
      <c r="D32" s="284"/>
      <c r="E32" s="106">
        <f>SUM(E18:E31)</f>
        <v>9.7205175734584603</v>
      </c>
      <c r="K32" s="288" t="s">
        <v>311</v>
      </c>
      <c r="L32" s="289"/>
      <c r="M32" s="289"/>
      <c r="N32" s="289"/>
      <c r="O32" s="289"/>
      <c r="P32" s="289"/>
      <c r="Q32" s="289"/>
      <c r="R32" s="290"/>
    </row>
    <row r="33" spans="11:18" ht="28.8" x14ac:dyDescent="0.3">
      <c r="K33" s="22" t="s">
        <v>317</v>
      </c>
      <c r="L33" s="113" t="s">
        <v>313</v>
      </c>
      <c r="M33" s="113" t="s">
        <v>314</v>
      </c>
      <c r="N33" s="114" t="s">
        <v>312</v>
      </c>
      <c r="O33" s="119" t="s">
        <v>252</v>
      </c>
      <c r="P33" s="291" t="s">
        <v>316</v>
      </c>
      <c r="Q33" s="291"/>
      <c r="R33" s="291"/>
    </row>
    <row r="34" spans="11:18" x14ac:dyDescent="0.3">
      <c r="K34" s="16">
        <v>1</v>
      </c>
      <c r="L34" s="18" t="s">
        <v>46</v>
      </c>
      <c r="M34" s="115" t="s">
        <v>42</v>
      </c>
      <c r="N34" s="116">
        <f>ABS(VLOOKUP(L34,$K$24:$N$30,4,0)-VLOOKUP(M34,$K$24:$N$30,4,0))</f>
        <v>5.2771084337349394E-2</v>
      </c>
      <c r="O34" s="118">
        <f>(SQRT((((VLOOKUP(L34,$K$24:$N$30,4,0)*(1-VLOOKUP(L34,$K$24:$N$30,4,0))/VLOOKUP(L34,$K$24:$O$30,5,0))+(((VLOOKUP(M34,$K$24:$N$30,4,0)*(1-VLOOKUP(M34,$K$24:$N$30,4,0))/VLOOKUP(M34,$K$24:$O$30,5,0))))))))*$H$24</f>
        <v>0.82403487733302905</v>
      </c>
      <c r="P34" s="287" t="str">
        <f>IF(N34&gt;O34,"Significantly different","No siginificant difference")</f>
        <v>No siginificant difference</v>
      </c>
      <c r="Q34" s="287"/>
      <c r="R34" s="287"/>
    </row>
    <row r="35" spans="11:18" x14ac:dyDescent="0.3">
      <c r="K35" s="16">
        <v>2</v>
      </c>
      <c r="L35" s="18" t="s">
        <v>46</v>
      </c>
      <c r="M35" s="115" t="s">
        <v>34</v>
      </c>
      <c r="N35" s="116">
        <f t="shared" ref="N35:N54" si="13">ABS(VLOOKUP(L35,$K$24:$N$30,4,0)-VLOOKUP(M35,$K$24:$N$30,4,0))</f>
        <v>6.2336301728653759E-2</v>
      </c>
      <c r="O35" s="118">
        <f t="shared" ref="O35:O54" si="14">(SQRT((((VLOOKUP(L35,$K$24:$N$30,4,0)*(1-VLOOKUP(L35,$K$24:$N$30,4,0))/VLOOKUP(L35,$K$24:$O$30,5,0))+(((VLOOKUP(M35,$K$24:$N$30,4,0)*(1-VLOOKUP(M35,$K$24:$N$30,4,0))/VLOOKUP(M35,$K$24:$O$30,5,0))))))))*$H$24</f>
        <v>0.82956582778792298</v>
      </c>
      <c r="P35" s="287" t="str">
        <f t="shared" ref="P35:P54" si="15">IF(N35&gt;O35,"Significantly different","No siginificant difference")</f>
        <v>No siginificant difference</v>
      </c>
      <c r="Q35" s="287"/>
      <c r="R35" s="287"/>
    </row>
    <row r="36" spans="11:18" x14ac:dyDescent="0.3">
      <c r="K36" s="16">
        <v>3</v>
      </c>
      <c r="L36" s="18" t="s">
        <v>46</v>
      </c>
      <c r="M36" s="115" t="s">
        <v>21</v>
      </c>
      <c r="N36" s="116">
        <f t="shared" si="13"/>
        <v>8.6388105613945151E-2</v>
      </c>
      <c r="O36" s="118">
        <f t="shared" si="14"/>
        <v>0.78609201713889176</v>
      </c>
      <c r="P36" s="287" t="str">
        <f t="shared" si="15"/>
        <v>No siginificant difference</v>
      </c>
      <c r="Q36" s="287"/>
      <c r="R36" s="287"/>
    </row>
    <row r="37" spans="11:18" x14ac:dyDescent="0.3">
      <c r="K37" s="16">
        <v>4</v>
      </c>
      <c r="L37" s="18" t="s">
        <v>46</v>
      </c>
      <c r="M37" s="115" t="s">
        <v>47</v>
      </c>
      <c r="N37" s="116">
        <f t="shared" si="13"/>
        <v>5.5516182376565082E-2</v>
      </c>
      <c r="O37" s="118">
        <f t="shared" si="14"/>
        <v>0.8157080809102869</v>
      </c>
      <c r="P37" s="287" t="str">
        <f t="shared" si="15"/>
        <v>No siginificant difference</v>
      </c>
      <c r="Q37" s="287"/>
      <c r="R37" s="287"/>
    </row>
    <row r="38" spans="11:18" x14ac:dyDescent="0.3">
      <c r="K38" s="16">
        <v>5</v>
      </c>
      <c r="L38" s="18" t="s">
        <v>46</v>
      </c>
      <c r="M38" s="115" t="s">
        <v>39</v>
      </c>
      <c r="N38" s="116">
        <f t="shared" si="13"/>
        <v>3.7598670544245955E-2</v>
      </c>
      <c r="O38" s="118">
        <f t="shared" si="14"/>
        <v>0.80969528805862234</v>
      </c>
      <c r="P38" s="287" t="str">
        <f t="shared" si="15"/>
        <v>No siginificant difference</v>
      </c>
      <c r="Q38" s="287"/>
      <c r="R38" s="287"/>
    </row>
    <row r="39" spans="11:18" x14ac:dyDescent="0.3">
      <c r="K39" s="16">
        <v>6</v>
      </c>
      <c r="L39" s="18" t="s">
        <v>46</v>
      </c>
      <c r="M39" s="115" t="s">
        <v>30</v>
      </c>
      <c r="N39" s="116">
        <f t="shared" si="13"/>
        <v>9.9536607970342916E-2</v>
      </c>
      <c r="O39" s="118">
        <f t="shared" si="14"/>
        <v>0.89545094037499084</v>
      </c>
      <c r="P39" s="287" t="str">
        <f t="shared" si="15"/>
        <v>No siginificant difference</v>
      </c>
      <c r="Q39" s="287"/>
      <c r="R39" s="287"/>
    </row>
    <row r="40" spans="11:18" x14ac:dyDescent="0.3">
      <c r="K40" s="16">
        <v>7</v>
      </c>
      <c r="L40" s="18" t="s">
        <v>42</v>
      </c>
      <c r="M40" s="18" t="s">
        <v>34</v>
      </c>
      <c r="N40" s="116">
        <f t="shared" si="13"/>
        <v>9.5652173913043648E-3</v>
      </c>
      <c r="O40" s="118">
        <f t="shared" si="14"/>
        <v>0.87904123077475038</v>
      </c>
      <c r="P40" s="287" t="str">
        <f t="shared" si="15"/>
        <v>No siginificant difference</v>
      </c>
      <c r="Q40" s="287"/>
      <c r="R40" s="287"/>
    </row>
    <row r="41" spans="11:18" x14ac:dyDescent="0.3">
      <c r="K41" s="16">
        <v>8</v>
      </c>
      <c r="L41" s="18" t="s">
        <v>42</v>
      </c>
      <c r="M41" s="18" t="s">
        <v>21</v>
      </c>
      <c r="N41" s="116">
        <f t="shared" si="13"/>
        <v>3.3617021276595757E-2</v>
      </c>
      <c r="O41" s="118">
        <f t="shared" si="14"/>
        <v>0.8381376272295723</v>
      </c>
      <c r="P41" s="287" t="str">
        <f t="shared" si="15"/>
        <v>No siginificant difference</v>
      </c>
      <c r="Q41" s="287"/>
      <c r="R41" s="287"/>
    </row>
    <row r="42" spans="11:18" x14ac:dyDescent="0.3">
      <c r="K42" s="16">
        <v>9</v>
      </c>
      <c r="L42" s="18" t="s">
        <v>42</v>
      </c>
      <c r="M42" s="18" t="s">
        <v>47</v>
      </c>
      <c r="N42" s="116">
        <f t="shared" si="13"/>
        <v>2.7450980392156876E-3</v>
      </c>
      <c r="O42" s="118">
        <f t="shared" si="14"/>
        <v>0.86597557473110609</v>
      </c>
      <c r="P42" s="287" t="str">
        <f t="shared" si="15"/>
        <v>No siginificant difference</v>
      </c>
      <c r="Q42" s="287"/>
      <c r="R42" s="287"/>
    </row>
    <row r="43" spans="11:18" x14ac:dyDescent="0.3">
      <c r="K43" s="16">
        <v>10</v>
      </c>
      <c r="L43" s="18" t="s">
        <v>42</v>
      </c>
      <c r="M43" s="18" t="s">
        <v>39</v>
      </c>
      <c r="N43" s="116">
        <f t="shared" si="13"/>
        <v>1.517241379310344E-2</v>
      </c>
      <c r="O43" s="118">
        <f t="shared" si="14"/>
        <v>0.8603141764918566</v>
      </c>
      <c r="P43" s="287" t="str">
        <f t="shared" si="15"/>
        <v>No siginificant difference</v>
      </c>
      <c r="Q43" s="287"/>
      <c r="R43" s="287"/>
    </row>
    <row r="44" spans="11:18" x14ac:dyDescent="0.3">
      <c r="K44" s="16">
        <v>11</v>
      </c>
      <c r="L44" s="18" t="s">
        <v>42</v>
      </c>
      <c r="M44" s="18" t="s">
        <v>30</v>
      </c>
      <c r="N44" s="116">
        <f t="shared" si="13"/>
        <v>0.15230769230769231</v>
      </c>
      <c r="O44" s="118">
        <f t="shared" si="14"/>
        <v>0.94147034440123567</v>
      </c>
      <c r="P44" s="287" t="str">
        <f t="shared" si="15"/>
        <v>No siginificant difference</v>
      </c>
      <c r="Q44" s="287"/>
      <c r="R44" s="287"/>
    </row>
    <row r="45" spans="11:18" x14ac:dyDescent="0.3">
      <c r="K45" s="16">
        <v>12</v>
      </c>
      <c r="L45" s="18" t="s">
        <v>34</v>
      </c>
      <c r="M45" s="18" t="s">
        <v>21</v>
      </c>
      <c r="N45" s="116">
        <f t="shared" si="13"/>
        <v>2.4051803885291392E-2</v>
      </c>
      <c r="O45" s="118">
        <f t="shared" si="14"/>
        <v>0.84357611734224636</v>
      </c>
      <c r="P45" s="287" t="str">
        <f t="shared" si="15"/>
        <v>No siginificant difference</v>
      </c>
      <c r="Q45" s="287"/>
      <c r="R45" s="287"/>
    </row>
    <row r="46" spans="11:18" x14ac:dyDescent="0.3">
      <c r="K46" s="16">
        <v>13</v>
      </c>
      <c r="L46" s="18" t="s">
        <v>34</v>
      </c>
      <c r="M46" s="18" t="s">
        <v>47</v>
      </c>
      <c r="N46" s="116">
        <f t="shared" si="13"/>
        <v>6.8201193520886771E-3</v>
      </c>
      <c r="O46" s="118">
        <f t="shared" si="14"/>
        <v>0.87124031105262278</v>
      </c>
      <c r="P46" s="287" t="str">
        <f t="shared" si="15"/>
        <v>No siginificant difference</v>
      </c>
      <c r="Q46" s="287"/>
      <c r="R46" s="287"/>
    </row>
    <row r="47" spans="11:18" x14ac:dyDescent="0.3">
      <c r="K47" s="16">
        <v>14</v>
      </c>
      <c r="L47" s="18" t="s">
        <v>34</v>
      </c>
      <c r="M47" s="18" t="s">
        <v>39</v>
      </c>
      <c r="N47" s="116">
        <f t="shared" si="13"/>
        <v>2.4737631184407805E-2</v>
      </c>
      <c r="O47" s="118">
        <f t="shared" si="14"/>
        <v>0.86561334661906808</v>
      </c>
      <c r="P47" s="287" t="str">
        <f t="shared" si="15"/>
        <v>No siginificant difference</v>
      </c>
      <c r="Q47" s="287"/>
      <c r="R47" s="287"/>
    </row>
    <row r="48" spans="11:18" x14ac:dyDescent="0.3">
      <c r="K48" s="16">
        <v>15</v>
      </c>
      <c r="L48" s="18" t="s">
        <v>34</v>
      </c>
      <c r="M48" s="18" t="s">
        <v>30</v>
      </c>
      <c r="N48" s="116">
        <f t="shared" si="13"/>
        <v>0.16187290969899668</v>
      </c>
      <c r="O48" s="118">
        <f t="shared" si="14"/>
        <v>0.9463151657662382</v>
      </c>
      <c r="P48" s="287" t="str">
        <f t="shared" si="15"/>
        <v>No siginificant difference</v>
      </c>
      <c r="Q48" s="287"/>
      <c r="R48" s="287"/>
    </row>
    <row r="49" spans="11:18" x14ac:dyDescent="0.3">
      <c r="K49" s="16">
        <v>16</v>
      </c>
      <c r="L49" s="18" t="s">
        <v>21</v>
      </c>
      <c r="M49" s="18" t="s">
        <v>47</v>
      </c>
      <c r="N49" s="116">
        <f t="shared" si="13"/>
        <v>3.0871923237380069E-2</v>
      </c>
      <c r="O49" s="118">
        <f t="shared" si="14"/>
        <v>0.82995233379941813</v>
      </c>
      <c r="P49" s="287" t="str">
        <f t="shared" si="15"/>
        <v>No siginificant difference</v>
      </c>
      <c r="Q49" s="287"/>
      <c r="R49" s="287"/>
    </row>
    <row r="50" spans="11:18" x14ac:dyDescent="0.3">
      <c r="K50" s="16">
        <v>17</v>
      </c>
      <c r="L50" s="18" t="s">
        <v>21</v>
      </c>
      <c r="M50" s="18" t="s">
        <v>39</v>
      </c>
      <c r="N50" s="116">
        <f t="shared" si="13"/>
        <v>4.8789435069699197E-2</v>
      </c>
      <c r="O50" s="118">
        <f t="shared" si="14"/>
        <v>0.82404348345284106</v>
      </c>
      <c r="P50" s="287" t="str">
        <f t="shared" si="15"/>
        <v>No siginificant difference</v>
      </c>
      <c r="Q50" s="287"/>
      <c r="R50" s="287"/>
    </row>
    <row r="51" spans="11:18" x14ac:dyDescent="0.3">
      <c r="K51" s="16">
        <v>18</v>
      </c>
      <c r="L51" s="18" t="s">
        <v>21</v>
      </c>
      <c r="M51" s="18" t="s">
        <v>30</v>
      </c>
      <c r="N51" s="116">
        <f t="shared" si="13"/>
        <v>0.18592471358428808</v>
      </c>
      <c r="O51" s="118">
        <f t="shared" si="14"/>
        <v>0.90844569993765334</v>
      </c>
      <c r="P51" s="287" t="str">
        <f t="shared" si="15"/>
        <v>No siginificant difference</v>
      </c>
      <c r="Q51" s="287"/>
      <c r="R51" s="287"/>
    </row>
    <row r="52" spans="11:18" x14ac:dyDescent="0.3">
      <c r="K52" s="16">
        <v>19</v>
      </c>
      <c r="L52" s="18" t="s">
        <v>47</v>
      </c>
      <c r="M52" s="18" t="s">
        <v>39</v>
      </c>
      <c r="N52" s="116">
        <f t="shared" si="13"/>
        <v>1.7917511832319127E-2</v>
      </c>
      <c r="O52" s="118">
        <f t="shared" si="14"/>
        <v>0.85234187769576619</v>
      </c>
      <c r="P52" s="287" t="str">
        <f t="shared" si="15"/>
        <v>No siginificant difference</v>
      </c>
      <c r="Q52" s="287"/>
      <c r="R52" s="287"/>
    </row>
    <row r="53" spans="11:18" x14ac:dyDescent="0.3">
      <c r="K53" s="16">
        <v>20</v>
      </c>
      <c r="L53" s="18" t="s">
        <v>47</v>
      </c>
      <c r="M53" s="18" t="s">
        <v>30</v>
      </c>
      <c r="N53" s="116">
        <f t="shared" si="13"/>
        <v>0.155052790346908</v>
      </c>
      <c r="O53" s="118">
        <f t="shared" si="14"/>
        <v>0.93419088177313336</v>
      </c>
      <c r="P53" s="287" t="str">
        <f t="shared" si="15"/>
        <v>No siginificant difference</v>
      </c>
      <c r="Q53" s="287"/>
      <c r="R53" s="287"/>
    </row>
    <row r="54" spans="11:18" x14ac:dyDescent="0.3">
      <c r="K54" s="16">
        <v>21</v>
      </c>
      <c r="L54" s="18" t="s">
        <v>39</v>
      </c>
      <c r="M54" s="18" t="s">
        <v>30</v>
      </c>
      <c r="N54" s="116">
        <f t="shared" si="13"/>
        <v>0.13713527851458887</v>
      </c>
      <c r="O54" s="118">
        <f t="shared" si="14"/>
        <v>0.92894531046238493</v>
      </c>
      <c r="P54" s="287" t="str">
        <f t="shared" si="15"/>
        <v>No siginificant difference</v>
      </c>
      <c r="Q54" s="287"/>
      <c r="R54" s="287"/>
    </row>
  </sheetData>
  <mergeCells count="41">
    <mergeCell ref="A32:D32"/>
    <mergeCell ref="G17:H17"/>
    <mergeCell ref="G23:H23"/>
    <mergeCell ref="G27:H27"/>
    <mergeCell ref="K8:S8"/>
    <mergeCell ref="K20:M20"/>
    <mergeCell ref="K21:M21"/>
    <mergeCell ref="B3:I3"/>
    <mergeCell ref="B10:I10"/>
    <mergeCell ref="K28:M28"/>
    <mergeCell ref="K29:M29"/>
    <mergeCell ref="K30:M30"/>
    <mergeCell ref="K23:N23"/>
    <mergeCell ref="K24:M24"/>
    <mergeCell ref="K25:M25"/>
    <mergeCell ref="K26:M26"/>
    <mergeCell ref="K27:M27"/>
    <mergeCell ref="K13:U16"/>
    <mergeCell ref="P44:R44"/>
    <mergeCell ref="P33:R33"/>
    <mergeCell ref="P34:R34"/>
    <mergeCell ref="P35:R35"/>
    <mergeCell ref="P36:R36"/>
    <mergeCell ref="P37:R37"/>
    <mergeCell ref="P38:R38"/>
    <mergeCell ref="P51:R51"/>
    <mergeCell ref="P52:R52"/>
    <mergeCell ref="P53:R53"/>
    <mergeCell ref="P54:R54"/>
    <mergeCell ref="K32:R32"/>
    <mergeCell ref="P45:R45"/>
    <mergeCell ref="P46:R46"/>
    <mergeCell ref="P47:R47"/>
    <mergeCell ref="P48:R48"/>
    <mergeCell ref="P49:R49"/>
    <mergeCell ref="P50:R50"/>
    <mergeCell ref="P39:R39"/>
    <mergeCell ref="P40:R40"/>
    <mergeCell ref="P41:R41"/>
    <mergeCell ref="P42:R42"/>
    <mergeCell ref="P43:R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8FBB-6C01-4001-BC00-25523DCFF450}">
  <dimension ref="A1:V406"/>
  <sheetViews>
    <sheetView showGridLines="0" topLeftCell="A37" workbookViewId="0">
      <selection activeCell="L23" sqref="L23"/>
    </sheetView>
  </sheetViews>
  <sheetFormatPr defaultRowHeight="14.4" x14ac:dyDescent="0.3"/>
  <cols>
    <col min="1" max="1" width="17.21875" customWidth="1"/>
    <col min="2" max="2" width="10.44140625" style="13" customWidth="1"/>
    <col min="3" max="4" width="9.77734375" style="13" customWidth="1"/>
    <col min="5" max="5" width="15.109375" style="13" customWidth="1"/>
    <col min="6" max="6" width="10.21875" style="13" customWidth="1"/>
    <col min="7" max="7" width="10.109375" style="13" customWidth="1"/>
    <col min="8" max="8" width="11" customWidth="1"/>
    <col min="9" max="10" width="10.21875" customWidth="1"/>
    <col min="11" max="11" width="10.5546875" bestFit="1" customWidth="1"/>
    <col min="12" max="12" width="10.77734375" customWidth="1"/>
    <col min="13" max="13" width="11.5546875" bestFit="1" customWidth="1"/>
    <col min="14" max="14" width="8.77734375" customWidth="1"/>
    <col min="15" max="15" width="10.5546875" bestFit="1" customWidth="1"/>
    <col min="16" max="18" width="8.77734375" customWidth="1"/>
  </cols>
  <sheetData>
    <row r="1" spans="1:22" x14ac:dyDescent="0.3">
      <c r="A1" s="12" t="s">
        <v>318</v>
      </c>
      <c r="B1" s="25" t="s">
        <v>319</v>
      </c>
    </row>
    <row r="3" spans="1:22" ht="14.4" customHeight="1" x14ac:dyDescent="0.3">
      <c r="A3" s="283" t="s">
        <v>376</v>
      </c>
      <c r="B3" s="283"/>
      <c r="C3" s="283"/>
      <c r="D3" s="283"/>
      <c r="E3" s="283"/>
      <c r="F3" s="283"/>
      <c r="G3" s="283"/>
      <c r="H3" s="283"/>
      <c r="I3" s="283"/>
      <c r="J3" s="283"/>
      <c r="K3" s="283"/>
      <c r="L3" s="283"/>
      <c r="M3" s="283"/>
      <c r="N3" s="283"/>
      <c r="O3" s="283"/>
      <c r="P3" s="283"/>
      <c r="Q3" s="283"/>
      <c r="R3" s="283"/>
      <c r="S3" s="148"/>
      <c r="T3" s="148"/>
      <c r="U3" s="148"/>
      <c r="V3" s="148"/>
    </row>
    <row r="4" spans="1:22" x14ac:dyDescent="0.3">
      <c r="A4" s="283"/>
      <c r="B4" s="283"/>
      <c r="C4" s="283"/>
      <c r="D4" s="283"/>
      <c r="E4" s="283"/>
      <c r="F4" s="283"/>
      <c r="G4" s="283"/>
      <c r="H4" s="283"/>
      <c r="I4" s="283"/>
      <c r="J4" s="283"/>
      <c r="K4" s="283"/>
      <c r="L4" s="283"/>
      <c r="M4" s="283"/>
      <c r="N4" s="283"/>
      <c r="O4" s="283"/>
      <c r="P4" s="283"/>
      <c r="Q4" s="283"/>
      <c r="R4" s="283"/>
      <c r="S4" s="148"/>
      <c r="T4" s="148"/>
      <c r="U4" s="148"/>
      <c r="V4" s="148"/>
    </row>
    <row r="5" spans="1:22" x14ac:dyDescent="0.3">
      <c r="A5" s="121"/>
      <c r="B5" s="121"/>
      <c r="C5" s="121"/>
      <c r="D5" s="121"/>
      <c r="E5" s="121"/>
      <c r="F5" s="121"/>
      <c r="G5" s="121"/>
      <c r="H5" s="121"/>
      <c r="I5" s="121"/>
      <c r="J5" s="121"/>
      <c r="K5" s="121"/>
      <c r="L5" s="121"/>
      <c r="M5" s="121"/>
      <c r="N5" s="121"/>
      <c r="O5" s="121"/>
      <c r="P5" s="121"/>
      <c r="Q5" s="121"/>
      <c r="R5" s="121"/>
      <c r="S5" s="121"/>
      <c r="T5" s="121"/>
      <c r="U5" s="121"/>
      <c r="V5" s="121"/>
    </row>
    <row r="6" spans="1:22" x14ac:dyDescent="0.3">
      <c r="A6" s="124" t="s">
        <v>6</v>
      </c>
      <c r="B6" s="124" t="s">
        <v>7</v>
      </c>
      <c r="C6" s="124" t="s">
        <v>11</v>
      </c>
      <c r="E6" s="311" t="s">
        <v>320</v>
      </c>
      <c r="F6" s="311"/>
      <c r="L6" s="26" t="s">
        <v>324</v>
      </c>
    </row>
    <row r="7" spans="1:22" x14ac:dyDescent="0.3">
      <c r="A7" s="123" t="s">
        <v>16</v>
      </c>
      <c r="B7" s="123" t="s">
        <v>17</v>
      </c>
      <c r="C7" s="150">
        <v>1068</v>
      </c>
    </row>
    <row r="8" spans="1:22" ht="15" thickBot="1" x14ac:dyDescent="0.35">
      <c r="A8" s="123" t="s">
        <v>16</v>
      </c>
      <c r="B8" s="123" t="s">
        <v>17</v>
      </c>
      <c r="C8" s="150">
        <v>39</v>
      </c>
      <c r="E8" s="140" t="s">
        <v>321</v>
      </c>
      <c r="F8" s="140" t="str">
        <f>IF(COUNTIF(F10:I11,F10)=COUNT(F10:I11),"balanced","unbalanced")</f>
        <v>unbalanced</v>
      </c>
      <c r="L8" t="s">
        <v>229</v>
      </c>
      <c r="P8" s="13" t="s">
        <v>325</v>
      </c>
      <c r="Q8" s="13">
        <v>0.05</v>
      </c>
    </row>
    <row r="9" spans="1:22" ht="15" thickTop="1" x14ac:dyDescent="0.3">
      <c r="A9" s="123" t="s">
        <v>16</v>
      </c>
      <c r="B9" s="123" t="s">
        <v>17</v>
      </c>
      <c r="C9" s="150">
        <v>563</v>
      </c>
      <c r="F9" s="13" t="str">
        <f t="array" ref="F9:I9">TRANSPOSE([1]!SortUnique(B7:B406))</f>
        <v>4WD</v>
      </c>
      <c r="G9" s="13" t="str">
        <v>Family</v>
      </c>
      <c r="H9" s="13" t="str">
        <v>Luxury</v>
      </c>
      <c r="I9" s="13" t="str">
        <v>Sports</v>
      </c>
      <c r="J9" s="13"/>
      <c r="L9" s="137"/>
      <c r="M9" s="137" t="s">
        <v>231</v>
      </c>
      <c r="N9" s="137" t="s">
        <v>232</v>
      </c>
      <c r="O9" s="137" t="s">
        <v>233</v>
      </c>
      <c r="P9" s="137" t="s">
        <v>234</v>
      </c>
      <c r="Q9" s="137" t="s">
        <v>115</v>
      </c>
      <c r="R9" s="137" t="s">
        <v>326</v>
      </c>
    </row>
    <row r="10" spans="1:22" x14ac:dyDescent="0.3">
      <c r="A10" s="123" t="s">
        <v>16</v>
      </c>
      <c r="B10" s="123" t="s">
        <v>17</v>
      </c>
      <c r="C10" s="150">
        <v>387</v>
      </c>
      <c r="E10" s="13" t="str">
        <f t="array" ref="E10:E11">[1]!SortUnique(A7:A406)</f>
        <v>Agreed Value</v>
      </c>
      <c r="F10" s="131">
        <f t="array" ref="F10">COUNTIFS($A$7:$A$406,$E10,$B$7:$B$406,F$9)</f>
        <v>12</v>
      </c>
      <c r="G10" s="132">
        <f t="array" ref="G10">COUNTIFS($A$7:$A$406,$E10,$B$7:$B$406,G$9)</f>
        <v>18</v>
      </c>
      <c r="H10" s="132">
        <f t="array" ref="H10">COUNTIFS($A$7:$A$406,$E10,$B$7:$B$406,H$9)</f>
        <v>8</v>
      </c>
      <c r="I10" s="133">
        <f t="array" ref="I10">COUNTIFS($A$7:$A$406,$E10,$B$7:$B$406,I$9)</f>
        <v>6</v>
      </c>
      <c r="J10" s="13">
        <f t="array" ref="J10">SUM(F10:I10)</f>
        <v>44</v>
      </c>
      <c r="L10" t="s">
        <v>327</v>
      </c>
      <c r="M10" s="61">
        <f t="array" ref="M10:M13">[1]!SSAnova2(A7:C406)</f>
        <v>565943.85559470206</v>
      </c>
      <c r="N10" s="61">
        <f>COUNT(J16:J17)-1</f>
        <v>1</v>
      </c>
      <c r="O10" s="61">
        <f>M10/N10</f>
        <v>565943.85559470206</v>
      </c>
      <c r="P10" s="61">
        <f>O10/O13</f>
        <v>13.604360079760831</v>
      </c>
      <c r="Q10" s="149">
        <f>_xlfn.F.DIST.RT(P10,N10,N13)</f>
        <v>2.5751266413702445E-4</v>
      </c>
      <c r="R10" s="13" t="str">
        <f>IF(Q10&lt;Q8,"yes","no")</f>
        <v>yes</v>
      </c>
    </row>
    <row r="11" spans="1:22" x14ac:dyDescent="0.3">
      <c r="A11" s="123" t="s">
        <v>16</v>
      </c>
      <c r="B11" s="123" t="s">
        <v>17</v>
      </c>
      <c r="C11" s="150">
        <v>272</v>
      </c>
      <c r="E11" s="13" t="str">
        <v>Market Value</v>
      </c>
      <c r="F11" s="134">
        <f t="array" ref="F11">COUNTIFS($A$7:$A$406,$E11,$B$7:$B$406,F$9)</f>
        <v>50</v>
      </c>
      <c r="G11" s="135">
        <f t="array" ref="G11">COUNTIFS($A$7:$A$406,$E11,$B$7:$B$406,G$9)</f>
        <v>209</v>
      </c>
      <c r="H11" s="135">
        <f t="array" ref="H11">COUNTIFS($A$7:$A$406,$E11,$B$7:$B$406,H$9)</f>
        <v>54</v>
      </c>
      <c r="I11" s="136">
        <f t="array" ref="I11">COUNTIFS($A$7:$A$406,$E11,$B$7:$B$406,I$9)</f>
        <v>43</v>
      </c>
      <c r="J11" s="13">
        <f t="array" ref="J11">SUM(F11:I11)</f>
        <v>356</v>
      </c>
      <c r="L11" t="s">
        <v>328</v>
      </c>
      <c r="M11" s="61">
        <v>11652749.36840852</v>
      </c>
      <c r="N11" s="61">
        <f>COUNT(F18:I18)-1</f>
        <v>3</v>
      </c>
      <c r="O11" s="61">
        <f>M11/N11</f>
        <v>3884249.7894695066</v>
      </c>
      <c r="P11" s="61">
        <f>O11/O13</f>
        <v>93.370980625190199</v>
      </c>
      <c r="Q11" s="149">
        <f>_xlfn.F.DIST.RT(P11,N11,N13)</f>
        <v>1.3070104824827907E-45</v>
      </c>
      <c r="R11" s="13" t="str">
        <f>IF(Q11&lt;Q8,"yes","no")</f>
        <v>yes</v>
      </c>
    </row>
    <row r="12" spans="1:22" x14ac:dyDescent="0.3">
      <c r="A12" s="123" t="s">
        <v>16</v>
      </c>
      <c r="B12" s="123" t="s">
        <v>17</v>
      </c>
      <c r="C12" s="150">
        <v>392</v>
      </c>
      <c r="F12" s="13">
        <f t="array" ref="F12">SUM(F10:F11)</f>
        <v>62</v>
      </c>
      <c r="G12" s="13">
        <f t="array" ref="G12">SUM(G10:G11)</f>
        <v>227</v>
      </c>
      <c r="H12" s="13">
        <f t="array" ref="H12">SUM(H10:H11)</f>
        <v>62</v>
      </c>
      <c r="I12" s="13">
        <f t="array" ref="I12">SUM(I10:I11)</f>
        <v>49</v>
      </c>
      <c r="J12" s="13">
        <f t="array" ref="J12">SUM(J10:J11)</f>
        <v>400</v>
      </c>
      <c r="L12" t="s">
        <v>329</v>
      </c>
      <c r="M12" s="61">
        <v>560825.66648275778</v>
      </c>
      <c r="N12" s="61">
        <f>N11*N10</f>
        <v>3</v>
      </c>
      <c r="O12" s="61">
        <f>M12/N12</f>
        <v>186941.88882758594</v>
      </c>
      <c r="P12" s="61">
        <f>O12/O13</f>
        <v>4.4937757419923567</v>
      </c>
      <c r="Q12" s="149">
        <f>_xlfn.F.DIST.RT(P12,N12,N13)</f>
        <v>4.0847286285567962E-3</v>
      </c>
      <c r="R12" s="13" t="str">
        <f>IF(Q12&lt;Q8,"yes","no")</f>
        <v>yes</v>
      </c>
    </row>
    <row r="13" spans="1:22" x14ac:dyDescent="0.3">
      <c r="A13" s="123" t="s">
        <v>16</v>
      </c>
      <c r="B13" s="123" t="s">
        <v>17</v>
      </c>
      <c r="C13" s="150">
        <v>100</v>
      </c>
      <c r="L13" t="s">
        <v>330</v>
      </c>
      <c r="M13" s="61">
        <v>16307271.352157816</v>
      </c>
      <c r="N13" s="61">
        <f>N14-N10-N11-N12</f>
        <v>392</v>
      </c>
      <c r="O13" s="61">
        <f>M13/N13</f>
        <v>41600.182020810753</v>
      </c>
      <c r="P13" s="61"/>
      <c r="Q13" s="61"/>
    </row>
    <row r="14" spans="1:22" x14ac:dyDescent="0.3">
      <c r="A14" s="123" t="s">
        <v>16</v>
      </c>
      <c r="B14" s="123" t="s">
        <v>17</v>
      </c>
      <c r="C14" s="150">
        <v>262</v>
      </c>
      <c r="E14" s="13" t="s">
        <v>322</v>
      </c>
      <c r="L14" s="138" t="s">
        <v>88</v>
      </c>
      <c r="M14" s="147">
        <f>O14*N14</f>
        <v>41001075.877499998</v>
      </c>
      <c r="N14" s="147">
        <f>J12-1</f>
        <v>399</v>
      </c>
      <c r="O14" s="147">
        <f>J24</f>
        <v>102759.58866541352</v>
      </c>
      <c r="P14" s="147"/>
      <c r="Q14" s="147"/>
      <c r="R14" s="138"/>
    </row>
    <row r="15" spans="1:22" x14ac:dyDescent="0.3">
      <c r="A15" s="123" t="s">
        <v>16</v>
      </c>
      <c r="B15" s="123" t="s">
        <v>17</v>
      </c>
      <c r="C15" s="150">
        <v>198</v>
      </c>
      <c r="F15" s="13" t="str">
        <f t="array" ref="F15:I15">TRANSPOSE([1]!SortUnique(B7:B406))</f>
        <v>4WD</v>
      </c>
      <c r="G15" s="13" t="str">
        <v>Family</v>
      </c>
      <c r="H15" s="13" t="str">
        <v>Luxury</v>
      </c>
      <c r="I15" s="13" t="str">
        <v>Sports</v>
      </c>
      <c r="J15" s="13"/>
    </row>
    <row r="16" spans="1:22" x14ac:dyDescent="0.3">
      <c r="A16" s="123" t="s">
        <v>16</v>
      </c>
      <c r="B16" s="123" t="s">
        <v>17</v>
      </c>
      <c r="C16" s="150">
        <v>354</v>
      </c>
      <c r="E16" s="13" t="str">
        <f t="array" ref="E16:E17">[1]!SortUnique(A7:A406)</f>
        <v>Agreed Value</v>
      </c>
      <c r="F16" s="141">
        <f t="array" ref="F16">AVERAGEIFS($C$7:$C$406,$A$7:$A$406,$E16,$B$7:$B$406,F$15)</f>
        <v>397.41666666666669</v>
      </c>
      <c r="G16" s="142">
        <f t="array" ref="G16">AVERAGEIFS($C$7:$C$406,$A$7:$A$406,$E16,$B$7:$B$406,G$15)</f>
        <v>45.722222222222221</v>
      </c>
      <c r="H16" s="142">
        <f t="array" ref="H16">AVERAGEIFS($C$7:$C$406,$A$7:$A$406,$E16,$B$7:$B$406,H$15)</f>
        <v>525.875</v>
      </c>
      <c r="I16" s="143">
        <f t="array" ref="I16">AVERAGEIFS($C$7:$C$406,$A$7:$A$406,$E16,$B$7:$B$406,I$15)</f>
        <v>1011.5</v>
      </c>
      <c r="J16" s="62">
        <f t="array" ref="J16">AVERAGE(F16:I16)</f>
        <v>495.12847222222223</v>
      </c>
      <c r="K16" s="61"/>
      <c r="L16" s="61"/>
      <c r="M16" s="61"/>
      <c r="N16" s="61"/>
    </row>
    <row r="17" spans="1:18" x14ac:dyDescent="0.3">
      <c r="A17" s="123" t="s">
        <v>16</v>
      </c>
      <c r="B17" s="123" t="s">
        <v>17</v>
      </c>
      <c r="C17" s="150">
        <v>700</v>
      </c>
      <c r="E17" s="13" t="str">
        <v>Market Value</v>
      </c>
      <c r="F17" s="144">
        <f t="array" ref="F17">AVERAGEIFS($C$7:$C$406,$A$7:$A$406,$E17,$B$7:$B$406,F$15)</f>
        <v>258.82</v>
      </c>
      <c r="G17" s="145">
        <f t="array" ref="G17">AVERAGEIFS($C$7:$C$406,$A$7:$A$406,$E17,$B$7:$B$406,G$15)</f>
        <v>37.741626794258373</v>
      </c>
      <c r="H17" s="145">
        <f t="array" ref="H17">AVERAGEIFS($C$7:$C$406,$A$7:$A$406,$E17,$B$7:$B$406,H$15)</f>
        <v>505.25925925925924</v>
      </c>
      <c r="I17" s="146">
        <f t="array" ref="I17">AVERAGEIFS($C$7:$C$406,$A$7:$A$406,$E17,$B$7:$B$406,I$15)</f>
        <v>648.27906976744191</v>
      </c>
      <c r="J17" s="62">
        <f t="array" ref="J17">AVERAGE(F17:I17)</f>
        <v>362.52498895523991</v>
      </c>
    </row>
    <row r="18" spans="1:18" x14ac:dyDescent="0.3">
      <c r="A18" s="123" t="s">
        <v>16</v>
      </c>
      <c r="B18" s="123" t="s">
        <v>17</v>
      </c>
      <c r="C18" s="150">
        <v>434</v>
      </c>
      <c r="F18" s="62">
        <f t="array" ref="F18">AVERAGE(F16:F17)</f>
        <v>328.11833333333334</v>
      </c>
      <c r="G18" s="62">
        <f t="array" ref="G18">AVERAGE(G16:G17)</f>
        <v>41.731924508240297</v>
      </c>
      <c r="H18" s="62">
        <f t="array" ref="H18">AVERAGE(H16:H17)</f>
        <v>515.56712962962956</v>
      </c>
      <c r="I18" s="62">
        <f t="array" ref="I18">AVERAGE(I16:I17)</f>
        <v>829.8895348837209</v>
      </c>
      <c r="J18" s="62">
        <f t="array" ref="J18">AVERAGE(J16:J17)</f>
        <v>428.82673058873104</v>
      </c>
    </row>
    <row r="19" spans="1:18" x14ac:dyDescent="0.3">
      <c r="A19" s="123" t="s">
        <v>16</v>
      </c>
      <c r="B19" s="123" t="s">
        <v>28</v>
      </c>
      <c r="C19" s="150">
        <v>39</v>
      </c>
      <c r="F19"/>
      <c r="G19"/>
    </row>
    <row r="20" spans="1:18" x14ac:dyDescent="0.3">
      <c r="A20" s="123" t="s">
        <v>16</v>
      </c>
      <c r="B20" s="123" t="s">
        <v>28</v>
      </c>
      <c r="C20" s="150">
        <v>54</v>
      </c>
      <c r="E20" s="13" t="s">
        <v>323</v>
      </c>
    </row>
    <row r="21" spans="1:18" x14ac:dyDescent="0.3">
      <c r="A21" s="123" t="s">
        <v>16</v>
      </c>
      <c r="B21" s="123" t="s">
        <v>28</v>
      </c>
      <c r="C21" s="150">
        <v>-50</v>
      </c>
      <c r="F21" s="13" t="str">
        <f t="array" ref="F21:I21">TRANSPOSE([1]!SortUnique(B7:B406))</f>
        <v>4WD</v>
      </c>
      <c r="G21" s="13" t="str">
        <v>Family</v>
      </c>
      <c r="H21" t="str">
        <v>Luxury</v>
      </c>
      <c r="I21" t="str">
        <v>Sports</v>
      </c>
    </row>
    <row r="22" spans="1:18" x14ac:dyDescent="0.3">
      <c r="A22" s="123" t="s">
        <v>16</v>
      </c>
      <c r="B22" s="123" t="s">
        <v>28</v>
      </c>
      <c r="C22" s="150">
        <v>0</v>
      </c>
      <c r="E22" s="13" t="str">
        <f t="array" ref="E22:E23">[1]!SortUnique(A7:A406)</f>
        <v>Agreed Value</v>
      </c>
      <c r="F22" s="141">
        <f t="array" ref="F22">_xlfn.VAR.S(IF(($A$7:$A$406=$E22)*($B$7:$B$406=F$21),$C$7:$C$406))</f>
        <v>78433.719696969711</v>
      </c>
      <c r="G22" s="142">
        <f t="array" ref="G22">_xlfn.VAR.S(IF(($A$7:$A$406=$E22)*($B$7:$B$406=G$21),$C$7:$C$406))</f>
        <v>6310.330065359477</v>
      </c>
      <c r="H22" s="142">
        <f t="array" ref="H22">_xlfn.VAR.S(IF(($A$7:$A$406=$E22)*($B$7:$B$406=H$21),$C$7:$C$406))</f>
        <v>83695.553571428565</v>
      </c>
      <c r="I22" s="143">
        <f t="array" ref="I22">_xlfn.VAR.S(IF(($A$7:$A$406=$E22)*($B$7:$B$406=I$21),$C$7:$C$406))</f>
        <v>283393.90000000002</v>
      </c>
      <c r="J22" s="61">
        <f t="array" ref="J22">_xlfn.VAR.S(IF($A$7:$A$406=$E22,$C$7:$C$406))</f>
        <v>175217.81818181818</v>
      </c>
    </row>
    <row r="23" spans="1:18" x14ac:dyDescent="0.3">
      <c r="A23" s="123" t="s">
        <v>16</v>
      </c>
      <c r="B23" s="123" t="s">
        <v>28</v>
      </c>
      <c r="C23" s="150">
        <v>-76</v>
      </c>
      <c r="E23" s="13" t="str">
        <v>Market Value</v>
      </c>
      <c r="F23" s="144">
        <f t="array" ref="F23">_xlfn.VAR.S(IF(($A$7:$A$406=$E23)*($B$7:$B$406=F$21),$C$7:$C$406))</f>
        <v>34384.354693877547</v>
      </c>
      <c r="G23" s="145">
        <f t="array" ref="G23">_xlfn.VAR.S(IF(($A$7:$A$406=$E23)*($B$7:$B$406=G$21),$C$7:$C$406))</f>
        <v>5179.4617684946634</v>
      </c>
      <c r="H23" s="145">
        <f t="array" ref="H23">_xlfn.VAR.S(IF(($A$7:$A$406=$E23)*($B$7:$B$406=H$21),$C$7:$C$406))</f>
        <v>75481.931516422104</v>
      </c>
      <c r="I23" s="146">
        <f t="array" ref="I23">_xlfn.VAR.S(IF(($A$7:$A$406=$E23)*($B$7:$B$406=I$21),$C$7:$C$406))</f>
        <v>156468.63455149505</v>
      </c>
      <c r="J23" s="61">
        <f t="array" ref="J23">_xlfn.VAR.S(IF($A$7:$A$406=$E23,$C$7:$C$406))</f>
        <v>91882.761093527457</v>
      </c>
    </row>
    <row r="24" spans="1:18" x14ac:dyDescent="0.3">
      <c r="A24" s="123" t="s">
        <v>16</v>
      </c>
      <c r="B24" s="123" t="s">
        <v>28</v>
      </c>
      <c r="C24" s="150">
        <v>110</v>
      </c>
      <c r="F24" s="62">
        <f t="array" ref="F24">_xlfn.VAR.S(IF($B$7:$B$406=F$21,$C$7:$C$406))</f>
        <v>44811.445795875195</v>
      </c>
      <c r="G24" s="62">
        <f t="array" ref="G24">_xlfn.VAR.S(IF($B$7:$B$406=G$21,$C$7:$C$406))</f>
        <v>5246.2795212662268</v>
      </c>
      <c r="H24" s="62">
        <f t="array" ref="H24">_xlfn.VAR.S(IF($B$7:$B$406=H$21,$C$7:$C$406))</f>
        <v>75235.616340560562</v>
      </c>
      <c r="I24" s="62">
        <f t="array" ref="I24">_xlfn.VAR.S(IF($B$7:$B$406=I$21,$C$7:$C$406))</f>
        <v>180902.10544217689</v>
      </c>
      <c r="J24" s="61">
        <f>_xlfn.VAR.S(C7:C406)</f>
        <v>102759.58866541352</v>
      </c>
    </row>
    <row r="25" spans="1:18" x14ac:dyDescent="0.3">
      <c r="A25" s="123" t="s">
        <v>16</v>
      </c>
      <c r="B25" s="123" t="s">
        <v>28</v>
      </c>
      <c r="C25" s="150">
        <v>96</v>
      </c>
      <c r="E25" s="67" t="s">
        <v>335</v>
      </c>
    </row>
    <row r="26" spans="1:18" ht="15.6" x14ac:dyDescent="0.35">
      <c r="A26" s="123" t="s">
        <v>16</v>
      </c>
      <c r="B26" s="123" t="s">
        <v>28</v>
      </c>
      <c r="C26" s="150">
        <v>72</v>
      </c>
      <c r="E26" s="65" t="s">
        <v>219</v>
      </c>
      <c r="F26" t="s">
        <v>338</v>
      </c>
    </row>
    <row r="27" spans="1:18" ht="15.6" x14ac:dyDescent="0.35">
      <c r="A27" s="123" t="s">
        <v>16</v>
      </c>
      <c r="B27" s="123" t="s">
        <v>28</v>
      </c>
      <c r="C27" s="150">
        <v>61</v>
      </c>
      <c r="E27" s="65" t="s">
        <v>220</v>
      </c>
      <c r="F27" t="s">
        <v>339</v>
      </c>
    </row>
    <row r="28" spans="1:18" x14ac:dyDescent="0.3">
      <c r="A28" s="123" t="s">
        <v>16</v>
      </c>
      <c r="B28" s="123" t="s">
        <v>28</v>
      </c>
      <c r="C28" s="150">
        <v>-10</v>
      </c>
      <c r="E28" s="140" t="s">
        <v>332</v>
      </c>
      <c r="F28" s="25" t="s">
        <v>333</v>
      </c>
    </row>
    <row r="29" spans="1:18" x14ac:dyDescent="0.3">
      <c r="A29" s="123" t="s">
        <v>16</v>
      </c>
      <c r="B29" s="123" t="s">
        <v>28</v>
      </c>
      <c r="C29" s="150">
        <v>82</v>
      </c>
      <c r="E29" s="140" t="s">
        <v>334</v>
      </c>
      <c r="F29" s="283" t="s">
        <v>367</v>
      </c>
      <c r="G29" s="283"/>
      <c r="H29" s="283"/>
      <c r="I29" s="283"/>
      <c r="J29" s="283"/>
      <c r="K29" s="283"/>
      <c r="L29" s="283"/>
      <c r="M29" s="283"/>
      <c r="N29" s="283"/>
      <c r="O29" s="283"/>
      <c r="P29" s="283"/>
      <c r="Q29" s="283"/>
      <c r="R29" s="283"/>
    </row>
    <row r="30" spans="1:18" x14ac:dyDescent="0.3">
      <c r="A30" s="123" t="s">
        <v>16</v>
      </c>
      <c r="B30" s="123" t="s">
        <v>28</v>
      </c>
      <c r="C30" s="150">
        <v>76</v>
      </c>
      <c r="F30" s="283"/>
      <c r="G30" s="283"/>
      <c r="H30" s="283"/>
      <c r="I30" s="283"/>
      <c r="J30" s="283"/>
      <c r="K30" s="283"/>
      <c r="L30" s="283"/>
      <c r="M30" s="283"/>
      <c r="N30" s="283"/>
      <c r="O30" s="283"/>
      <c r="P30" s="283"/>
      <c r="Q30" s="283"/>
      <c r="R30" s="283"/>
    </row>
    <row r="31" spans="1:18" x14ac:dyDescent="0.3">
      <c r="A31" s="123" t="s">
        <v>16</v>
      </c>
      <c r="B31" s="123" t="s">
        <v>28</v>
      </c>
      <c r="C31" s="150">
        <v>263</v>
      </c>
    </row>
    <row r="32" spans="1:18" x14ac:dyDescent="0.3">
      <c r="A32" s="123" t="s">
        <v>16</v>
      </c>
      <c r="B32" s="123" t="s">
        <v>28</v>
      </c>
      <c r="C32" s="150">
        <v>24</v>
      </c>
    </row>
    <row r="33" spans="1:19" x14ac:dyDescent="0.3">
      <c r="A33" s="123" t="s">
        <v>16</v>
      </c>
      <c r="B33" s="123" t="s">
        <v>28</v>
      </c>
      <c r="C33" s="150">
        <v>72</v>
      </c>
    </row>
    <row r="34" spans="1:19" x14ac:dyDescent="0.3">
      <c r="A34" s="123" t="s">
        <v>16</v>
      </c>
      <c r="B34" s="123" t="s">
        <v>28</v>
      </c>
      <c r="C34" s="150">
        <v>-31</v>
      </c>
    </row>
    <row r="35" spans="1:19" x14ac:dyDescent="0.3">
      <c r="A35" s="123" t="s">
        <v>16</v>
      </c>
      <c r="B35" s="123" t="s">
        <v>28</v>
      </c>
      <c r="C35" s="150">
        <v>-59</v>
      </c>
    </row>
    <row r="36" spans="1:19" x14ac:dyDescent="0.3">
      <c r="A36" s="123" t="s">
        <v>16</v>
      </c>
      <c r="B36" s="123" t="s">
        <v>28</v>
      </c>
      <c r="C36" s="150">
        <v>100</v>
      </c>
    </row>
    <row r="37" spans="1:19" x14ac:dyDescent="0.3">
      <c r="A37" s="123" t="s">
        <v>16</v>
      </c>
      <c r="B37" s="123" t="s">
        <v>45</v>
      </c>
      <c r="C37" s="150">
        <v>148</v>
      </c>
    </row>
    <row r="38" spans="1:19" x14ac:dyDescent="0.3">
      <c r="A38" s="123" t="s">
        <v>16</v>
      </c>
      <c r="B38" s="123" t="s">
        <v>45</v>
      </c>
      <c r="C38" s="150">
        <v>357</v>
      </c>
    </row>
    <row r="39" spans="1:19" x14ac:dyDescent="0.3">
      <c r="A39" s="123" t="s">
        <v>16</v>
      </c>
      <c r="B39" s="123" t="s">
        <v>45</v>
      </c>
      <c r="C39" s="150">
        <v>253</v>
      </c>
    </row>
    <row r="40" spans="1:19" x14ac:dyDescent="0.3">
      <c r="A40" s="123" t="s">
        <v>16</v>
      </c>
      <c r="B40" s="123" t="s">
        <v>45</v>
      </c>
      <c r="C40" s="150">
        <v>966</v>
      </c>
    </row>
    <row r="41" spans="1:19" x14ac:dyDescent="0.3">
      <c r="A41" s="123" t="s">
        <v>16</v>
      </c>
      <c r="B41" s="123" t="s">
        <v>45</v>
      </c>
      <c r="C41" s="150">
        <v>440</v>
      </c>
    </row>
    <row r="42" spans="1:19" x14ac:dyDescent="0.3">
      <c r="A42" s="123" t="s">
        <v>16</v>
      </c>
      <c r="B42" s="123" t="s">
        <v>45</v>
      </c>
      <c r="C42" s="150">
        <v>835</v>
      </c>
    </row>
    <row r="43" spans="1:19" x14ac:dyDescent="0.3">
      <c r="A43" s="123" t="s">
        <v>16</v>
      </c>
      <c r="B43" s="123" t="s">
        <v>45</v>
      </c>
      <c r="C43" s="150">
        <v>479</v>
      </c>
    </row>
    <row r="44" spans="1:19" x14ac:dyDescent="0.3">
      <c r="A44" s="123" t="s">
        <v>16</v>
      </c>
      <c r="B44" s="123" t="s">
        <v>45</v>
      </c>
      <c r="C44" s="150">
        <v>729</v>
      </c>
    </row>
    <row r="45" spans="1:19" x14ac:dyDescent="0.3">
      <c r="A45" s="123" t="s">
        <v>16</v>
      </c>
      <c r="B45" s="123" t="s">
        <v>49</v>
      </c>
      <c r="C45" s="150">
        <v>1179</v>
      </c>
    </row>
    <row r="46" spans="1:19" x14ac:dyDescent="0.3">
      <c r="A46" s="123" t="s">
        <v>16</v>
      </c>
      <c r="B46" s="123" t="s">
        <v>49</v>
      </c>
      <c r="C46" s="150">
        <v>542</v>
      </c>
    </row>
    <row r="47" spans="1:19" x14ac:dyDescent="0.3">
      <c r="A47" s="123" t="s">
        <v>16</v>
      </c>
      <c r="B47" s="123" t="s">
        <v>49</v>
      </c>
      <c r="C47" s="150">
        <v>691</v>
      </c>
      <c r="E47" s="25"/>
      <c r="F47" s="25"/>
      <c r="G47" s="25"/>
      <c r="H47" s="25"/>
      <c r="I47" s="25"/>
      <c r="J47" s="25"/>
      <c r="K47" s="25"/>
      <c r="L47" s="25"/>
      <c r="M47" s="25"/>
      <c r="N47" s="25"/>
      <c r="O47" s="25"/>
      <c r="P47" s="25"/>
      <c r="Q47" s="25"/>
      <c r="R47" s="25"/>
      <c r="S47" s="25"/>
    </row>
    <row r="48" spans="1:19" x14ac:dyDescent="0.3">
      <c r="A48" s="123" t="s">
        <v>16</v>
      </c>
      <c r="B48" s="123" t="s">
        <v>49</v>
      </c>
      <c r="C48" s="150">
        <v>1576</v>
      </c>
      <c r="E48" s="151" t="s">
        <v>340</v>
      </c>
      <c r="F48" s="25"/>
      <c r="G48" s="25"/>
      <c r="H48" s="25"/>
      <c r="I48" s="25"/>
      <c r="J48" s="25"/>
      <c r="K48" s="25"/>
      <c r="L48" s="25"/>
      <c r="M48" s="25"/>
      <c r="N48" s="25"/>
      <c r="O48" s="25"/>
      <c r="P48" s="25"/>
      <c r="Q48" s="25"/>
      <c r="R48" s="25"/>
      <c r="S48" s="25"/>
    </row>
    <row r="49" spans="1:20" x14ac:dyDescent="0.3">
      <c r="A49" s="123" t="s">
        <v>16</v>
      </c>
      <c r="B49" s="123" t="s">
        <v>49</v>
      </c>
      <c r="C49" s="150">
        <v>430</v>
      </c>
      <c r="E49" s="283" t="s">
        <v>368</v>
      </c>
      <c r="F49" s="283"/>
      <c r="G49" s="283"/>
      <c r="H49" s="283"/>
      <c r="I49" s="283"/>
      <c r="J49" s="283"/>
      <c r="K49" s="283"/>
      <c r="L49" s="283"/>
      <c r="M49" s="283"/>
      <c r="N49" s="283"/>
      <c r="O49" s="283"/>
      <c r="P49" s="283"/>
      <c r="Q49" s="283"/>
      <c r="R49" s="283"/>
      <c r="S49" s="283"/>
    </row>
    <row r="50" spans="1:20" x14ac:dyDescent="0.3">
      <c r="A50" s="123" t="s">
        <v>16</v>
      </c>
      <c r="B50" s="123" t="s">
        <v>49</v>
      </c>
      <c r="C50" s="150">
        <v>1651</v>
      </c>
      <c r="E50" s="283"/>
      <c r="F50" s="283"/>
      <c r="G50" s="283"/>
      <c r="H50" s="283"/>
      <c r="I50" s="283"/>
      <c r="J50" s="283"/>
      <c r="K50" s="283"/>
      <c r="L50" s="283"/>
      <c r="M50" s="283"/>
      <c r="N50" s="283"/>
      <c r="O50" s="283"/>
      <c r="P50" s="283"/>
      <c r="Q50" s="283"/>
      <c r="R50" s="283"/>
      <c r="S50" s="283"/>
    </row>
    <row r="51" spans="1:20" x14ac:dyDescent="0.3">
      <c r="A51" s="123" t="s">
        <v>27</v>
      </c>
      <c r="B51" s="123" t="s">
        <v>17</v>
      </c>
      <c r="C51" s="150">
        <v>128</v>
      </c>
      <c r="E51" s="25"/>
      <c r="F51" s="25"/>
      <c r="G51" s="25"/>
      <c r="H51" s="25"/>
      <c r="I51" s="25"/>
      <c r="J51" s="25"/>
      <c r="K51" s="25"/>
      <c r="L51" s="25"/>
      <c r="M51" s="25"/>
      <c r="N51" s="25"/>
      <c r="O51" s="25"/>
      <c r="P51" s="25"/>
      <c r="Q51" s="25"/>
      <c r="R51" s="25"/>
      <c r="S51" s="25"/>
    </row>
    <row r="52" spans="1:20" ht="15.6" x14ac:dyDescent="0.35">
      <c r="A52" s="123" t="s">
        <v>27</v>
      </c>
      <c r="B52" s="123" t="s">
        <v>17</v>
      </c>
      <c r="C52" s="150">
        <v>560</v>
      </c>
      <c r="E52" s="65" t="s">
        <v>369</v>
      </c>
      <c r="F52" t="s">
        <v>336</v>
      </c>
      <c r="I52" s="25"/>
      <c r="K52" t="s">
        <v>341</v>
      </c>
      <c r="M52" s="25"/>
      <c r="N52" s="25"/>
      <c r="O52" s="25"/>
      <c r="P52" s="25"/>
      <c r="Q52" s="25"/>
      <c r="R52" s="25"/>
      <c r="S52" s="25"/>
    </row>
    <row r="53" spans="1:20" ht="15.6" x14ac:dyDescent="0.35">
      <c r="A53" s="123" t="s">
        <v>27</v>
      </c>
      <c r="B53" s="123" t="s">
        <v>17</v>
      </c>
      <c r="C53" s="150">
        <v>429</v>
      </c>
      <c r="E53" s="65" t="s">
        <v>220</v>
      </c>
      <c r="F53" s="82" t="s">
        <v>342</v>
      </c>
      <c r="I53" s="25"/>
      <c r="K53" t="s">
        <v>337</v>
      </c>
      <c r="M53" s="25"/>
      <c r="N53" s="25"/>
      <c r="O53" s="25"/>
      <c r="P53" s="25"/>
      <c r="Q53" s="25"/>
      <c r="R53" s="25"/>
      <c r="S53" s="25"/>
    </row>
    <row r="54" spans="1:20" x14ac:dyDescent="0.3">
      <c r="A54" s="123" t="s">
        <v>27</v>
      </c>
      <c r="B54" s="123" t="s">
        <v>17</v>
      </c>
      <c r="C54" s="150">
        <v>168</v>
      </c>
      <c r="E54" s="25"/>
      <c r="F54" s="25"/>
      <c r="G54" s="25"/>
      <c r="H54" s="25"/>
      <c r="I54" s="25"/>
      <c r="J54" s="25"/>
      <c r="K54" s="25"/>
      <c r="L54" s="25"/>
      <c r="M54" s="25"/>
      <c r="N54" s="25"/>
      <c r="O54" s="25"/>
      <c r="P54" s="25"/>
      <c r="Q54" s="25"/>
      <c r="R54" s="25"/>
      <c r="S54" s="25"/>
    </row>
    <row r="55" spans="1:20" ht="15.6" x14ac:dyDescent="0.35">
      <c r="A55" s="123" t="s">
        <v>27</v>
      </c>
      <c r="B55" s="123" t="s">
        <v>17</v>
      </c>
      <c r="C55" s="150">
        <v>203</v>
      </c>
      <c r="E55" s="65" t="s">
        <v>370</v>
      </c>
      <c r="F55" t="s">
        <v>336</v>
      </c>
      <c r="I55" s="25"/>
      <c r="K55" t="s">
        <v>344</v>
      </c>
      <c r="L55" s="25"/>
      <c r="M55" s="25"/>
      <c r="N55" s="25"/>
      <c r="O55" s="25"/>
      <c r="P55" s="25"/>
      <c r="Q55" s="25"/>
      <c r="R55" s="25"/>
      <c r="S55" s="25"/>
    </row>
    <row r="56" spans="1:20" ht="15.6" x14ac:dyDescent="0.35">
      <c r="A56" s="123" t="s">
        <v>27</v>
      </c>
      <c r="B56" s="123" t="s">
        <v>17</v>
      </c>
      <c r="C56" s="150">
        <v>925</v>
      </c>
      <c r="E56" s="65" t="s">
        <v>220</v>
      </c>
      <c r="F56" s="82" t="s">
        <v>343</v>
      </c>
      <c r="I56" s="25"/>
      <c r="K56" t="s">
        <v>337</v>
      </c>
      <c r="L56" s="25"/>
      <c r="M56" s="25"/>
      <c r="N56" s="25"/>
      <c r="O56" s="25"/>
      <c r="P56" s="25"/>
      <c r="Q56" s="25"/>
      <c r="R56" s="25"/>
      <c r="S56" s="25"/>
    </row>
    <row r="57" spans="1:20" x14ac:dyDescent="0.3">
      <c r="A57" s="123" t="s">
        <v>27</v>
      </c>
      <c r="B57" s="123" t="s">
        <v>17</v>
      </c>
      <c r="C57" s="150">
        <v>241</v>
      </c>
      <c r="E57" s="25"/>
      <c r="F57" s="25"/>
      <c r="G57" s="25"/>
      <c r="H57" s="25"/>
      <c r="I57" s="25"/>
      <c r="J57" s="25"/>
      <c r="K57" s="25"/>
      <c r="L57" s="25"/>
      <c r="M57" s="25"/>
      <c r="N57" s="25"/>
      <c r="O57" s="25"/>
      <c r="P57" s="25"/>
      <c r="Q57" s="25"/>
      <c r="R57" s="25"/>
      <c r="S57" s="25"/>
    </row>
    <row r="58" spans="1:20" x14ac:dyDescent="0.3">
      <c r="A58" s="123" t="s">
        <v>27</v>
      </c>
      <c r="B58" s="123" t="s">
        <v>17</v>
      </c>
      <c r="C58" s="150">
        <v>60</v>
      </c>
      <c r="E58" s="295" t="s">
        <v>345</v>
      </c>
      <c r="F58" s="295"/>
      <c r="G58" s="295"/>
      <c r="H58" s="295"/>
      <c r="I58" s="295"/>
      <c r="J58" s="295"/>
      <c r="K58" s="295"/>
      <c r="L58" s="295"/>
      <c r="M58" s="152"/>
      <c r="N58" s="25"/>
      <c r="O58" s="25"/>
      <c r="P58" s="25"/>
      <c r="Q58" s="25"/>
      <c r="R58" s="25"/>
      <c r="S58" s="25"/>
    </row>
    <row r="59" spans="1:20" ht="15" thickBot="1" x14ac:dyDescent="0.35">
      <c r="A59" s="123" t="s">
        <v>27</v>
      </c>
      <c r="B59" s="123" t="s">
        <v>17</v>
      </c>
      <c r="C59" s="150">
        <v>407</v>
      </c>
      <c r="E59" s="153" t="s">
        <v>346</v>
      </c>
      <c r="F59" s="155" t="s">
        <v>11</v>
      </c>
      <c r="G59" s="156"/>
      <c r="H59" s="156"/>
      <c r="I59" s="156"/>
      <c r="J59" s="156"/>
      <c r="K59" s="156"/>
      <c r="L59" s="25"/>
      <c r="M59" s="25"/>
      <c r="N59" s="25"/>
      <c r="O59" s="25"/>
      <c r="P59" s="25"/>
      <c r="Q59" s="25"/>
      <c r="R59" s="25"/>
      <c r="S59" s="25"/>
    </row>
    <row r="60" spans="1:20" ht="24" x14ac:dyDescent="0.3">
      <c r="A60" s="123" t="s">
        <v>27</v>
      </c>
      <c r="B60" s="123" t="s">
        <v>17</v>
      </c>
      <c r="C60" s="150">
        <v>424</v>
      </c>
      <c r="D60" s="25"/>
      <c r="E60" s="157" t="s">
        <v>6</v>
      </c>
      <c r="F60" s="157"/>
      <c r="G60" s="158" t="s">
        <v>347</v>
      </c>
      <c r="H60" s="158" t="s">
        <v>232</v>
      </c>
      <c r="I60" s="158" t="s">
        <v>348</v>
      </c>
      <c r="J60" s="158" t="s">
        <v>234</v>
      </c>
      <c r="K60" s="158" t="s">
        <v>349</v>
      </c>
      <c r="L60" s="25"/>
      <c r="M60" s="193" t="s">
        <v>375</v>
      </c>
      <c r="N60" s="194"/>
      <c r="O60" s="194"/>
      <c r="P60" s="194"/>
      <c r="Q60" s="194"/>
      <c r="R60" s="194"/>
      <c r="S60" s="195"/>
      <c r="T60" s="25"/>
    </row>
    <row r="61" spans="1:20" x14ac:dyDescent="0.3">
      <c r="A61" s="123" t="s">
        <v>27</v>
      </c>
      <c r="B61" s="123" t="s">
        <v>17</v>
      </c>
      <c r="C61" s="150">
        <v>205</v>
      </c>
      <c r="D61" s="25"/>
      <c r="E61" s="159" t="s">
        <v>16</v>
      </c>
      <c r="F61" s="159" t="s">
        <v>350</v>
      </c>
      <c r="G61" s="160">
        <v>4561481.2790404046</v>
      </c>
      <c r="H61" s="163">
        <v>3</v>
      </c>
      <c r="I61" s="163">
        <v>1520493.7596801349</v>
      </c>
      <c r="J61" s="164">
        <v>36.55017083625971</v>
      </c>
      <c r="K61" s="164">
        <v>7.5601066692661106E-21</v>
      </c>
      <c r="L61" s="25"/>
      <c r="M61" s="196"/>
      <c r="N61" s="197"/>
      <c r="O61" s="197"/>
      <c r="P61" s="197"/>
      <c r="Q61" s="197"/>
      <c r="R61" s="197"/>
      <c r="S61" s="198"/>
      <c r="T61" s="25"/>
    </row>
    <row r="62" spans="1:20" x14ac:dyDescent="0.3">
      <c r="A62" s="123" t="s">
        <v>27</v>
      </c>
      <c r="B62" s="123" t="s">
        <v>17</v>
      </c>
      <c r="C62" s="150">
        <v>126</v>
      </c>
      <c r="D62" s="25"/>
      <c r="E62" s="159"/>
      <c r="F62" s="159" t="s">
        <v>351</v>
      </c>
      <c r="G62" s="160">
        <v>16307271.352157839</v>
      </c>
      <c r="H62" s="163">
        <v>392</v>
      </c>
      <c r="I62" s="163">
        <v>41600.182020810811</v>
      </c>
      <c r="J62" s="165"/>
      <c r="K62" s="165"/>
      <c r="L62" s="25"/>
      <c r="M62" s="196"/>
      <c r="N62" s="197"/>
      <c r="O62" s="197"/>
      <c r="P62" s="197"/>
      <c r="Q62" s="197"/>
      <c r="R62" s="197"/>
      <c r="S62" s="198"/>
      <c r="T62" s="25"/>
    </row>
    <row r="63" spans="1:20" x14ac:dyDescent="0.3">
      <c r="A63" s="123" t="s">
        <v>27</v>
      </c>
      <c r="B63" s="123" t="s">
        <v>17</v>
      </c>
      <c r="C63" s="150">
        <v>40</v>
      </c>
      <c r="D63" s="25"/>
      <c r="E63" s="159" t="s">
        <v>27</v>
      </c>
      <c r="F63" s="159" t="s">
        <v>350</v>
      </c>
      <c r="G63" s="160">
        <v>19283993.738822185</v>
      </c>
      <c r="H63" s="163">
        <v>3</v>
      </c>
      <c r="I63" s="163">
        <v>6427997.9129407285</v>
      </c>
      <c r="J63" s="164">
        <v>154.51850450378012</v>
      </c>
      <c r="K63" s="164">
        <v>4.2725934214805087E-66</v>
      </c>
      <c r="L63" s="25"/>
      <c r="M63" s="196"/>
      <c r="N63" s="197"/>
      <c r="O63" s="197"/>
      <c r="P63" s="197"/>
      <c r="Q63" s="197"/>
      <c r="R63" s="197"/>
      <c r="S63" s="198"/>
      <c r="T63" s="25"/>
    </row>
    <row r="64" spans="1:20" ht="15" thickBot="1" x14ac:dyDescent="0.35">
      <c r="A64" s="123" t="s">
        <v>27</v>
      </c>
      <c r="B64" s="123" t="s">
        <v>17</v>
      </c>
      <c r="C64" s="150">
        <v>365</v>
      </c>
      <c r="D64" s="25"/>
      <c r="E64" s="159"/>
      <c r="F64" s="159" t="s">
        <v>351</v>
      </c>
      <c r="G64" s="160">
        <v>16307271.352157839</v>
      </c>
      <c r="H64" s="163">
        <v>392</v>
      </c>
      <c r="I64" s="163">
        <v>41600.182020810811</v>
      </c>
      <c r="J64" s="165"/>
      <c r="K64" s="165"/>
      <c r="L64" s="25"/>
      <c r="M64" s="199"/>
      <c r="N64" s="200"/>
      <c r="O64" s="200"/>
      <c r="P64" s="200"/>
      <c r="Q64" s="200"/>
      <c r="R64" s="200"/>
      <c r="S64" s="201"/>
      <c r="T64" s="25"/>
    </row>
    <row r="65" spans="1:20" x14ac:dyDescent="0.3">
      <c r="A65" s="123" t="s">
        <v>27</v>
      </c>
      <c r="B65" s="123" t="s">
        <v>17</v>
      </c>
      <c r="C65" s="150">
        <v>104</v>
      </c>
      <c r="D65" s="25"/>
      <c r="E65" s="25"/>
      <c r="F65" s="25"/>
      <c r="G65" s="25"/>
      <c r="H65" s="25"/>
      <c r="I65" s="25"/>
      <c r="J65" s="25"/>
      <c r="K65" s="25"/>
      <c r="L65" s="25"/>
      <c r="M65" s="25"/>
      <c r="N65" s="25"/>
      <c r="O65" s="25"/>
      <c r="P65" s="25"/>
      <c r="Q65" s="25"/>
      <c r="R65" s="25"/>
      <c r="S65" s="25"/>
      <c r="T65" s="25"/>
    </row>
    <row r="66" spans="1:20" x14ac:dyDescent="0.3">
      <c r="A66" s="123" t="s">
        <v>27</v>
      </c>
      <c r="B66" s="123" t="s">
        <v>17</v>
      </c>
      <c r="C66" s="150">
        <v>311</v>
      </c>
      <c r="D66" s="25"/>
      <c r="E66" s="295" t="s">
        <v>352</v>
      </c>
      <c r="F66" s="295"/>
      <c r="G66" s="295"/>
      <c r="H66" s="295"/>
      <c r="I66" s="295"/>
      <c r="J66" s="295"/>
      <c r="K66" s="295"/>
      <c r="L66" s="295"/>
      <c r="M66" s="152"/>
      <c r="N66" s="25"/>
      <c r="O66" s="25"/>
      <c r="P66" s="25"/>
      <c r="Q66" s="25"/>
      <c r="R66" s="25"/>
      <c r="S66" s="25"/>
      <c r="T66" s="25"/>
    </row>
    <row r="67" spans="1:20" x14ac:dyDescent="0.3">
      <c r="A67" s="123" t="s">
        <v>27</v>
      </c>
      <c r="B67" s="123" t="s">
        <v>17</v>
      </c>
      <c r="C67" s="150">
        <v>146</v>
      </c>
      <c r="D67" s="25"/>
      <c r="E67" s="153" t="s">
        <v>346</v>
      </c>
      <c r="F67" s="296" t="s">
        <v>11</v>
      </c>
      <c r="G67" s="297"/>
      <c r="H67" s="297"/>
      <c r="I67" s="297"/>
      <c r="J67" s="297"/>
      <c r="K67" s="297"/>
      <c r="L67" s="297"/>
      <c r="M67" s="298"/>
      <c r="N67" s="25"/>
      <c r="O67" s="25"/>
      <c r="P67" s="25"/>
      <c r="Q67" s="25"/>
      <c r="R67" s="25"/>
      <c r="S67" s="25"/>
      <c r="T67" s="25"/>
    </row>
    <row r="68" spans="1:20" x14ac:dyDescent="0.3">
      <c r="A68" s="123" t="s">
        <v>27</v>
      </c>
      <c r="B68" s="123" t="s">
        <v>17</v>
      </c>
      <c r="C68" s="150">
        <v>567</v>
      </c>
      <c r="D68" s="25"/>
      <c r="E68" s="122"/>
      <c r="F68" s="157"/>
      <c r="G68" s="157"/>
      <c r="H68" s="299" t="s">
        <v>353</v>
      </c>
      <c r="I68" s="300" t="s">
        <v>354</v>
      </c>
      <c r="J68" s="300" t="s">
        <v>359</v>
      </c>
      <c r="K68" s="299" t="s">
        <v>360</v>
      </c>
      <c r="L68" s="299"/>
      <c r="N68" s="169"/>
      <c r="O68" s="170"/>
      <c r="P68" s="25"/>
      <c r="Q68" s="25"/>
      <c r="R68" s="25"/>
      <c r="S68" s="25"/>
      <c r="T68" s="25"/>
    </row>
    <row r="69" spans="1:20" ht="24" x14ac:dyDescent="0.3">
      <c r="A69" s="123" t="s">
        <v>27</v>
      </c>
      <c r="B69" s="123" t="s">
        <v>17</v>
      </c>
      <c r="C69" s="150">
        <v>312</v>
      </c>
      <c r="D69" s="25"/>
      <c r="E69" s="157" t="s">
        <v>6</v>
      </c>
      <c r="F69" s="157" t="s">
        <v>357</v>
      </c>
      <c r="G69" s="157" t="s">
        <v>358</v>
      </c>
      <c r="H69" s="299"/>
      <c r="I69" s="301"/>
      <c r="J69" s="301"/>
      <c r="K69" s="158" t="s">
        <v>355</v>
      </c>
      <c r="L69" s="158" t="s">
        <v>356</v>
      </c>
      <c r="M69" s="154"/>
      <c r="N69" s="25"/>
      <c r="O69" s="25"/>
      <c r="P69" s="25"/>
      <c r="Q69" s="25"/>
      <c r="R69" s="25"/>
      <c r="S69" s="25"/>
      <c r="T69" s="25"/>
    </row>
    <row r="70" spans="1:20" ht="15" thickBot="1" x14ac:dyDescent="0.35">
      <c r="A70" s="123" t="s">
        <v>27</v>
      </c>
      <c r="B70" s="123" t="s">
        <v>17</v>
      </c>
      <c r="C70" s="150">
        <v>169</v>
      </c>
      <c r="D70" s="25"/>
      <c r="E70" s="159" t="s">
        <v>16</v>
      </c>
      <c r="F70" s="159" t="s">
        <v>17</v>
      </c>
      <c r="G70" s="159" t="s">
        <v>28</v>
      </c>
      <c r="H70" s="166">
        <v>351.69400000000002</v>
      </c>
      <c r="I70" s="161">
        <v>76.011861301022932</v>
      </c>
      <c r="J70" s="161">
        <v>3.0318478057950604E-5</v>
      </c>
      <c r="K70" s="161">
        <v>150.13264050736822</v>
      </c>
      <c r="L70" s="161">
        <v>553.25624838152055</v>
      </c>
      <c r="M70" s="154"/>
      <c r="N70" s="25"/>
      <c r="O70" s="25"/>
      <c r="P70" s="25"/>
      <c r="Q70" s="25"/>
      <c r="R70" s="25"/>
      <c r="S70" s="25"/>
      <c r="T70" s="25"/>
    </row>
    <row r="71" spans="1:20" x14ac:dyDescent="0.3">
      <c r="A71" s="123" t="s">
        <v>27</v>
      </c>
      <c r="B71" s="123" t="s">
        <v>17</v>
      </c>
      <c r="C71" s="150">
        <v>-49</v>
      </c>
      <c r="D71" s="25"/>
      <c r="E71" s="159"/>
      <c r="F71" s="167"/>
      <c r="G71" s="167" t="s">
        <v>45</v>
      </c>
      <c r="H71" s="168">
        <v>-128.45833333333314</v>
      </c>
      <c r="I71" s="168">
        <v>93.095137293356629</v>
      </c>
      <c r="J71" s="168">
        <v>1</v>
      </c>
      <c r="K71" s="161">
        <v>-375.32011897370415</v>
      </c>
      <c r="L71" s="171">
        <v>118.40345230703787</v>
      </c>
      <c r="M71" s="302" t="s">
        <v>390</v>
      </c>
      <c r="N71" s="303"/>
      <c r="O71" s="303"/>
      <c r="P71" s="303"/>
      <c r="Q71" s="303"/>
      <c r="R71" s="303"/>
      <c r="S71" s="304"/>
      <c r="T71" s="25"/>
    </row>
    <row r="72" spans="1:20" x14ac:dyDescent="0.3">
      <c r="A72" s="123" t="s">
        <v>27</v>
      </c>
      <c r="B72" s="123" t="s">
        <v>17</v>
      </c>
      <c r="C72" s="150">
        <v>17</v>
      </c>
      <c r="D72" s="25"/>
      <c r="E72" s="159"/>
      <c r="F72" s="159"/>
      <c r="G72" s="159" t="s">
        <v>49</v>
      </c>
      <c r="H72" s="166">
        <v>-614.08299999999997</v>
      </c>
      <c r="I72" s="161">
        <v>101.98061337922368</v>
      </c>
      <c r="J72" s="161">
        <v>2.3859174218938973E-8</v>
      </c>
      <c r="K72" s="161">
        <v>-884.50687049580529</v>
      </c>
      <c r="L72" s="171">
        <v>-343.65979617086117</v>
      </c>
      <c r="M72" s="305"/>
      <c r="N72" s="306"/>
      <c r="O72" s="306"/>
      <c r="P72" s="306"/>
      <c r="Q72" s="306"/>
      <c r="R72" s="306"/>
      <c r="S72" s="307"/>
      <c r="T72" s="25"/>
    </row>
    <row r="73" spans="1:20" x14ac:dyDescent="0.3">
      <c r="A73" s="123" t="s">
        <v>27</v>
      </c>
      <c r="B73" s="123" t="s">
        <v>17</v>
      </c>
      <c r="C73" s="150">
        <v>183</v>
      </c>
      <c r="D73" s="25"/>
      <c r="E73" s="159"/>
      <c r="F73" s="159" t="s">
        <v>28</v>
      </c>
      <c r="G73" s="159" t="s">
        <v>17</v>
      </c>
      <c r="H73" s="166">
        <v>-351.69400000000002</v>
      </c>
      <c r="I73" s="161">
        <v>76.011861301022932</v>
      </c>
      <c r="J73" s="161">
        <v>3.0318478057950604E-5</v>
      </c>
      <c r="K73" s="161">
        <v>-553.25624838152055</v>
      </c>
      <c r="L73" s="171">
        <v>-150.13264050736822</v>
      </c>
      <c r="M73" s="305"/>
      <c r="N73" s="306"/>
      <c r="O73" s="306"/>
      <c r="P73" s="306"/>
      <c r="Q73" s="306"/>
      <c r="R73" s="306"/>
      <c r="S73" s="307"/>
      <c r="T73" s="25"/>
    </row>
    <row r="74" spans="1:20" x14ac:dyDescent="0.3">
      <c r="A74" s="123" t="s">
        <v>27</v>
      </c>
      <c r="B74" s="123" t="s">
        <v>17</v>
      </c>
      <c r="C74" s="150">
        <v>86</v>
      </c>
      <c r="D74" s="25"/>
      <c r="E74" s="159"/>
      <c r="F74" s="159"/>
      <c r="G74" s="159" t="s">
        <v>45</v>
      </c>
      <c r="H74" s="166">
        <v>-480.15300000000002</v>
      </c>
      <c r="I74" s="161">
        <v>86.666856271470522</v>
      </c>
      <c r="J74" s="161">
        <v>3.3306855996817403E-7</v>
      </c>
      <c r="K74" s="161">
        <v>-709.96859326548247</v>
      </c>
      <c r="L74" s="171">
        <v>-250.33696229007271</v>
      </c>
      <c r="M74" s="305"/>
      <c r="N74" s="306"/>
      <c r="O74" s="306"/>
      <c r="P74" s="306"/>
      <c r="Q74" s="306"/>
      <c r="R74" s="306"/>
      <c r="S74" s="307"/>
      <c r="T74" s="25"/>
    </row>
    <row r="75" spans="1:20" x14ac:dyDescent="0.3">
      <c r="A75" s="123" t="s">
        <v>27</v>
      </c>
      <c r="B75" s="123" t="s">
        <v>17</v>
      </c>
      <c r="C75" s="150">
        <v>285</v>
      </c>
      <c r="D75" s="25"/>
      <c r="E75" s="159"/>
      <c r="F75" s="159"/>
      <c r="G75" s="159" t="s">
        <v>49</v>
      </c>
      <c r="H75" s="166">
        <v>-965.77800000000002</v>
      </c>
      <c r="I75" s="161">
        <v>96.148244360016847</v>
      </c>
      <c r="J75" s="161">
        <v>1.6886994312631571E-20</v>
      </c>
      <c r="K75" s="161">
        <v>-1220.7355336711594</v>
      </c>
      <c r="L75" s="171">
        <v>-710.82002188439571</v>
      </c>
      <c r="M75" s="305"/>
      <c r="N75" s="306"/>
      <c r="O75" s="306"/>
      <c r="P75" s="306"/>
      <c r="Q75" s="306"/>
      <c r="R75" s="306"/>
      <c r="S75" s="307"/>
      <c r="T75" s="25"/>
    </row>
    <row r="76" spans="1:20" x14ac:dyDescent="0.3">
      <c r="A76" s="123" t="s">
        <v>27</v>
      </c>
      <c r="B76" s="123" t="s">
        <v>17</v>
      </c>
      <c r="C76" s="150">
        <v>357</v>
      </c>
      <c r="D76" s="25"/>
      <c r="E76" s="159"/>
      <c r="F76" s="167" t="s">
        <v>45</v>
      </c>
      <c r="G76" s="167" t="s">
        <v>17</v>
      </c>
      <c r="H76" s="168">
        <v>128.45833333333314</v>
      </c>
      <c r="I76" s="168">
        <v>93.095137293356629</v>
      </c>
      <c r="J76" s="168">
        <v>1</v>
      </c>
      <c r="K76" s="161">
        <v>-118.40345230703787</v>
      </c>
      <c r="L76" s="171">
        <v>375.32011897370415</v>
      </c>
      <c r="M76" s="305"/>
      <c r="N76" s="306"/>
      <c r="O76" s="306"/>
      <c r="P76" s="306"/>
      <c r="Q76" s="306"/>
      <c r="R76" s="306"/>
      <c r="S76" s="307"/>
      <c r="T76" s="25"/>
    </row>
    <row r="77" spans="1:20" x14ac:dyDescent="0.3">
      <c r="A77" s="123" t="s">
        <v>27</v>
      </c>
      <c r="B77" s="123" t="s">
        <v>17</v>
      </c>
      <c r="C77" s="150">
        <v>384</v>
      </c>
      <c r="D77" s="25"/>
      <c r="E77" s="159"/>
      <c r="F77" s="159"/>
      <c r="G77" s="159" t="s">
        <v>28</v>
      </c>
      <c r="H77" s="166">
        <v>480.15300000000002</v>
      </c>
      <c r="I77" s="161">
        <v>86.666856271470522</v>
      </c>
      <c r="J77" s="161">
        <v>3.3306855996817403E-7</v>
      </c>
      <c r="K77" s="161">
        <v>250.33696229007271</v>
      </c>
      <c r="L77" s="171">
        <v>709.96859326548247</v>
      </c>
      <c r="M77" s="305"/>
      <c r="N77" s="306"/>
      <c r="O77" s="306"/>
      <c r="P77" s="306"/>
      <c r="Q77" s="306"/>
      <c r="R77" s="306"/>
      <c r="S77" s="307"/>
      <c r="T77" s="25"/>
    </row>
    <row r="78" spans="1:20" x14ac:dyDescent="0.3">
      <c r="A78" s="123" t="s">
        <v>27</v>
      </c>
      <c r="B78" s="123" t="s">
        <v>17</v>
      </c>
      <c r="C78" s="150">
        <v>366</v>
      </c>
      <c r="D78" s="25"/>
      <c r="E78" s="159"/>
      <c r="F78" s="159"/>
      <c r="G78" s="159" t="s">
        <v>49</v>
      </c>
      <c r="H78" s="166">
        <v>-485.625</v>
      </c>
      <c r="I78" s="161">
        <v>110.15165192922206</v>
      </c>
      <c r="J78" s="161">
        <v>8.068254436762808E-5</v>
      </c>
      <c r="K78" s="161">
        <v>-777.7158038493742</v>
      </c>
      <c r="L78" s="171">
        <v>-193.53419615062609</v>
      </c>
      <c r="M78" s="305"/>
      <c r="N78" s="306"/>
      <c r="O78" s="306"/>
      <c r="P78" s="306"/>
      <c r="Q78" s="306"/>
      <c r="R78" s="306"/>
      <c r="S78" s="307"/>
      <c r="T78" s="25"/>
    </row>
    <row r="79" spans="1:20" x14ac:dyDescent="0.3">
      <c r="A79" s="123" t="s">
        <v>27</v>
      </c>
      <c r="B79" s="123" t="s">
        <v>17</v>
      </c>
      <c r="C79" s="150">
        <v>169</v>
      </c>
      <c r="D79" s="25"/>
      <c r="E79" s="159"/>
      <c r="F79" s="159" t="s">
        <v>49</v>
      </c>
      <c r="G79" s="159" t="s">
        <v>17</v>
      </c>
      <c r="H79" s="166">
        <v>614.08299999999997</v>
      </c>
      <c r="I79" s="161">
        <v>101.98061337922368</v>
      </c>
      <c r="J79" s="161">
        <v>2.3859174218938973E-8</v>
      </c>
      <c r="K79" s="161">
        <v>343.65979617086117</v>
      </c>
      <c r="L79" s="171">
        <v>884.50687049580529</v>
      </c>
      <c r="M79" s="305"/>
      <c r="N79" s="306"/>
      <c r="O79" s="306"/>
      <c r="P79" s="306"/>
      <c r="Q79" s="306"/>
      <c r="R79" s="306"/>
      <c r="S79" s="307"/>
      <c r="T79" s="25"/>
    </row>
    <row r="80" spans="1:20" x14ac:dyDescent="0.3">
      <c r="A80" s="123" t="s">
        <v>27</v>
      </c>
      <c r="B80" s="123" t="s">
        <v>17</v>
      </c>
      <c r="C80" s="150">
        <v>-26</v>
      </c>
      <c r="D80" s="25"/>
      <c r="E80" s="159"/>
      <c r="F80" s="159"/>
      <c r="G80" s="159" t="s">
        <v>28</v>
      </c>
      <c r="H80" s="166">
        <v>965.77800000000002</v>
      </c>
      <c r="I80" s="161">
        <v>96.148244360016847</v>
      </c>
      <c r="J80" s="161">
        <v>1.6886994312631571E-20</v>
      </c>
      <c r="K80" s="161">
        <v>710.82002188439571</v>
      </c>
      <c r="L80" s="171">
        <v>1220.7355336711594</v>
      </c>
      <c r="M80" s="305"/>
      <c r="N80" s="306"/>
      <c r="O80" s="306"/>
      <c r="P80" s="306"/>
      <c r="Q80" s="306"/>
      <c r="R80" s="306"/>
      <c r="S80" s="307"/>
      <c r="T80" s="25"/>
    </row>
    <row r="81" spans="1:20" ht="28.2" customHeight="1" x14ac:dyDescent="0.3">
      <c r="A81" s="123" t="s">
        <v>27</v>
      </c>
      <c r="B81" s="123" t="s">
        <v>17</v>
      </c>
      <c r="C81" s="150">
        <v>17</v>
      </c>
      <c r="D81" s="25"/>
      <c r="E81" s="159"/>
      <c r="F81" s="159"/>
      <c r="G81" s="159" t="s">
        <v>45</v>
      </c>
      <c r="H81" s="166">
        <v>485.625</v>
      </c>
      <c r="I81" s="161">
        <v>110.15165192922206</v>
      </c>
      <c r="J81" s="161">
        <v>8.068254436762808E-5</v>
      </c>
      <c r="K81" s="161">
        <v>193.53419615062609</v>
      </c>
      <c r="L81" s="171">
        <v>777.7158038493742</v>
      </c>
      <c r="M81" s="305"/>
      <c r="N81" s="306"/>
      <c r="O81" s="306"/>
      <c r="P81" s="306"/>
      <c r="Q81" s="306"/>
      <c r="R81" s="306"/>
      <c r="S81" s="307"/>
      <c r="T81" s="25"/>
    </row>
    <row r="82" spans="1:20" ht="18.600000000000001" customHeight="1" thickBot="1" x14ac:dyDescent="0.35">
      <c r="A82" s="123" t="s">
        <v>27</v>
      </c>
      <c r="B82" s="123" t="s">
        <v>17</v>
      </c>
      <c r="C82" s="150">
        <v>172</v>
      </c>
      <c r="D82" s="25"/>
      <c r="E82" s="159" t="s">
        <v>27</v>
      </c>
      <c r="F82" s="159" t="s">
        <v>17</v>
      </c>
      <c r="G82" s="159" t="s">
        <v>28</v>
      </c>
      <c r="H82" s="166">
        <v>221.078</v>
      </c>
      <c r="I82" s="161">
        <v>32.109929516119216</v>
      </c>
      <c r="J82" s="161">
        <v>1.3828108985942945E-10</v>
      </c>
      <c r="K82" s="161">
        <v>135.93198674994429</v>
      </c>
      <c r="L82" s="171">
        <v>306.22475966153877</v>
      </c>
      <c r="M82" s="308"/>
      <c r="N82" s="309"/>
      <c r="O82" s="309"/>
      <c r="P82" s="309"/>
      <c r="Q82" s="309"/>
      <c r="R82" s="309"/>
      <c r="S82" s="310"/>
      <c r="T82" s="25"/>
    </row>
    <row r="83" spans="1:20" x14ac:dyDescent="0.3">
      <c r="A83" s="123" t="s">
        <v>27</v>
      </c>
      <c r="B83" s="123" t="s">
        <v>17</v>
      </c>
      <c r="C83" s="150">
        <v>372</v>
      </c>
      <c r="D83" s="25"/>
      <c r="E83" s="159"/>
      <c r="F83" s="159"/>
      <c r="G83" s="159" t="s">
        <v>45</v>
      </c>
      <c r="H83" s="166">
        <v>-246.43899999999999</v>
      </c>
      <c r="I83" s="161">
        <v>40.02970623852169</v>
      </c>
      <c r="J83" s="161">
        <v>1.1055233225326072E-8</v>
      </c>
      <c r="K83" s="161">
        <v>-352.58663760794718</v>
      </c>
      <c r="L83" s="161">
        <v>-140.29188091057151</v>
      </c>
      <c r="M83" s="154"/>
      <c r="N83" s="25"/>
      <c r="O83" s="25"/>
      <c r="P83" s="25"/>
      <c r="Q83" s="25"/>
      <c r="R83" s="25"/>
      <c r="S83" s="25"/>
      <c r="T83" s="25"/>
    </row>
    <row r="84" spans="1:20" x14ac:dyDescent="0.3">
      <c r="A84" s="123" t="s">
        <v>27</v>
      </c>
      <c r="B84" s="123" t="s">
        <v>17</v>
      </c>
      <c r="C84" s="150">
        <v>434</v>
      </c>
      <c r="D84" s="25"/>
      <c r="E84" s="159"/>
      <c r="F84" s="159"/>
      <c r="G84" s="159" t="s">
        <v>49</v>
      </c>
      <c r="H84" s="166">
        <v>-389.459</v>
      </c>
      <c r="I84" s="161">
        <v>42.419921427596307</v>
      </c>
      <c r="J84" s="161">
        <v>1.4969981979314501E-17</v>
      </c>
      <c r="K84" s="161">
        <v>-501.94461793675475</v>
      </c>
      <c r="L84" s="161">
        <v>-276.97352159812897</v>
      </c>
      <c r="M84" s="154"/>
      <c r="N84" s="25"/>
      <c r="O84" s="25"/>
      <c r="P84" s="25"/>
      <c r="Q84" s="25"/>
      <c r="R84" s="25"/>
      <c r="S84" s="25"/>
      <c r="T84" s="25"/>
    </row>
    <row r="85" spans="1:20" x14ac:dyDescent="0.3">
      <c r="A85" s="123" t="s">
        <v>27</v>
      </c>
      <c r="B85" s="123" t="s">
        <v>17</v>
      </c>
      <c r="C85" s="150">
        <v>99</v>
      </c>
      <c r="D85" s="25"/>
      <c r="E85" s="159"/>
      <c r="F85" s="159" t="s">
        <v>28</v>
      </c>
      <c r="G85" s="159" t="s">
        <v>17</v>
      </c>
      <c r="H85" s="166">
        <v>-221.078</v>
      </c>
      <c r="I85" s="161">
        <v>32.109929516119216</v>
      </c>
      <c r="J85" s="161">
        <v>1.3828108985942945E-10</v>
      </c>
      <c r="K85" s="161">
        <v>-306.22475966153877</v>
      </c>
      <c r="L85" s="161">
        <v>-135.93198674994429</v>
      </c>
      <c r="M85" s="154"/>
      <c r="N85" s="25"/>
      <c r="O85" s="25"/>
      <c r="P85" s="25"/>
      <c r="Q85" s="25"/>
      <c r="R85" s="25"/>
      <c r="S85" s="25"/>
      <c r="T85" s="25"/>
    </row>
    <row r="86" spans="1:20" x14ac:dyDescent="0.3">
      <c r="A86" s="123" t="s">
        <v>27</v>
      </c>
      <c r="B86" s="123" t="s">
        <v>17</v>
      </c>
      <c r="C86" s="150">
        <v>55</v>
      </c>
      <c r="D86" s="25"/>
      <c r="E86" s="159"/>
      <c r="F86" s="159"/>
      <c r="G86" s="159" t="s">
        <v>45</v>
      </c>
      <c r="H86" s="166">
        <v>-467.51799999999997</v>
      </c>
      <c r="I86" s="161">
        <v>31.135472924624949</v>
      </c>
      <c r="J86" s="161">
        <v>8.388141761990659E-40</v>
      </c>
      <c r="K86" s="161">
        <v>-550.08003761737859</v>
      </c>
      <c r="L86" s="161">
        <v>-384.95522731262309</v>
      </c>
      <c r="M86" s="154"/>
      <c r="N86" s="25"/>
      <c r="O86" s="25"/>
      <c r="P86" s="25"/>
      <c r="Q86" s="25"/>
      <c r="R86" s="25"/>
      <c r="S86" s="25"/>
      <c r="T86" s="25"/>
    </row>
    <row r="87" spans="1:20" x14ac:dyDescent="0.3">
      <c r="A87" s="123" t="s">
        <v>27</v>
      </c>
      <c r="B87" s="123" t="s">
        <v>17</v>
      </c>
      <c r="C87" s="150">
        <v>365</v>
      </c>
      <c r="D87" s="25"/>
      <c r="E87" s="159"/>
      <c r="F87" s="159"/>
      <c r="G87" s="159" t="s">
        <v>49</v>
      </c>
      <c r="H87" s="166">
        <v>-610.53700000000003</v>
      </c>
      <c r="I87" s="161">
        <v>34.153916709817565</v>
      </c>
      <c r="J87" s="161">
        <v>6.4128209401790896E-52</v>
      </c>
      <c r="K87" s="161">
        <v>-701.10390123007164</v>
      </c>
      <c r="L87" s="161">
        <v>-519.97098471629511</v>
      </c>
      <c r="M87" s="154"/>
      <c r="N87" s="25"/>
      <c r="O87" s="25"/>
      <c r="P87" s="25"/>
      <c r="Q87" s="25"/>
      <c r="R87" s="25"/>
      <c r="S87" s="25"/>
      <c r="T87" s="25"/>
    </row>
    <row r="88" spans="1:20" x14ac:dyDescent="0.3">
      <c r="A88" s="123" t="s">
        <v>27</v>
      </c>
      <c r="B88" s="123" t="s">
        <v>17</v>
      </c>
      <c r="C88" s="150">
        <v>464</v>
      </c>
      <c r="D88" s="25"/>
      <c r="E88" s="159"/>
      <c r="F88" s="159" t="s">
        <v>45</v>
      </c>
      <c r="G88" s="159" t="s">
        <v>17</v>
      </c>
      <c r="H88" s="166">
        <v>246.43899999999999</v>
      </c>
      <c r="I88" s="161">
        <v>40.02970623852169</v>
      </c>
      <c r="J88" s="161">
        <v>1.1055233225326072E-8</v>
      </c>
      <c r="K88" s="161">
        <v>140.29188091057151</v>
      </c>
      <c r="L88" s="161">
        <v>352.58663760794718</v>
      </c>
      <c r="M88" s="154"/>
      <c r="N88" s="25"/>
      <c r="O88" s="25"/>
      <c r="P88" s="25"/>
      <c r="Q88" s="25"/>
      <c r="R88" s="25"/>
      <c r="S88" s="25"/>
      <c r="T88" s="25"/>
    </row>
    <row r="89" spans="1:20" x14ac:dyDescent="0.3">
      <c r="A89" s="123" t="s">
        <v>27</v>
      </c>
      <c r="B89" s="123" t="s">
        <v>17</v>
      </c>
      <c r="C89" s="150">
        <v>545</v>
      </c>
      <c r="D89" s="25"/>
      <c r="E89" s="159"/>
      <c r="F89" s="159"/>
      <c r="G89" s="159" t="s">
        <v>28</v>
      </c>
      <c r="H89" s="166">
        <v>467.51799999999997</v>
      </c>
      <c r="I89" s="161">
        <v>31.135472924624949</v>
      </c>
      <c r="J89" s="161">
        <v>8.388141761990659E-40</v>
      </c>
      <c r="K89" s="161">
        <v>384.95522731262309</v>
      </c>
      <c r="L89" s="161">
        <v>550.08003761737859</v>
      </c>
      <c r="M89" s="154"/>
      <c r="N89" s="25"/>
      <c r="O89" s="25"/>
      <c r="P89" s="25"/>
      <c r="Q89" s="25"/>
      <c r="R89" s="25"/>
      <c r="S89" s="25"/>
      <c r="T89" s="25"/>
    </row>
    <row r="90" spans="1:20" x14ac:dyDescent="0.3">
      <c r="A90" s="123" t="s">
        <v>27</v>
      </c>
      <c r="B90" s="123" t="s">
        <v>17</v>
      </c>
      <c r="C90" s="150">
        <v>295</v>
      </c>
      <c r="D90" s="25"/>
      <c r="E90" s="159"/>
      <c r="F90" s="159"/>
      <c r="G90" s="159" t="s">
        <v>49</v>
      </c>
      <c r="H90" s="166">
        <v>-143.02000000000001</v>
      </c>
      <c r="I90" s="161">
        <v>41.687166306110974</v>
      </c>
      <c r="J90" s="161">
        <v>3.9949369713154406E-3</v>
      </c>
      <c r="K90" s="161">
        <v>-253.56230082306647</v>
      </c>
      <c r="L90" s="161">
        <v>-32.477320193298596</v>
      </c>
      <c r="M90" s="154"/>
      <c r="N90" s="25"/>
      <c r="O90" s="25"/>
      <c r="P90" s="25"/>
      <c r="Q90" s="25"/>
      <c r="R90" s="25"/>
      <c r="S90" s="25"/>
      <c r="T90" s="25"/>
    </row>
    <row r="91" spans="1:20" x14ac:dyDescent="0.3">
      <c r="A91" s="123" t="s">
        <v>27</v>
      </c>
      <c r="B91" s="123" t="s">
        <v>17</v>
      </c>
      <c r="C91" s="150">
        <v>198</v>
      </c>
      <c r="D91" s="25"/>
      <c r="E91" s="159"/>
      <c r="F91" s="159" t="s">
        <v>49</v>
      </c>
      <c r="G91" s="159" t="s">
        <v>17</v>
      </c>
      <c r="H91" s="166">
        <v>389.459</v>
      </c>
      <c r="I91" s="161">
        <v>42.419921427596307</v>
      </c>
      <c r="J91" s="161">
        <v>1.4969981979314501E-17</v>
      </c>
      <c r="K91" s="161">
        <v>276.97352159812897</v>
      </c>
      <c r="L91" s="161">
        <v>501.94461793675475</v>
      </c>
      <c r="M91" s="154"/>
      <c r="N91" s="25"/>
      <c r="O91" s="25"/>
      <c r="P91" s="25"/>
      <c r="Q91" s="25"/>
      <c r="R91" s="25"/>
      <c r="S91" s="25"/>
      <c r="T91" s="25"/>
    </row>
    <row r="92" spans="1:20" x14ac:dyDescent="0.3">
      <c r="A92" s="123" t="s">
        <v>27</v>
      </c>
      <c r="B92" s="123" t="s">
        <v>17</v>
      </c>
      <c r="C92" s="150">
        <v>202</v>
      </c>
      <c r="D92" s="25"/>
      <c r="E92" s="159"/>
      <c r="F92" s="159"/>
      <c r="G92" s="159" t="s">
        <v>28</v>
      </c>
      <c r="H92" s="166">
        <v>610.53700000000003</v>
      </c>
      <c r="I92" s="161">
        <v>34.153916709817565</v>
      </c>
      <c r="J92" s="161">
        <v>6.4128209401790896E-52</v>
      </c>
      <c r="K92" s="161">
        <v>519.97098471629511</v>
      </c>
      <c r="L92" s="161">
        <v>701.10390123007164</v>
      </c>
      <c r="M92" s="154"/>
      <c r="N92" s="25"/>
      <c r="O92" s="25"/>
      <c r="P92" s="25"/>
      <c r="Q92" s="25"/>
      <c r="R92" s="25"/>
      <c r="S92" s="25"/>
      <c r="T92" s="25"/>
    </row>
    <row r="93" spans="1:20" x14ac:dyDescent="0.3">
      <c r="A93" s="123" t="s">
        <v>27</v>
      </c>
      <c r="B93" s="123" t="s">
        <v>17</v>
      </c>
      <c r="C93" s="150">
        <v>452</v>
      </c>
      <c r="D93" s="25"/>
      <c r="E93" s="159"/>
      <c r="F93" s="159"/>
      <c r="G93" s="159" t="s">
        <v>45</v>
      </c>
      <c r="H93" s="166">
        <v>143.02000000000001</v>
      </c>
      <c r="I93" s="161">
        <v>41.687166306110974</v>
      </c>
      <c r="J93" s="161">
        <v>3.9949369713154406E-3</v>
      </c>
      <c r="K93" s="161">
        <v>32.477320193298596</v>
      </c>
      <c r="L93" s="161">
        <v>253.56230082306647</v>
      </c>
      <c r="M93" s="154"/>
      <c r="N93" s="25"/>
      <c r="O93" s="25"/>
      <c r="P93" s="25"/>
      <c r="Q93" s="25"/>
      <c r="R93" s="25"/>
      <c r="S93" s="25"/>
      <c r="T93" s="25"/>
    </row>
    <row r="94" spans="1:20" x14ac:dyDescent="0.3">
      <c r="A94" s="123" t="s">
        <v>27</v>
      </c>
      <c r="B94" s="123" t="s">
        <v>17</v>
      </c>
      <c r="C94" s="150">
        <v>-17</v>
      </c>
      <c r="D94" s="25"/>
      <c r="E94" s="154"/>
      <c r="F94" s="154"/>
      <c r="G94" s="154"/>
      <c r="H94" s="154"/>
      <c r="I94" s="154"/>
      <c r="J94" s="154"/>
      <c r="K94" s="154"/>
      <c r="L94" s="154"/>
      <c r="M94" s="154"/>
      <c r="N94" s="25"/>
      <c r="O94" s="25"/>
      <c r="P94" s="25"/>
      <c r="Q94" s="25"/>
      <c r="R94" s="25"/>
      <c r="S94" s="25"/>
      <c r="T94" s="25"/>
    </row>
    <row r="95" spans="1:20" ht="15.6" x14ac:dyDescent="0.35">
      <c r="A95" s="123" t="s">
        <v>27</v>
      </c>
      <c r="B95" s="123" t="s">
        <v>17</v>
      </c>
      <c r="C95" s="150">
        <v>165</v>
      </c>
      <c r="D95" s="25"/>
      <c r="E95" s="65" t="s">
        <v>371</v>
      </c>
      <c r="F95" t="s">
        <v>331</v>
      </c>
      <c r="G95" s="25" t="s">
        <v>363</v>
      </c>
      <c r="I95" s="25"/>
      <c r="T95" s="25"/>
    </row>
    <row r="96" spans="1:20" ht="15.6" x14ac:dyDescent="0.35">
      <c r="A96" s="123" t="s">
        <v>27</v>
      </c>
      <c r="B96" s="123" t="s">
        <v>17</v>
      </c>
      <c r="C96" s="150">
        <v>193</v>
      </c>
      <c r="D96" s="25"/>
      <c r="E96" s="65" t="s">
        <v>220</v>
      </c>
      <c r="F96" t="s">
        <v>361</v>
      </c>
      <c r="G96" t="s">
        <v>362</v>
      </c>
      <c r="I96" s="25"/>
      <c r="T96" s="25"/>
    </row>
    <row r="97" spans="1:20" x14ac:dyDescent="0.3">
      <c r="A97" s="123" t="s">
        <v>27</v>
      </c>
      <c r="B97" s="123" t="s">
        <v>17</v>
      </c>
      <c r="C97" s="150">
        <v>343</v>
      </c>
      <c r="D97" s="25"/>
      <c r="T97" s="25"/>
    </row>
    <row r="98" spans="1:20" ht="15.6" x14ac:dyDescent="0.35">
      <c r="A98" s="123" t="s">
        <v>27</v>
      </c>
      <c r="B98" s="123" t="s">
        <v>17</v>
      </c>
      <c r="C98" s="150">
        <v>344</v>
      </c>
      <c r="D98" s="25"/>
      <c r="E98" s="65" t="s">
        <v>372</v>
      </c>
      <c r="F98" t="s">
        <v>331</v>
      </c>
      <c r="G98" s="25" t="s">
        <v>364</v>
      </c>
      <c r="I98" s="25"/>
      <c r="J98" s="25"/>
      <c r="K98" s="25"/>
      <c r="T98" s="25"/>
    </row>
    <row r="99" spans="1:20" ht="15.6" x14ac:dyDescent="0.35">
      <c r="A99" s="123" t="s">
        <v>27</v>
      </c>
      <c r="B99" s="123" t="s">
        <v>17</v>
      </c>
      <c r="C99" s="150">
        <v>303</v>
      </c>
      <c r="D99" s="25"/>
      <c r="E99" s="65" t="s">
        <v>220</v>
      </c>
      <c r="F99" t="s">
        <v>361</v>
      </c>
      <c r="G99" t="s">
        <v>362</v>
      </c>
      <c r="I99" s="25"/>
      <c r="J99" s="25"/>
      <c r="K99" s="25"/>
      <c r="T99" s="25"/>
    </row>
    <row r="100" spans="1:20" x14ac:dyDescent="0.3">
      <c r="A100" s="123" t="s">
        <v>27</v>
      </c>
      <c r="B100" s="123" t="s">
        <v>17</v>
      </c>
      <c r="C100" s="150">
        <v>278</v>
      </c>
      <c r="D100" s="25"/>
      <c r="E100" s="25"/>
      <c r="F100" s="25"/>
      <c r="G100" s="25"/>
      <c r="H100" s="25"/>
      <c r="I100" s="25"/>
      <c r="J100" s="25"/>
      <c r="K100" s="25"/>
      <c r="T100" s="25"/>
    </row>
    <row r="101" spans="1:20" ht="15.6" x14ac:dyDescent="0.35">
      <c r="A101" s="123" t="s">
        <v>27</v>
      </c>
      <c r="B101" s="123" t="s">
        <v>28</v>
      </c>
      <c r="C101" s="150">
        <v>40</v>
      </c>
      <c r="D101" s="25"/>
      <c r="E101" s="65" t="s">
        <v>373</v>
      </c>
      <c r="F101" t="s">
        <v>331</v>
      </c>
      <c r="G101" s="25" t="s">
        <v>365</v>
      </c>
      <c r="H101" s="25"/>
      <c r="I101" s="25"/>
      <c r="J101" s="25"/>
      <c r="K101" s="25"/>
      <c r="T101" s="25"/>
    </row>
    <row r="102" spans="1:20" ht="15.6" x14ac:dyDescent="0.35">
      <c r="A102" s="123" t="s">
        <v>27</v>
      </c>
      <c r="B102" s="123" t="s">
        <v>28</v>
      </c>
      <c r="C102" s="150">
        <v>20</v>
      </c>
      <c r="D102" s="25"/>
      <c r="E102" s="65" t="s">
        <v>220</v>
      </c>
      <c r="F102" t="s">
        <v>361</v>
      </c>
      <c r="G102" t="s">
        <v>362</v>
      </c>
      <c r="T102" s="25"/>
    </row>
    <row r="103" spans="1:20" x14ac:dyDescent="0.3">
      <c r="A103" s="123" t="s">
        <v>27</v>
      </c>
      <c r="B103" s="123" t="s">
        <v>28</v>
      </c>
      <c r="C103" s="150">
        <v>209</v>
      </c>
      <c r="D103" s="25"/>
      <c r="T103" s="25"/>
    </row>
    <row r="104" spans="1:20" ht="15.6" x14ac:dyDescent="0.35">
      <c r="A104" s="123" t="s">
        <v>27</v>
      </c>
      <c r="B104" s="123" t="s">
        <v>28</v>
      </c>
      <c r="C104" s="150">
        <v>98</v>
      </c>
      <c r="D104" s="25"/>
      <c r="E104" s="65" t="s">
        <v>374</v>
      </c>
      <c r="F104" t="s">
        <v>331</v>
      </c>
      <c r="G104" s="25" t="s">
        <v>366</v>
      </c>
      <c r="T104" s="25"/>
    </row>
    <row r="105" spans="1:20" ht="15.6" x14ac:dyDescent="0.35">
      <c r="A105" s="123" t="s">
        <v>27</v>
      </c>
      <c r="B105" s="123" t="s">
        <v>28</v>
      </c>
      <c r="C105" s="150">
        <v>0</v>
      </c>
      <c r="D105" s="25"/>
      <c r="E105" s="65" t="s">
        <v>220</v>
      </c>
      <c r="F105" t="s">
        <v>361</v>
      </c>
      <c r="G105" t="s">
        <v>362</v>
      </c>
      <c r="T105" s="25"/>
    </row>
    <row r="106" spans="1:20" x14ac:dyDescent="0.3">
      <c r="A106" s="123" t="s">
        <v>27</v>
      </c>
      <c r="B106" s="123" t="s">
        <v>28</v>
      </c>
      <c r="C106" s="150">
        <v>-29</v>
      </c>
      <c r="D106" s="25"/>
      <c r="T106" s="25"/>
    </row>
    <row r="107" spans="1:20" x14ac:dyDescent="0.3">
      <c r="A107" s="123" t="s">
        <v>27</v>
      </c>
      <c r="B107" s="123" t="s">
        <v>28</v>
      </c>
      <c r="C107" s="150">
        <v>0</v>
      </c>
      <c r="D107" s="25"/>
      <c r="E107" s="25"/>
      <c r="F107" s="25"/>
      <c r="G107" s="25"/>
      <c r="H107" s="25"/>
      <c r="I107" s="25"/>
      <c r="J107" s="25"/>
      <c r="K107" s="25"/>
      <c r="L107" s="25"/>
      <c r="M107" s="25"/>
      <c r="N107" s="25"/>
      <c r="O107" s="25"/>
      <c r="P107" s="25"/>
      <c r="Q107" s="25"/>
      <c r="R107" s="25"/>
      <c r="S107" s="25"/>
      <c r="T107" s="25"/>
    </row>
    <row r="108" spans="1:20" x14ac:dyDescent="0.3">
      <c r="A108" s="123" t="s">
        <v>27</v>
      </c>
      <c r="B108" s="123" t="s">
        <v>28</v>
      </c>
      <c r="C108" s="150">
        <v>58</v>
      </c>
      <c r="D108" s="25"/>
      <c r="E108" s="295" t="s">
        <v>345</v>
      </c>
      <c r="F108" s="295"/>
      <c r="G108" s="295"/>
      <c r="H108" s="295"/>
      <c r="I108" s="295"/>
      <c r="J108" s="295"/>
      <c r="K108" s="295"/>
      <c r="L108" s="295"/>
      <c r="M108" s="152"/>
      <c r="N108" s="25"/>
      <c r="O108" s="25"/>
      <c r="P108" s="25"/>
      <c r="Q108" s="25"/>
      <c r="R108" s="25"/>
      <c r="S108" s="25"/>
      <c r="T108" s="25"/>
    </row>
    <row r="109" spans="1:20" s="139" customFormat="1" ht="15" thickBot="1" x14ac:dyDescent="0.35">
      <c r="A109" s="123" t="s">
        <v>27</v>
      </c>
      <c r="B109" s="123" t="s">
        <v>28</v>
      </c>
      <c r="C109" s="150">
        <v>73</v>
      </c>
      <c r="D109" s="25"/>
      <c r="E109" s="155" t="s">
        <v>346</v>
      </c>
      <c r="F109" s="155" t="s">
        <v>11</v>
      </c>
      <c r="G109" s="156"/>
      <c r="H109" s="156"/>
      <c r="I109" s="156"/>
      <c r="J109" s="156"/>
      <c r="K109" s="156"/>
      <c r="L109" s="156"/>
      <c r="M109" s="156"/>
      <c r="N109" s="25"/>
      <c r="O109" s="25"/>
      <c r="P109" s="25"/>
      <c r="Q109" s="25"/>
      <c r="R109" s="25"/>
      <c r="S109" s="25"/>
      <c r="T109" s="25"/>
    </row>
    <row r="110" spans="1:20" ht="25.2" customHeight="1" x14ac:dyDescent="0.3">
      <c r="A110" s="123" t="s">
        <v>27</v>
      </c>
      <c r="B110" s="123" t="s">
        <v>28</v>
      </c>
      <c r="C110" s="150">
        <v>94</v>
      </c>
      <c r="D110" s="25"/>
      <c r="E110" s="157" t="s">
        <v>7</v>
      </c>
      <c r="F110" s="157"/>
      <c r="G110" s="158" t="s">
        <v>347</v>
      </c>
      <c r="H110" s="158" t="s">
        <v>232</v>
      </c>
      <c r="I110" s="158" t="s">
        <v>348</v>
      </c>
      <c r="J110" s="158" t="s">
        <v>234</v>
      </c>
      <c r="K110" s="158" t="s">
        <v>349</v>
      </c>
      <c r="L110" s="25"/>
      <c r="M110" s="193" t="s">
        <v>391</v>
      </c>
      <c r="N110" s="194"/>
      <c r="O110" s="194"/>
      <c r="P110" s="194"/>
      <c r="Q110" s="194"/>
      <c r="R110" s="194"/>
      <c r="S110" s="195"/>
      <c r="T110" s="25"/>
    </row>
    <row r="111" spans="1:20" x14ac:dyDescent="0.3">
      <c r="A111" s="123" t="s">
        <v>27</v>
      </c>
      <c r="B111" s="123" t="s">
        <v>28</v>
      </c>
      <c r="C111" s="150">
        <v>84</v>
      </c>
      <c r="D111" s="25"/>
      <c r="E111" s="159" t="s">
        <v>17</v>
      </c>
      <c r="F111" s="159" t="s">
        <v>350</v>
      </c>
      <c r="G111" s="163">
        <v>185893.89688172072</v>
      </c>
      <c r="H111" s="160">
        <v>1</v>
      </c>
      <c r="I111" s="161">
        <v>185893.89688172072</v>
      </c>
      <c r="J111" s="161">
        <v>4.4685837381366715</v>
      </c>
      <c r="K111" s="161">
        <v>3.5154657582489438E-2</v>
      </c>
      <c r="L111" s="25"/>
      <c r="M111" s="196"/>
      <c r="N111" s="197"/>
      <c r="O111" s="197"/>
      <c r="P111" s="197"/>
      <c r="Q111" s="197"/>
      <c r="R111" s="197"/>
      <c r="S111" s="198"/>
      <c r="T111" s="25"/>
    </row>
    <row r="112" spans="1:20" x14ac:dyDescent="0.3">
      <c r="A112" s="123" t="s">
        <v>27</v>
      </c>
      <c r="B112" s="123" t="s">
        <v>28</v>
      </c>
      <c r="C112" s="150">
        <v>130</v>
      </c>
      <c r="D112" s="25"/>
      <c r="E112" s="159"/>
      <c r="F112" s="159" t="s">
        <v>351</v>
      </c>
      <c r="G112" s="163">
        <v>16307271.352157839</v>
      </c>
      <c r="H112" s="160">
        <v>392</v>
      </c>
      <c r="I112" s="161">
        <v>41600.182020810811</v>
      </c>
      <c r="J112" s="162"/>
      <c r="K112" s="162"/>
      <c r="L112" s="25"/>
      <c r="M112" s="196"/>
      <c r="N112" s="197"/>
      <c r="O112" s="197"/>
      <c r="P112" s="197"/>
      <c r="Q112" s="197"/>
      <c r="R112" s="197"/>
      <c r="S112" s="198"/>
      <c r="T112" s="25"/>
    </row>
    <row r="113" spans="1:20" x14ac:dyDescent="0.3">
      <c r="A113" s="123" t="s">
        <v>27</v>
      </c>
      <c r="B113" s="123" t="s">
        <v>28</v>
      </c>
      <c r="C113" s="150">
        <v>-10</v>
      </c>
      <c r="D113" s="25"/>
      <c r="E113" s="159" t="s">
        <v>28</v>
      </c>
      <c r="F113" s="159" t="s">
        <v>350</v>
      </c>
      <c r="G113" s="163">
        <v>1055.5128481663562</v>
      </c>
      <c r="H113" s="160">
        <v>1</v>
      </c>
      <c r="I113" s="161">
        <v>1055.5128481663562</v>
      </c>
      <c r="J113" s="161">
        <v>2.5372793985332272E-2</v>
      </c>
      <c r="K113" s="161">
        <v>0.87352369732880586</v>
      </c>
      <c r="L113" s="25"/>
      <c r="M113" s="196"/>
      <c r="N113" s="197"/>
      <c r="O113" s="197"/>
      <c r="P113" s="197"/>
      <c r="Q113" s="197"/>
      <c r="R113" s="197"/>
      <c r="S113" s="198"/>
      <c r="T113" s="25"/>
    </row>
    <row r="114" spans="1:20" x14ac:dyDescent="0.3">
      <c r="A114" s="123" t="s">
        <v>27</v>
      </c>
      <c r="B114" s="123" t="s">
        <v>28</v>
      </c>
      <c r="C114" s="150">
        <v>40</v>
      </c>
      <c r="D114" s="25"/>
      <c r="E114" s="159"/>
      <c r="F114" s="159" t="s">
        <v>351</v>
      </c>
      <c r="G114" s="163">
        <v>16307271.352157839</v>
      </c>
      <c r="H114" s="160">
        <v>392</v>
      </c>
      <c r="I114" s="161">
        <v>41600.182020810811</v>
      </c>
      <c r="J114" s="162"/>
      <c r="K114" s="162"/>
      <c r="L114" s="25"/>
      <c r="M114" s="196"/>
      <c r="N114" s="197"/>
      <c r="O114" s="197"/>
      <c r="P114" s="197"/>
      <c r="Q114" s="197"/>
      <c r="R114" s="197"/>
      <c r="S114" s="198"/>
      <c r="T114" s="25"/>
    </row>
    <row r="115" spans="1:20" x14ac:dyDescent="0.3">
      <c r="A115" s="123" t="s">
        <v>27</v>
      </c>
      <c r="B115" s="123" t="s">
        <v>28</v>
      </c>
      <c r="C115" s="150">
        <v>0</v>
      </c>
      <c r="D115" s="25"/>
      <c r="E115" s="159" t="s">
        <v>45</v>
      </c>
      <c r="F115" s="159" t="s">
        <v>350</v>
      </c>
      <c r="G115" s="163">
        <v>2961.3514038231506</v>
      </c>
      <c r="H115" s="160">
        <v>1</v>
      </c>
      <c r="I115" s="161">
        <v>2961.3514038231506</v>
      </c>
      <c r="J115" s="161">
        <v>7.1186020348221357E-2</v>
      </c>
      <c r="K115" s="161">
        <v>0.78975799740131059</v>
      </c>
      <c r="L115" s="25"/>
      <c r="M115" s="196"/>
      <c r="N115" s="197"/>
      <c r="O115" s="197"/>
      <c r="P115" s="197"/>
      <c r="Q115" s="197"/>
      <c r="R115" s="197"/>
      <c r="S115" s="198"/>
      <c r="T115" s="25"/>
    </row>
    <row r="116" spans="1:20" x14ac:dyDescent="0.3">
      <c r="A116" s="123" t="s">
        <v>27</v>
      </c>
      <c r="B116" s="123" t="s">
        <v>28</v>
      </c>
      <c r="C116" s="150">
        <v>51</v>
      </c>
      <c r="D116" s="25"/>
      <c r="E116" s="159"/>
      <c r="F116" s="159" t="s">
        <v>351</v>
      </c>
      <c r="G116" s="163">
        <v>16307271.352157839</v>
      </c>
      <c r="H116" s="160">
        <v>392</v>
      </c>
      <c r="I116" s="161">
        <v>41600.182020810811</v>
      </c>
      <c r="J116" s="162"/>
      <c r="K116" s="162"/>
      <c r="L116" s="25"/>
      <c r="M116" s="196"/>
      <c r="N116" s="197"/>
      <c r="O116" s="197"/>
      <c r="P116" s="197"/>
      <c r="Q116" s="197"/>
      <c r="R116" s="197"/>
      <c r="S116" s="198"/>
      <c r="T116" s="25"/>
    </row>
    <row r="117" spans="1:20" x14ac:dyDescent="0.3">
      <c r="A117" s="123" t="s">
        <v>27</v>
      </c>
      <c r="B117" s="123" t="s">
        <v>28</v>
      </c>
      <c r="C117" s="150">
        <v>149</v>
      </c>
      <c r="D117" s="25"/>
      <c r="E117" s="159" t="s">
        <v>49</v>
      </c>
      <c r="F117" s="159" t="s">
        <v>350</v>
      </c>
      <c r="G117" s="163">
        <v>694648.91006169969</v>
      </c>
      <c r="H117" s="160">
        <v>1</v>
      </c>
      <c r="I117" s="161">
        <v>694648.91006169969</v>
      </c>
      <c r="J117" s="161">
        <v>16.698218044195006</v>
      </c>
      <c r="K117" s="161">
        <v>5.317036785195111E-5</v>
      </c>
      <c r="L117" s="25"/>
      <c r="M117" s="196"/>
      <c r="N117" s="197"/>
      <c r="O117" s="197"/>
      <c r="P117" s="197"/>
      <c r="Q117" s="197"/>
      <c r="R117" s="197"/>
      <c r="S117" s="198"/>
      <c r="T117" s="25"/>
    </row>
    <row r="118" spans="1:20" x14ac:dyDescent="0.3">
      <c r="A118" s="123" t="s">
        <v>27</v>
      </c>
      <c r="B118" s="123" t="s">
        <v>28</v>
      </c>
      <c r="C118" s="150">
        <v>0</v>
      </c>
      <c r="D118" s="25"/>
      <c r="E118" s="159"/>
      <c r="F118" s="159" t="s">
        <v>351</v>
      </c>
      <c r="G118" s="163">
        <v>16307271.352157839</v>
      </c>
      <c r="H118" s="160">
        <v>392</v>
      </c>
      <c r="I118" s="161">
        <v>41600.182020810811</v>
      </c>
      <c r="J118" s="162"/>
      <c r="K118" s="162"/>
      <c r="L118" s="25"/>
      <c r="M118" s="196"/>
      <c r="N118" s="197"/>
      <c r="O118" s="197"/>
      <c r="P118" s="197"/>
      <c r="Q118" s="197"/>
      <c r="R118" s="197"/>
      <c r="S118" s="198"/>
      <c r="T118" s="25"/>
    </row>
    <row r="119" spans="1:20" ht="15" thickBot="1" x14ac:dyDescent="0.35">
      <c r="A119" s="123" t="s">
        <v>27</v>
      </c>
      <c r="B119" s="123" t="s">
        <v>28</v>
      </c>
      <c r="C119" s="150">
        <v>99</v>
      </c>
      <c r="D119" s="25"/>
      <c r="E119" s="154"/>
      <c r="F119" s="154"/>
      <c r="G119" s="154"/>
      <c r="H119" s="154"/>
      <c r="I119" s="154"/>
      <c r="J119" s="154"/>
      <c r="K119" s="154"/>
      <c r="L119" s="154"/>
      <c r="M119" s="199"/>
      <c r="N119" s="200"/>
      <c r="O119" s="200"/>
      <c r="P119" s="200"/>
      <c r="Q119" s="200"/>
      <c r="R119" s="200"/>
      <c r="S119" s="201"/>
      <c r="T119" s="25"/>
    </row>
    <row r="120" spans="1:20" x14ac:dyDescent="0.3">
      <c r="A120" s="123" t="s">
        <v>27</v>
      </c>
      <c r="B120" s="123" t="s">
        <v>28</v>
      </c>
      <c r="C120" s="150">
        <v>80</v>
      </c>
      <c r="D120" s="25"/>
      <c r="E120" s="25"/>
      <c r="F120" s="25"/>
      <c r="G120" s="25"/>
      <c r="H120" s="25"/>
      <c r="I120" s="25"/>
      <c r="J120" s="25"/>
      <c r="K120" s="25"/>
      <c r="L120" s="25"/>
      <c r="M120" s="25"/>
      <c r="N120" s="25"/>
      <c r="O120" s="25"/>
      <c r="P120" s="25"/>
      <c r="Q120" s="25"/>
      <c r="R120" s="25"/>
      <c r="S120" s="25"/>
      <c r="T120" s="25"/>
    </row>
    <row r="121" spans="1:20" x14ac:dyDescent="0.3">
      <c r="A121" s="123" t="s">
        <v>27</v>
      </c>
      <c r="B121" s="123" t="s">
        <v>28</v>
      </c>
      <c r="C121" s="150">
        <v>-34</v>
      </c>
      <c r="D121" s="25"/>
      <c r="E121" s="25"/>
      <c r="F121" s="25"/>
      <c r="G121" s="25"/>
      <c r="H121" s="25"/>
      <c r="I121" s="25"/>
      <c r="J121" s="25"/>
      <c r="K121" s="25"/>
      <c r="L121" s="25"/>
      <c r="M121" s="25"/>
      <c r="N121" s="25"/>
      <c r="O121" s="25"/>
      <c r="P121" s="25"/>
      <c r="Q121" s="25"/>
      <c r="R121" s="25"/>
      <c r="S121" s="25"/>
      <c r="T121" s="25"/>
    </row>
    <row r="122" spans="1:20" x14ac:dyDescent="0.3">
      <c r="A122" s="123" t="s">
        <v>27</v>
      </c>
      <c r="B122" s="123" t="s">
        <v>28</v>
      </c>
      <c r="C122" s="150">
        <v>37</v>
      </c>
      <c r="D122" s="25"/>
      <c r="E122" s="25"/>
      <c r="F122" s="25"/>
      <c r="G122" s="25"/>
      <c r="H122" s="25"/>
      <c r="I122" s="25"/>
      <c r="J122" s="25"/>
      <c r="K122" s="25"/>
      <c r="L122" s="25"/>
      <c r="M122" s="25"/>
      <c r="N122" s="25"/>
      <c r="O122" s="25"/>
      <c r="P122" s="25"/>
      <c r="Q122" s="25"/>
      <c r="R122" s="25"/>
      <c r="S122" s="25"/>
      <c r="T122" s="25"/>
    </row>
    <row r="123" spans="1:20" ht="24" customHeight="1" x14ac:dyDescent="0.3">
      <c r="A123" s="123" t="s">
        <v>27</v>
      </c>
      <c r="B123" s="123" t="s">
        <v>28</v>
      </c>
      <c r="C123" s="150">
        <v>131</v>
      </c>
      <c r="D123" s="25"/>
      <c r="E123" s="25"/>
      <c r="F123" s="25"/>
      <c r="G123" s="25"/>
      <c r="H123" s="25"/>
      <c r="I123" s="25"/>
      <c r="J123" s="25"/>
      <c r="K123" s="25"/>
      <c r="L123" s="25"/>
      <c r="M123" s="25"/>
      <c r="N123" s="25"/>
      <c r="O123" s="25"/>
      <c r="P123" s="25"/>
      <c r="Q123" s="25"/>
      <c r="R123" s="25"/>
      <c r="S123" s="25"/>
      <c r="T123" s="25"/>
    </row>
    <row r="124" spans="1:20" x14ac:dyDescent="0.3">
      <c r="A124" s="123" t="s">
        <v>27</v>
      </c>
      <c r="B124" s="123" t="s">
        <v>28</v>
      </c>
      <c r="C124" s="150">
        <v>76</v>
      </c>
      <c r="D124" s="25"/>
      <c r="E124" s="25"/>
      <c r="F124" s="25"/>
      <c r="G124" s="25"/>
      <c r="H124" s="25"/>
      <c r="I124" s="25"/>
      <c r="J124" s="25"/>
      <c r="K124" s="25"/>
      <c r="L124" s="25"/>
      <c r="M124" s="25"/>
      <c r="N124" s="25"/>
      <c r="O124" s="25"/>
      <c r="P124" s="25"/>
      <c r="Q124" s="25"/>
      <c r="R124" s="25"/>
      <c r="S124" s="25"/>
      <c r="T124" s="25"/>
    </row>
    <row r="125" spans="1:20" x14ac:dyDescent="0.3">
      <c r="A125" s="123" t="s">
        <v>27</v>
      </c>
      <c r="B125" s="123" t="s">
        <v>28</v>
      </c>
      <c r="C125" s="150">
        <v>92</v>
      </c>
      <c r="D125" s="25"/>
      <c r="E125" s="25"/>
      <c r="F125" s="25"/>
      <c r="G125" s="25"/>
      <c r="H125" s="25"/>
      <c r="I125" s="25"/>
      <c r="J125" s="25"/>
      <c r="K125" s="25"/>
      <c r="L125" s="25"/>
      <c r="M125" s="25"/>
      <c r="N125" s="25"/>
      <c r="O125" s="25"/>
      <c r="P125" s="25"/>
      <c r="Q125" s="25"/>
      <c r="R125" s="25"/>
      <c r="S125" s="25"/>
      <c r="T125" s="25"/>
    </row>
    <row r="126" spans="1:20" x14ac:dyDescent="0.3">
      <c r="A126" s="123" t="s">
        <v>27</v>
      </c>
      <c r="B126" s="123" t="s">
        <v>28</v>
      </c>
      <c r="C126" s="150">
        <v>85</v>
      </c>
      <c r="D126" s="25"/>
      <c r="E126" s="25"/>
      <c r="F126" s="25"/>
      <c r="G126" s="25"/>
      <c r="H126" s="25"/>
      <c r="I126" s="25"/>
      <c r="J126" s="25"/>
      <c r="K126" s="25"/>
      <c r="L126" s="25"/>
      <c r="M126" s="25"/>
      <c r="N126" s="25"/>
      <c r="O126" s="25"/>
      <c r="P126" s="25"/>
      <c r="Q126" s="25"/>
      <c r="R126" s="25"/>
      <c r="S126" s="25"/>
      <c r="T126" s="25"/>
    </row>
    <row r="127" spans="1:20" x14ac:dyDescent="0.3">
      <c r="A127" s="123" t="s">
        <v>27</v>
      </c>
      <c r="B127" s="123" t="s">
        <v>28</v>
      </c>
      <c r="C127" s="150">
        <v>136</v>
      </c>
      <c r="D127" s="25"/>
      <c r="E127" s="25"/>
      <c r="F127" s="25"/>
      <c r="G127" s="25"/>
      <c r="H127" s="25"/>
      <c r="I127" s="25"/>
      <c r="J127" s="25"/>
      <c r="K127" s="25"/>
      <c r="L127" s="25"/>
      <c r="M127" s="25"/>
      <c r="N127" s="25"/>
      <c r="O127" s="25"/>
      <c r="P127" s="25"/>
      <c r="Q127" s="25"/>
      <c r="R127" s="25"/>
      <c r="S127" s="25"/>
      <c r="T127" s="25"/>
    </row>
    <row r="128" spans="1:20" x14ac:dyDescent="0.3">
      <c r="A128" s="123" t="s">
        <v>27</v>
      </c>
      <c r="B128" s="123" t="s">
        <v>28</v>
      </c>
      <c r="C128" s="150">
        <v>0</v>
      </c>
      <c r="D128" s="25"/>
      <c r="E128" s="25"/>
      <c r="F128" s="25"/>
      <c r="G128" s="25"/>
      <c r="H128" s="25"/>
      <c r="I128" s="25"/>
      <c r="J128" s="25"/>
      <c r="K128" s="25"/>
      <c r="L128" s="25"/>
      <c r="M128" s="25"/>
      <c r="N128" s="25"/>
      <c r="O128" s="25"/>
      <c r="P128" s="25"/>
      <c r="Q128" s="25"/>
      <c r="R128" s="25"/>
      <c r="S128" s="25"/>
      <c r="T128" s="25"/>
    </row>
    <row r="129" spans="1:20" x14ac:dyDescent="0.3">
      <c r="A129" s="123" t="s">
        <v>27</v>
      </c>
      <c r="B129" s="123" t="s">
        <v>28</v>
      </c>
      <c r="C129" s="150">
        <v>158</v>
      </c>
      <c r="D129" s="25"/>
      <c r="E129" s="25"/>
      <c r="F129" s="25"/>
      <c r="G129" s="25"/>
      <c r="H129" s="25"/>
      <c r="I129" s="25"/>
      <c r="J129" s="25"/>
      <c r="K129" s="25"/>
      <c r="L129" s="25"/>
      <c r="M129" s="25"/>
      <c r="N129" s="25"/>
      <c r="O129" s="25"/>
      <c r="P129" s="25"/>
      <c r="Q129" s="25"/>
      <c r="R129" s="25"/>
      <c r="S129" s="25"/>
      <c r="T129" s="25"/>
    </row>
    <row r="130" spans="1:20" x14ac:dyDescent="0.3">
      <c r="A130" s="123" t="s">
        <v>27</v>
      </c>
      <c r="B130" s="123" t="s">
        <v>28</v>
      </c>
      <c r="C130" s="150">
        <v>51</v>
      </c>
      <c r="D130" s="25"/>
      <c r="E130" s="25"/>
      <c r="F130" s="25"/>
      <c r="G130" s="25"/>
      <c r="H130" s="25"/>
      <c r="I130" s="25"/>
      <c r="J130" s="25"/>
      <c r="K130" s="25"/>
      <c r="L130" s="25"/>
      <c r="M130" s="25"/>
      <c r="N130" s="25"/>
      <c r="O130" s="25"/>
      <c r="P130" s="25"/>
      <c r="Q130" s="25"/>
      <c r="R130" s="25"/>
      <c r="S130" s="25"/>
      <c r="T130" s="25"/>
    </row>
    <row r="131" spans="1:20" x14ac:dyDescent="0.3">
      <c r="A131" s="123" t="s">
        <v>27</v>
      </c>
      <c r="B131" s="123" t="s">
        <v>28</v>
      </c>
      <c r="C131" s="150">
        <v>-10</v>
      </c>
      <c r="D131" s="25"/>
      <c r="E131" s="25"/>
      <c r="F131" s="25"/>
      <c r="G131" s="25"/>
      <c r="H131" s="25"/>
      <c r="I131" s="25"/>
      <c r="J131" s="25"/>
      <c r="K131" s="25"/>
      <c r="L131" s="25"/>
      <c r="M131" s="25"/>
      <c r="N131" s="25"/>
      <c r="O131" s="25"/>
      <c r="P131" s="25"/>
      <c r="Q131" s="25"/>
      <c r="R131" s="25"/>
      <c r="S131" s="25"/>
      <c r="T131" s="25"/>
    </row>
    <row r="132" spans="1:20" x14ac:dyDescent="0.3">
      <c r="A132" s="123" t="s">
        <v>27</v>
      </c>
      <c r="B132" s="123" t="s">
        <v>28</v>
      </c>
      <c r="C132" s="150">
        <v>21</v>
      </c>
      <c r="D132" s="25"/>
      <c r="E132" s="25"/>
      <c r="F132" s="25"/>
      <c r="G132" s="25"/>
      <c r="H132" s="25"/>
      <c r="I132" s="25"/>
      <c r="J132" s="25"/>
      <c r="K132" s="25"/>
      <c r="L132" s="25"/>
      <c r="M132" s="25"/>
      <c r="N132" s="25"/>
      <c r="O132" s="25"/>
      <c r="P132" s="25"/>
      <c r="Q132" s="25"/>
      <c r="R132" s="25"/>
      <c r="S132" s="25"/>
      <c r="T132" s="25"/>
    </row>
    <row r="133" spans="1:20" x14ac:dyDescent="0.3">
      <c r="A133" s="123" t="s">
        <v>27</v>
      </c>
      <c r="B133" s="123" t="s">
        <v>28</v>
      </c>
      <c r="C133" s="150">
        <v>0</v>
      </c>
      <c r="D133" s="25"/>
      <c r="E133" s="25"/>
      <c r="F133" s="25"/>
      <c r="G133" s="25"/>
      <c r="H133" s="25"/>
      <c r="I133" s="25"/>
      <c r="J133" s="25"/>
      <c r="K133" s="25"/>
      <c r="L133" s="25"/>
      <c r="M133" s="25"/>
      <c r="N133" s="25"/>
      <c r="O133" s="25"/>
      <c r="P133" s="25"/>
      <c r="Q133" s="25"/>
      <c r="R133" s="25"/>
      <c r="S133" s="25"/>
      <c r="T133" s="25"/>
    </row>
    <row r="134" spans="1:20" x14ac:dyDescent="0.3">
      <c r="A134" s="123" t="s">
        <v>27</v>
      </c>
      <c r="B134" s="123" t="s">
        <v>28</v>
      </c>
      <c r="C134" s="150">
        <v>0</v>
      </c>
      <c r="D134" s="25"/>
      <c r="E134" s="25"/>
      <c r="F134" s="25"/>
      <c r="G134" s="25"/>
      <c r="H134" s="25"/>
      <c r="I134" s="25"/>
      <c r="J134" s="25"/>
      <c r="K134" s="25"/>
      <c r="L134" s="25"/>
      <c r="M134" s="25"/>
      <c r="N134" s="25"/>
      <c r="O134" s="25"/>
      <c r="P134" s="25"/>
      <c r="Q134" s="25"/>
      <c r="R134" s="25"/>
      <c r="S134" s="25"/>
      <c r="T134" s="25"/>
    </row>
    <row r="135" spans="1:20" x14ac:dyDescent="0.3">
      <c r="A135" s="123" t="s">
        <v>27</v>
      </c>
      <c r="B135" s="123" t="s">
        <v>28</v>
      </c>
      <c r="C135" s="150">
        <v>-30</v>
      </c>
      <c r="D135" s="25"/>
      <c r="E135" s="25"/>
      <c r="F135" s="25"/>
      <c r="G135" s="25"/>
      <c r="H135" s="25"/>
      <c r="I135" s="25"/>
      <c r="J135" s="25"/>
      <c r="K135" s="25"/>
      <c r="L135" s="25"/>
      <c r="M135" s="25"/>
      <c r="N135" s="25"/>
      <c r="O135" s="25"/>
      <c r="P135" s="25"/>
      <c r="Q135" s="25"/>
      <c r="R135" s="25"/>
      <c r="S135" s="25"/>
      <c r="T135" s="25"/>
    </row>
    <row r="136" spans="1:20" x14ac:dyDescent="0.3">
      <c r="A136" s="123" t="s">
        <v>27</v>
      </c>
      <c r="B136" s="123" t="s">
        <v>28</v>
      </c>
      <c r="C136" s="150">
        <v>-40</v>
      </c>
      <c r="D136" s="25"/>
      <c r="E136" s="25"/>
      <c r="F136" s="25"/>
      <c r="G136" s="25"/>
      <c r="H136" s="25"/>
      <c r="I136" s="25"/>
      <c r="J136" s="25"/>
      <c r="K136" s="25"/>
      <c r="L136" s="25"/>
      <c r="M136" s="25"/>
      <c r="N136" s="25"/>
      <c r="O136" s="25"/>
      <c r="P136" s="25"/>
      <c r="Q136" s="25"/>
      <c r="R136" s="25"/>
      <c r="S136" s="25"/>
      <c r="T136" s="25"/>
    </row>
    <row r="137" spans="1:20" x14ac:dyDescent="0.3">
      <c r="A137" s="123" t="s">
        <v>27</v>
      </c>
      <c r="B137" s="123" t="s">
        <v>28</v>
      </c>
      <c r="C137" s="150">
        <v>12</v>
      </c>
      <c r="D137" s="25"/>
      <c r="E137" s="25"/>
      <c r="F137" s="25"/>
      <c r="G137" s="25"/>
      <c r="H137" s="25"/>
      <c r="I137" s="25"/>
      <c r="J137" s="25"/>
      <c r="K137" s="25"/>
      <c r="L137" s="25"/>
      <c r="M137" s="25"/>
      <c r="N137" s="25"/>
      <c r="O137" s="25"/>
      <c r="P137" s="25"/>
      <c r="Q137" s="25"/>
      <c r="R137" s="25"/>
      <c r="S137" s="25"/>
      <c r="T137" s="25"/>
    </row>
    <row r="138" spans="1:20" x14ac:dyDescent="0.3">
      <c r="A138" s="123" t="s">
        <v>27</v>
      </c>
      <c r="B138" s="123" t="s">
        <v>28</v>
      </c>
      <c r="C138" s="150">
        <v>-10</v>
      </c>
      <c r="D138" s="25"/>
      <c r="E138" s="25"/>
      <c r="F138" s="25"/>
      <c r="G138" s="25"/>
      <c r="H138" s="25"/>
      <c r="I138" s="25"/>
      <c r="J138" s="25"/>
      <c r="K138" s="25"/>
      <c r="L138" s="25"/>
      <c r="M138" s="25"/>
      <c r="N138" s="25"/>
      <c r="O138" s="25"/>
      <c r="P138" s="25"/>
      <c r="Q138" s="25"/>
      <c r="R138" s="25"/>
      <c r="S138" s="25"/>
      <c r="T138" s="25"/>
    </row>
    <row r="139" spans="1:20" x14ac:dyDescent="0.3">
      <c r="A139" s="123" t="s">
        <v>27</v>
      </c>
      <c r="B139" s="123" t="s">
        <v>28</v>
      </c>
      <c r="C139" s="150">
        <v>28</v>
      </c>
      <c r="D139" s="25"/>
      <c r="E139" s="25"/>
      <c r="F139" s="25"/>
      <c r="G139" s="25"/>
      <c r="H139" s="25"/>
      <c r="I139" s="25"/>
      <c r="J139" s="25"/>
      <c r="K139" s="25"/>
      <c r="L139" s="25"/>
      <c r="M139" s="25"/>
      <c r="N139" s="25"/>
      <c r="O139" s="25"/>
      <c r="P139" s="25"/>
      <c r="Q139" s="25"/>
      <c r="R139" s="25"/>
      <c r="S139" s="25"/>
      <c r="T139" s="25"/>
    </row>
    <row r="140" spans="1:20" x14ac:dyDescent="0.3">
      <c r="A140" s="123" t="s">
        <v>27</v>
      </c>
      <c r="B140" s="123" t="s">
        <v>28</v>
      </c>
      <c r="C140" s="150">
        <v>-34</v>
      </c>
      <c r="D140" s="25"/>
      <c r="E140" s="25"/>
      <c r="F140" s="25"/>
      <c r="G140" s="25"/>
      <c r="H140" s="25"/>
      <c r="I140" s="25"/>
      <c r="J140" s="25"/>
      <c r="K140" s="25"/>
      <c r="L140" s="25"/>
      <c r="M140" s="25"/>
      <c r="N140" s="25"/>
      <c r="O140" s="25"/>
      <c r="P140" s="25"/>
      <c r="Q140" s="25"/>
      <c r="R140" s="25"/>
      <c r="S140" s="25"/>
      <c r="T140" s="25"/>
    </row>
    <row r="141" spans="1:20" x14ac:dyDescent="0.3">
      <c r="A141" s="123" t="s">
        <v>27</v>
      </c>
      <c r="B141" s="123" t="s">
        <v>28</v>
      </c>
      <c r="C141" s="150">
        <v>247</v>
      </c>
      <c r="D141" s="25"/>
      <c r="E141" s="25"/>
      <c r="F141" s="25"/>
      <c r="G141" s="25"/>
      <c r="H141" s="25"/>
      <c r="I141" s="25"/>
      <c r="J141" s="25"/>
      <c r="K141" s="25"/>
      <c r="L141" s="25"/>
      <c r="M141" s="25"/>
      <c r="N141" s="25"/>
      <c r="O141" s="25"/>
      <c r="P141" s="25"/>
      <c r="Q141" s="25"/>
      <c r="R141" s="25"/>
      <c r="S141" s="25"/>
      <c r="T141" s="25"/>
    </row>
    <row r="142" spans="1:20" x14ac:dyDescent="0.3">
      <c r="A142" s="123" t="s">
        <v>27</v>
      </c>
      <c r="B142" s="123" t="s">
        <v>28</v>
      </c>
      <c r="C142" s="150">
        <v>38</v>
      </c>
      <c r="D142" s="25"/>
      <c r="E142" s="25"/>
      <c r="F142" s="25"/>
      <c r="G142" s="25"/>
      <c r="H142" s="25"/>
      <c r="I142" s="25"/>
      <c r="J142" s="25"/>
      <c r="K142" s="25"/>
      <c r="L142" s="25"/>
      <c r="M142" s="25"/>
      <c r="N142" s="25"/>
      <c r="O142" s="25"/>
      <c r="P142" s="25"/>
      <c r="Q142" s="25"/>
      <c r="R142" s="25"/>
      <c r="S142" s="25"/>
      <c r="T142" s="25"/>
    </row>
    <row r="143" spans="1:20" x14ac:dyDescent="0.3">
      <c r="A143" s="123" t="s">
        <v>27</v>
      </c>
      <c r="B143" s="123" t="s">
        <v>28</v>
      </c>
      <c r="C143" s="150">
        <v>63</v>
      </c>
      <c r="D143" s="25"/>
      <c r="E143" s="25"/>
      <c r="F143" s="25"/>
      <c r="G143" s="25"/>
      <c r="H143" s="25"/>
      <c r="I143" s="25"/>
      <c r="J143" s="25"/>
      <c r="K143" s="25"/>
      <c r="L143" s="25"/>
      <c r="M143" s="25"/>
      <c r="N143" s="25"/>
      <c r="O143" s="25"/>
      <c r="P143" s="25"/>
      <c r="Q143" s="25"/>
      <c r="R143" s="25"/>
      <c r="S143" s="25"/>
      <c r="T143" s="25"/>
    </row>
    <row r="144" spans="1:20" x14ac:dyDescent="0.3">
      <c r="A144" s="123" t="s">
        <v>27</v>
      </c>
      <c r="B144" s="123" t="s">
        <v>28</v>
      </c>
      <c r="C144" s="150">
        <v>-69</v>
      </c>
      <c r="D144" s="25"/>
      <c r="E144" s="25"/>
      <c r="F144" s="25"/>
      <c r="G144" s="25"/>
      <c r="H144" s="25"/>
      <c r="I144" s="25"/>
      <c r="J144" s="25"/>
      <c r="K144" s="25"/>
      <c r="L144" s="25"/>
      <c r="M144" s="25"/>
      <c r="N144" s="25"/>
      <c r="O144" s="25"/>
      <c r="P144" s="25"/>
      <c r="Q144" s="25"/>
      <c r="R144" s="25"/>
      <c r="S144" s="25"/>
      <c r="T144" s="25"/>
    </row>
    <row r="145" spans="1:20" x14ac:dyDescent="0.3">
      <c r="A145" s="123" t="s">
        <v>27</v>
      </c>
      <c r="B145" s="123" t="s">
        <v>28</v>
      </c>
      <c r="C145" s="150">
        <v>53</v>
      </c>
      <c r="D145" s="25"/>
      <c r="E145" s="25"/>
      <c r="F145" s="25"/>
      <c r="G145" s="25"/>
      <c r="H145" s="25"/>
      <c r="I145" s="25"/>
      <c r="J145" s="25"/>
      <c r="K145" s="25"/>
      <c r="L145" s="25"/>
      <c r="M145" s="25"/>
      <c r="N145" s="25"/>
      <c r="O145" s="25"/>
      <c r="P145" s="25"/>
      <c r="Q145" s="25"/>
      <c r="R145" s="25"/>
      <c r="S145" s="25"/>
      <c r="T145" s="25"/>
    </row>
    <row r="146" spans="1:20" x14ac:dyDescent="0.3">
      <c r="A146" s="123" t="s">
        <v>27</v>
      </c>
      <c r="B146" s="123" t="s">
        <v>28</v>
      </c>
      <c r="C146" s="150">
        <v>-54</v>
      </c>
      <c r="D146" s="25"/>
      <c r="E146" s="25"/>
      <c r="F146" s="25"/>
      <c r="G146" s="25"/>
      <c r="H146" s="25"/>
      <c r="I146" s="25"/>
      <c r="J146" s="25"/>
      <c r="K146" s="25"/>
      <c r="L146" s="25"/>
      <c r="M146" s="25"/>
      <c r="N146" s="25"/>
      <c r="O146" s="25"/>
      <c r="P146" s="25"/>
      <c r="Q146" s="25"/>
      <c r="R146" s="25"/>
      <c r="S146" s="25"/>
      <c r="T146" s="25"/>
    </row>
    <row r="147" spans="1:20" x14ac:dyDescent="0.3">
      <c r="A147" s="123" t="s">
        <v>27</v>
      </c>
      <c r="B147" s="123" t="s">
        <v>28</v>
      </c>
      <c r="C147" s="150">
        <v>21</v>
      </c>
      <c r="D147" s="25"/>
      <c r="E147" s="25"/>
      <c r="F147" s="25"/>
      <c r="G147" s="25"/>
      <c r="H147" s="25"/>
      <c r="I147" s="25"/>
      <c r="J147" s="25"/>
      <c r="K147" s="25"/>
      <c r="L147" s="25"/>
      <c r="M147" s="25"/>
      <c r="N147" s="25"/>
      <c r="O147" s="25"/>
      <c r="P147" s="25"/>
      <c r="Q147" s="25"/>
      <c r="R147" s="25"/>
      <c r="S147" s="25"/>
      <c r="T147" s="25"/>
    </row>
    <row r="148" spans="1:20" x14ac:dyDescent="0.3">
      <c r="A148" s="123" t="s">
        <v>27</v>
      </c>
      <c r="B148" s="123" t="s">
        <v>28</v>
      </c>
      <c r="C148" s="150">
        <v>33</v>
      </c>
      <c r="D148" s="25"/>
      <c r="E148" s="25"/>
      <c r="F148" s="25"/>
      <c r="G148" s="25"/>
      <c r="H148" s="25"/>
      <c r="I148" s="25"/>
      <c r="J148" s="25"/>
      <c r="K148" s="25"/>
      <c r="L148" s="25"/>
      <c r="M148" s="25"/>
      <c r="N148" s="25"/>
      <c r="O148" s="25"/>
      <c r="P148" s="25"/>
      <c r="Q148" s="25"/>
      <c r="R148" s="25"/>
      <c r="S148" s="25"/>
      <c r="T148" s="25"/>
    </row>
    <row r="149" spans="1:20" x14ac:dyDescent="0.3">
      <c r="A149" s="123" t="s">
        <v>27</v>
      </c>
      <c r="B149" s="123" t="s">
        <v>28</v>
      </c>
      <c r="C149" s="150">
        <v>105</v>
      </c>
      <c r="D149" s="25"/>
      <c r="E149" s="25"/>
      <c r="F149" s="25"/>
      <c r="G149" s="25"/>
      <c r="H149" s="25"/>
      <c r="I149" s="25"/>
      <c r="J149" s="25"/>
      <c r="K149" s="25"/>
      <c r="L149" s="25"/>
      <c r="M149" s="25"/>
      <c r="N149" s="25"/>
      <c r="O149" s="25"/>
      <c r="P149" s="25"/>
      <c r="Q149" s="25"/>
      <c r="R149" s="25"/>
      <c r="S149" s="25"/>
      <c r="T149" s="25"/>
    </row>
    <row r="150" spans="1:20" x14ac:dyDescent="0.3">
      <c r="A150" s="123" t="s">
        <v>27</v>
      </c>
      <c r="B150" s="123" t="s">
        <v>28</v>
      </c>
      <c r="C150" s="150">
        <v>-12</v>
      </c>
      <c r="D150" s="25"/>
      <c r="E150" s="25"/>
      <c r="F150" s="25"/>
      <c r="G150" s="25"/>
      <c r="H150" s="25"/>
      <c r="I150" s="25"/>
      <c r="J150" s="25"/>
      <c r="K150" s="25"/>
      <c r="L150" s="25"/>
      <c r="M150" s="25"/>
      <c r="N150" s="25"/>
      <c r="O150" s="25"/>
      <c r="P150" s="25"/>
      <c r="Q150" s="25"/>
      <c r="R150" s="25"/>
      <c r="S150" s="25"/>
      <c r="T150" s="25"/>
    </row>
    <row r="151" spans="1:20" x14ac:dyDescent="0.3">
      <c r="A151" s="123" t="s">
        <v>27</v>
      </c>
      <c r="B151" s="123" t="s">
        <v>28</v>
      </c>
      <c r="C151" s="150">
        <v>43</v>
      </c>
      <c r="D151" s="25"/>
      <c r="E151" s="25"/>
      <c r="F151" s="25"/>
      <c r="G151" s="25"/>
      <c r="H151" s="25"/>
      <c r="I151" s="25"/>
      <c r="J151" s="25"/>
      <c r="K151" s="25"/>
      <c r="L151" s="25"/>
      <c r="M151" s="25"/>
      <c r="N151" s="25"/>
      <c r="O151" s="25"/>
      <c r="P151" s="25"/>
      <c r="Q151" s="25"/>
      <c r="R151" s="25"/>
      <c r="S151" s="25"/>
      <c r="T151" s="25"/>
    </row>
    <row r="152" spans="1:20" x14ac:dyDescent="0.3">
      <c r="A152" s="123" t="s">
        <v>27</v>
      </c>
      <c r="B152" s="123" t="s">
        <v>28</v>
      </c>
      <c r="C152" s="150">
        <v>35</v>
      </c>
      <c r="D152" s="25"/>
      <c r="E152" s="25"/>
      <c r="F152" s="25"/>
      <c r="G152" s="25"/>
      <c r="H152" s="25"/>
      <c r="I152" s="25"/>
      <c r="J152" s="25"/>
      <c r="K152" s="25"/>
      <c r="L152" s="25"/>
      <c r="M152" s="25"/>
      <c r="N152" s="25"/>
      <c r="O152" s="25"/>
      <c r="P152" s="25"/>
      <c r="Q152" s="25"/>
      <c r="R152" s="25"/>
      <c r="S152" s="25"/>
      <c r="T152" s="25"/>
    </row>
    <row r="153" spans="1:20" x14ac:dyDescent="0.3">
      <c r="A153" s="123" t="s">
        <v>27</v>
      </c>
      <c r="B153" s="123" t="s">
        <v>28</v>
      </c>
      <c r="C153" s="150">
        <v>31</v>
      </c>
      <c r="D153" s="25"/>
      <c r="E153" s="25"/>
      <c r="F153" s="25"/>
      <c r="G153" s="25"/>
      <c r="H153" s="25"/>
      <c r="I153" s="25"/>
      <c r="J153" s="25"/>
      <c r="K153" s="25"/>
      <c r="L153" s="25"/>
      <c r="M153" s="25"/>
      <c r="N153" s="25"/>
      <c r="O153" s="25"/>
      <c r="P153" s="25"/>
      <c r="Q153" s="25"/>
      <c r="R153" s="25"/>
      <c r="S153" s="25"/>
      <c r="T153" s="25"/>
    </row>
    <row r="154" spans="1:20" x14ac:dyDescent="0.3">
      <c r="A154" s="123" t="s">
        <v>27</v>
      </c>
      <c r="B154" s="123" t="s">
        <v>28</v>
      </c>
      <c r="C154" s="150">
        <v>10</v>
      </c>
      <c r="D154" s="25"/>
      <c r="E154" s="25"/>
      <c r="F154" s="25"/>
      <c r="G154" s="25"/>
      <c r="H154" s="25"/>
      <c r="I154" s="25"/>
      <c r="J154" s="25"/>
      <c r="K154" s="25"/>
      <c r="L154" s="25"/>
      <c r="M154" s="25"/>
      <c r="N154" s="25"/>
      <c r="O154" s="25"/>
      <c r="P154" s="25"/>
      <c r="Q154" s="25"/>
      <c r="R154" s="25"/>
      <c r="S154" s="25"/>
      <c r="T154" s="25"/>
    </row>
    <row r="155" spans="1:20" x14ac:dyDescent="0.3">
      <c r="A155" s="123" t="s">
        <v>27</v>
      </c>
      <c r="B155" s="123" t="s">
        <v>28</v>
      </c>
      <c r="C155" s="150">
        <v>21</v>
      </c>
      <c r="D155" s="25"/>
      <c r="E155" s="25"/>
      <c r="F155" s="25"/>
      <c r="G155" s="25"/>
      <c r="H155" s="25"/>
      <c r="I155" s="25"/>
      <c r="J155" s="25"/>
      <c r="K155" s="25"/>
      <c r="L155" s="25"/>
      <c r="M155" s="25"/>
      <c r="N155" s="25"/>
      <c r="O155" s="25"/>
      <c r="P155" s="25"/>
      <c r="Q155" s="25"/>
      <c r="R155" s="25"/>
      <c r="S155" s="25"/>
      <c r="T155" s="25"/>
    </row>
    <row r="156" spans="1:20" x14ac:dyDescent="0.3">
      <c r="A156" s="123" t="s">
        <v>27</v>
      </c>
      <c r="B156" s="123" t="s">
        <v>28</v>
      </c>
      <c r="C156" s="150">
        <v>0</v>
      </c>
      <c r="D156" s="25"/>
      <c r="E156" s="25"/>
      <c r="F156" s="25"/>
      <c r="G156" s="25"/>
      <c r="H156" s="25"/>
      <c r="I156" s="25"/>
      <c r="J156" s="25"/>
      <c r="K156" s="25"/>
      <c r="L156" s="25"/>
      <c r="M156" s="25"/>
      <c r="N156" s="25"/>
      <c r="O156" s="25"/>
      <c r="P156" s="25"/>
      <c r="Q156" s="25"/>
      <c r="R156" s="25"/>
      <c r="S156" s="25"/>
      <c r="T156" s="25"/>
    </row>
    <row r="157" spans="1:20" x14ac:dyDescent="0.3">
      <c r="A157" s="123" t="s">
        <v>27</v>
      </c>
      <c r="B157" s="123" t="s">
        <v>28</v>
      </c>
      <c r="C157" s="150">
        <v>-19</v>
      </c>
      <c r="D157" s="25"/>
      <c r="E157" s="25"/>
      <c r="F157" s="25"/>
      <c r="G157" s="25"/>
      <c r="H157" s="25"/>
      <c r="I157" s="25"/>
      <c r="J157" s="25"/>
      <c r="K157" s="25"/>
      <c r="L157" s="25"/>
      <c r="M157" s="25"/>
      <c r="N157" s="25"/>
      <c r="O157" s="25"/>
      <c r="P157" s="25"/>
      <c r="Q157" s="25"/>
      <c r="R157" s="25"/>
      <c r="S157" s="25"/>
      <c r="T157" s="25"/>
    </row>
    <row r="158" spans="1:20" x14ac:dyDescent="0.3">
      <c r="A158" s="123" t="s">
        <v>27</v>
      </c>
      <c r="B158" s="123" t="s">
        <v>28</v>
      </c>
      <c r="C158" s="150">
        <v>41</v>
      </c>
      <c r="D158" s="25"/>
      <c r="E158" s="25"/>
      <c r="F158" s="25"/>
      <c r="G158" s="25"/>
      <c r="H158" s="25"/>
      <c r="I158" s="25"/>
      <c r="J158" s="25"/>
      <c r="K158" s="25"/>
      <c r="L158" s="25"/>
      <c r="M158" s="25"/>
      <c r="N158" s="25"/>
      <c r="O158" s="25"/>
      <c r="P158" s="25"/>
      <c r="Q158" s="25"/>
      <c r="R158" s="25"/>
      <c r="S158" s="25"/>
      <c r="T158" s="25"/>
    </row>
    <row r="159" spans="1:20" x14ac:dyDescent="0.3">
      <c r="A159" s="123" t="s">
        <v>27</v>
      </c>
      <c r="B159" s="123" t="s">
        <v>28</v>
      </c>
      <c r="C159" s="150">
        <v>141</v>
      </c>
      <c r="D159" s="25"/>
      <c r="E159" s="25"/>
      <c r="F159" s="25"/>
      <c r="G159" s="25"/>
      <c r="H159" s="25"/>
      <c r="I159" s="25"/>
      <c r="J159" s="25"/>
      <c r="K159" s="25"/>
      <c r="L159" s="25"/>
      <c r="M159" s="25"/>
      <c r="N159" s="25"/>
      <c r="O159" s="25"/>
      <c r="P159" s="25"/>
      <c r="Q159" s="25"/>
      <c r="R159" s="25"/>
      <c r="S159" s="25"/>
      <c r="T159" s="25"/>
    </row>
    <row r="160" spans="1:20" x14ac:dyDescent="0.3">
      <c r="A160" s="123" t="s">
        <v>27</v>
      </c>
      <c r="B160" s="123" t="s">
        <v>28</v>
      </c>
      <c r="C160" s="150">
        <v>0</v>
      </c>
      <c r="D160" s="25"/>
      <c r="E160" s="25"/>
      <c r="F160" s="25"/>
      <c r="G160" s="25"/>
      <c r="H160" s="25"/>
      <c r="I160" s="25"/>
      <c r="J160" s="25"/>
      <c r="K160" s="25"/>
      <c r="L160" s="25"/>
      <c r="M160" s="25"/>
      <c r="N160" s="25"/>
      <c r="O160" s="25"/>
      <c r="P160" s="25"/>
      <c r="Q160" s="25"/>
      <c r="R160" s="25"/>
      <c r="S160" s="25"/>
      <c r="T160" s="25"/>
    </row>
    <row r="161" spans="1:20" x14ac:dyDescent="0.3">
      <c r="A161" s="123" t="s">
        <v>27</v>
      </c>
      <c r="B161" s="123" t="s">
        <v>28</v>
      </c>
      <c r="C161" s="150">
        <v>0</v>
      </c>
      <c r="D161" s="25"/>
      <c r="E161" s="25"/>
      <c r="F161" s="25"/>
      <c r="G161" s="25"/>
      <c r="H161" s="25"/>
      <c r="I161" s="25"/>
      <c r="J161" s="25"/>
      <c r="K161" s="25"/>
      <c r="L161" s="25"/>
      <c r="M161" s="25"/>
      <c r="N161" s="25"/>
      <c r="O161" s="25"/>
      <c r="P161" s="25"/>
      <c r="Q161" s="25"/>
      <c r="R161" s="25"/>
      <c r="S161" s="25"/>
      <c r="T161" s="25"/>
    </row>
    <row r="162" spans="1:20" x14ac:dyDescent="0.3">
      <c r="A162" s="123" t="s">
        <v>27</v>
      </c>
      <c r="B162" s="123" t="s">
        <v>28</v>
      </c>
      <c r="C162" s="150">
        <v>25</v>
      </c>
      <c r="D162" s="25"/>
      <c r="E162" s="25"/>
      <c r="F162" s="25"/>
      <c r="G162" s="25"/>
      <c r="H162" s="25"/>
      <c r="I162" s="25"/>
      <c r="J162" s="25"/>
      <c r="K162" s="25"/>
      <c r="L162" s="25"/>
      <c r="M162" s="25"/>
      <c r="N162" s="25"/>
      <c r="O162" s="25"/>
      <c r="P162" s="25"/>
      <c r="Q162" s="25"/>
      <c r="R162" s="25"/>
      <c r="S162" s="25"/>
      <c r="T162" s="25"/>
    </row>
    <row r="163" spans="1:20" x14ac:dyDescent="0.3">
      <c r="A163" s="123" t="s">
        <v>27</v>
      </c>
      <c r="B163" s="123" t="s">
        <v>28</v>
      </c>
      <c r="C163" s="150">
        <v>-30</v>
      </c>
      <c r="D163" s="25"/>
      <c r="E163" s="25"/>
      <c r="F163" s="25"/>
      <c r="G163" s="25"/>
      <c r="H163" s="25"/>
      <c r="I163" s="25"/>
      <c r="J163" s="25"/>
      <c r="K163" s="25"/>
      <c r="L163" s="25"/>
      <c r="M163" s="25"/>
      <c r="N163" s="25"/>
      <c r="O163" s="25"/>
      <c r="P163" s="25"/>
      <c r="Q163" s="25"/>
      <c r="R163" s="25"/>
      <c r="S163" s="25"/>
      <c r="T163" s="25"/>
    </row>
    <row r="164" spans="1:20" x14ac:dyDescent="0.3">
      <c r="A164" s="123" t="s">
        <v>27</v>
      </c>
      <c r="B164" s="123" t="s">
        <v>28</v>
      </c>
      <c r="C164" s="150">
        <v>28</v>
      </c>
      <c r="D164" s="25"/>
      <c r="E164" s="25"/>
      <c r="F164" s="25"/>
      <c r="G164" s="25"/>
      <c r="H164" s="25"/>
      <c r="I164" s="25"/>
      <c r="J164" s="25"/>
      <c r="K164" s="25"/>
      <c r="L164" s="25"/>
      <c r="M164" s="25"/>
      <c r="N164" s="25"/>
      <c r="O164" s="25"/>
      <c r="P164" s="25"/>
      <c r="Q164" s="25"/>
      <c r="R164" s="25"/>
      <c r="S164" s="25"/>
      <c r="T164" s="25"/>
    </row>
    <row r="165" spans="1:20" x14ac:dyDescent="0.3">
      <c r="A165" s="123" t="s">
        <v>27</v>
      </c>
      <c r="B165" s="123" t="s">
        <v>28</v>
      </c>
      <c r="C165" s="150">
        <v>167</v>
      </c>
      <c r="D165" s="25"/>
      <c r="E165" s="25"/>
      <c r="F165" s="25"/>
      <c r="G165" s="25"/>
      <c r="H165" s="25"/>
      <c r="I165" s="25"/>
      <c r="J165" s="25"/>
      <c r="K165" s="25"/>
      <c r="L165" s="25"/>
      <c r="M165" s="25"/>
      <c r="N165" s="25"/>
      <c r="O165" s="25"/>
      <c r="P165" s="25"/>
      <c r="Q165" s="25"/>
      <c r="R165" s="25"/>
      <c r="S165" s="25"/>
      <c r="T165" s="25"/>
    </row>
    <row r="166" spans="1:20" x14ac:dyDescent="0.3">
      <c r="A166" s="123" t="s">
        <v>27</v>
      </c>
      <c r="B166" s="123" t="s">
        <v>28</v>
      </c>
      <c r="C166" s="150">
        <v>-22</v>
      </c>
      <c r="D166" s="25"/>
      <c r="E166" s="25"/>
      <c r="F166" s="25"/>
      <c r="G166" s="25"/>
      <c r="H166" s="25"/>
      <c r="I166" s="25"/>
      <c r="J166" s="25"/>
      <c r="K166" s="25"/>
      <c r="L166" s="25"/>
      <c r="M166" s="25"/>
      <c r="N166" s="25"/>
      <c r="O166" s="25"/>
      <c r="P166" s="25"/>
      <c r="Q166" s="25"/>
      <c r="R166" s="25"/>
      <c r="S166" s="25"/>
      <c r="T166" s="25"/>
    </row>
    <row r="167" spans="1:20" x14ac:dyDescent="0.3">
      <c r="A167" s="123" t="s">
        <v>27</v>
      </c>
      <c r="B167" s="123" t="s">
        <v>28</v>
      </c>
      <c r="C167" s="150">
        <v>-31</v>
      </c>
      <c r="D167" s="25"/>
      <c r="E167" s="25"/>
      <c r="F167" s="25"/>
      <c r="G167" s="25"/>
      <c r="H167" s="25"/>
      <c r="I167" s="25"/>
      <c r="J167" s="25"/>
      <c r="K167" s="25"/>
      <c r="L167" s="25"/>
      <c r="M167" s="25"/>
      <c r="N167" s="25"/>
      <c r="O167" s="25"/>
      <c r="P167" s="25"/>
      <c r="Q167" s="25"/>
      <c r="R167" s="25"/>
      <c r="S167" s="25"/>
      <c r="T167" s="25"/>
    </row>
    <row r="168" spans="1:20" x14ac:dyDescent="0.3">
      <c r="A168" s="123" t="s">
        <v>27</v>
      </c>
      <c r="B168" s="123" t="s">
        <v>28</v>
      </c>
      <c r="C168" s="150">
        <v>-7</v>
      </c>
      <c r="D168" s="25"/>
      <c r="E168" s="25"/>
      <c r="F168" s="25"/>
      <c r="G168" s="25"/>
      <c r="H168" s="25"/>
      <c r="I168" s="25"/>
      <c r="J168" s="25"/>
      <c r="K168" s="25"/>
      <c r="L168" s="25"/>
      <c r="M168" s="25"/>
      <c r="N168" s="25"/>
      <c r="O168" s="25"/>
      <c r="P168" s="25"/>
      <c r="Q168" s="25"/>
      <c r="R168" s="25"/>
      <c r="S168" s="25"/>
      <c r="T168" s="25"/>
    </row>
    <row r="169" spans="1:20" x14ac:dyDescent="0.3">
      <c r="A169" s="123" t="s">
        <v>27</v>
      </c>
      <c r="B169" s="123" t="s">
        <v>28</v>
      </c>
      <c r="C169" s="150">
        <v>18</v>
      </c>
      <c r="D169" s="25"/>
      <c r="E169" s="25"/>
      <c r="F169" s="25"/>
      <c r="G169" s="25"/>
      <c r="H169" s="25"/>
      <c r="I169" s="25"/>
      <c r="J169" s="25"/>
      <c r="K169" s="25"/>
      <c r="L169" s="25"/>
      <c r="M169" s="25"/>
      <c r="N169" s="25"/>
      <c r="O169" s="25"/>
      <c r="P169" s="25"/>
      <c r="Q169" s="25"/>
      <c r="R169" s="25"/>
      <c r="S169" s="25"/>
      <c r="T169" s="25"/>
    </row>
    <row r="170" spans="1:20" x14ac:dyDescent="0.3">
      <c r="A170" s="123" t="s">
        <v>27</v>
      </c>
      <c r="B170" s="123" t="s">
        <v>28</v>
      </c>
      <c r="C170" s="150">
        <v>-69</v>
      </c>
      <c r="D170" s="25"/>
      <c r="E170" s="25"/>
      <c r="F170" s="25"/>
      <c r="G170" s="25"/>
      <c r="H170" s="25"/>
      <c r="I170" s="25"/>
      <c r="J170" s="25"/>
      <c r="K170" s="25"/>
      <c r="L170" s="25"/>
      <c r="M170" s="25"/>
      <c r="N170" s="25"/>
      <c r="O170" s="25"/>
      <c r="P170" s="25"/>
      <c r="Q170" s="25"/>
      <c r="R170" s="25"/>
      <c r="S170" s="25"/>
      <c r="T170" s="25"/>
    </row>
    <row r="171" spans="1:20" x14ac:dyDescent="0.3">
      <c r="A171" s="123" t="s">
        <v>27</v>
      </c>
      <c r="B171" s="123" t="s">
        <v>28</v>
      </c>
      <c r="C171" s="150">
        <v>50</v>
      </c>
      <c r="D171" s="25"/>
      <c r="E171" s="25"/>
      <c r="F171" s="25"/>
      <c r="G171" s="25"/>
      <c r="H171" s="25"/>
      <c r="I171" s="25"/>
      <c r="J171" s="25"/>
      <c r="K171" s="25"/>
      <c r="L171" s="25"/>
      <c r="M171" s="25"/>
      <c r="N171" s="25"/>
      <c r="O171" s="25"/>
      <c r="P171" s="25"/>
      <c r="Q171" s="25"/>
      <c r="R171" s="25"/>
      <c r="S171" s="25"/>
      <c r="T171" s="25"/>
    </row>
    <row r="172" spans="1:20" x14ac:dyDescent="0.3">
      <c r="A172" s="123" t="s">
        <v>27</v>
      </c>
      <c r="B172" s="123" t="s">
        <v>28</v>
      </c>
      <c r="C172" s="150">
        <v>26</v>
      </c>
      <c r="D172" s="25"/>
      <c r="E172" s="25"/>
      <c r="F172" s="25"/>
      <c r="G172" s="25"/>
      <c r="H172" s="25"/>
      <c r="I172" s="25"/>
      <c r="J172" s="25"/>
      <c r="K172" s="25"/>
      <c r="L172" s="25"/>
      <c r="M172" s="25"/>
      <c r="N172" s="25"/>
      <c r="O172" s="25"/>
      <c r="P172" s="25"/>
      <c r="Q172" s="25"/>
      <c r="R172" s="25"/>
      <c r="S172" s="25"/>
      <c r="T172" s="25"/>
    </row>
    <row r="173" spans="1:20" x14ac:dyDescent="0.3">
      <c r="A173" s="123" t="s">
        <v>27</v>
      </c>
      <c r="B173" s="123" t="s">
        <v>28</v>
      </c>
      <c r="C173" s="150">
        <v>-19</v>
      </c>
      <c r="D173" s="25"/>
      <c r="E173" s="25"/>
      <c r="F173" s="25"/>
      <c r="G173" s="25"/>
      <c r="H173" s="25"/>
      <c r="I173" s="25"/>
      <c r="J173" s="25"/>
      <c r="K173" s="25"/>
      <c r="L173" s="25"/>
      <c r="M173" s="25"/>
      <c r="N173" s="25"/>
      <c r="O173" s="25"/>
      <c r="P173" s="25"/>
      <c r="Q173" s="25"/>
      <c r="R173" s="25"/>
      <c r="S173" s="25"/>
      <c r="T173" s="25"/>
    </row>
    <row r="174" spans="1:20" x14ac:dyDescent="0.3">
      <c r="A174" s="123" t="s">
        <v>27</v>
      </c>
      <c r="B174" s="123" t="s">
        <v>28</v>
      </c>
      <c r="C174" s="150">
        <v>-59</v>
      </c>
      <c r="D174" s="25"/>
      <c r="E174" s="25"/>
      <c r="F174" s="25"/>
      <c r="G174" s="25"/>
      <c r="H174" s="25"/>
      <c r="I174" s="25"/>
      <c r="J174" s="25"/>
      <c r="K174" s="25"/>
      <c r="L174" s="25"/>
      <c r="M174" s="25"/>
      <c r="N174" s="25"/>
      <c r="O174" s="25"/>
      <c r="P174" s="25"/>
      <c r="Q174" s="25"/>
      <c r="R174" s="25"/>
      <c r="S174" s="25"/>
      <c r="T174" s="25"/>
    </row>
    <row r="175" spans="1:20" x14ac:dyDescent="0.3">
      <c r="A175" s="123" t="s">
        <v>27</v>
      </c>
      <c r="B175" s="123" t="s">
        <v>28</v>
      </c>
      <c r="C175" s="150">
        <v>-44</v>
      </c>
      <c r="D175" s="25"/>
      <c r="E175" s="25"/>
      <c r="F175" s="25"/>
      <c r="G175" s="25"/>
      <c r="H175" s="25"/>
      <c r="I175" s="25"/>
      <c r="J175" s="25"/>
      <c r="K175" s="25"/>
      <c r="L175" s="25"/>
      <c r="M175" s="25"/>
      <c r="N175" s="25"/>
      <c r="O175" s="25"/>
      <c r="P175" s="25"/>
      <c r="Q175" s="25"/>
      <c r="R175" s="25"/>
      <c r="S175" s="25"/>
      <c r="T175" s="25"/>
    </row>
    <row r="176" spans="1:20" x14ac:dyDescent="0.3">
      <c r="A176" s="123" t="s">
        <v>27</v>
      </c>
      <c r="B176" s="123" t="s">
        <v>28</v>
      </c>
      <c r="C176" s="150">
        <v>-13</v>
      </c>
      <c r="D176" s="25"/>
      <c r="E176" s="25"/>
      <c r="F176" s="25"/>
      <c r="G176" s="25"/>
      <c r="H176" s="25"/>
      <c r="I176" s="25"/>
      <c r="J176" s="25"/>
      <c r="K176" s="25"/>
      <c r="L176" s="25"/>
      <c r="M176" s="25"/>
      <c r="N176" s="25"/>
      <c r="O176" s="25"/>
      <c r="P176" s="25"/>
      <c r="Q176" s="25"/>
      <c r="R176" s="25"/>
      <c r="S176" s="25"/>
      <c r="T176" s="25"/>
    </row>
    <row r="177" spans="1:20" x14ac:dyDescent="0.3">
      <c r="A177" s="123" t="s">
        <v>27</v>
      </c>
      <c r="B177" s="123" t="s">
        <v>28</v>
      </c>
      <c r="C177" s="150">
        <v>-17</v>
      </c>
      <c r="D177" s="25"/>
      <c r="E177" s="25"/>
      <c r="F177" s="25"/>
      <c r="G177" s="25"/>
      <c r="H177" s="25"/>
      <c r="I177" s="25"/>
      <c r="J177" s="25"/>
      <c r="K177" s="25"/>
      <c r="L177" s="25"/>
      <c r="M177" s="25"/>
      <c r="N177" s="25"/>
      <c r="O177" s="25"/>
      <c r="P177" s="25"/>
      <c r="Q177" s="25"/>
      <c r="R177" s="25"/>
      <c r="S177" s="25"/>
      <c r="T177" s="25"/>
    </row>
    <row r="178" spans="1:20" x14ac:dyDescent="0.3">
      <c r="A178" s="123" t="s">
        <v>27</v>
      </c>
      <c r="B178" s="123" t="s">
        <v>28</v>
      </c>
      <c r="C178" s="150">
        <v>72</v>
      </c>
      <c r="D178" s="25"/>
      <c r="E178" s="25"/>
      <c r="F178" s="25"/>
      <c r="G178" s="25"/>
      <c r="H178" s="25"/>
      <c r="I178" s="25"/>
      <c r="J178" s="25"/>
      <c r="K178" s="25"/>
      <c r="L178" s="25"/>
      <c r="M178" s="25"/>
      <c r="N178" s="25"/>
      <c r="O178" s="25"/>
      <c r="P178" s="25"/>
      <c r="Q178" s="25"/>
      <c r="R178" s="25"/>
      <c r="S178" s="25"/>
      <c r="T178" s="25"/>
    </row>
    <row r="179" spans="1:20" x14ac:dyDescent="0.3">
      <c r="A179" s="123" t="s">
        <v>27</v>
      </c>
      <c r="B179" s="123" t="s">
        <v>28</v>
      </c>
      <c r="C179" s="150">
        <v>27</v>
      </c>
      <c r="D179" s="25"/>
      <c r="E179" s="25"/>
      <c r="F179" s="25"/>
      <c r="G179" s="25"/>
      <c r="H179" s="25"/>
      <c r="I179" s="25"/>
      <c r="J179" s="25"/>
      <c r="K179" s="25"/>
      <c r="L179" s="25"/>
      <c r="M179" s="25"/>
      <c r="N179" s="25"/>
      <c r="O179" s="25"/>
      <c r="P179" s="25"/>
      <c r="Q179" s="25"/>
      <c r="R179" s="25"/>
      <c r="S179" s="25"/>
      <c r="T179" s="25"/>
    </row>
    <row r="180" spans="1:20" x14ac:dyDescent="0.3">
      <c r="A180" s="123" t="s">
        <v>27</v>
      </c>
      <c r="B180" s="123" t="s">
        <v>28</v>
      </c>
      <c r="C180" s="150">
        <v>84</v>
      </c>
      <c r="D180" s="25"/>
      <c r="E180" s="25"/>
      <c r="F180" s="25"/>
      <c r="G180" s="25"/>
      <c r="H180" s="25"/>
      <c r="I180" s="25"/>
      <c r="J180" s="25"/>
      <c r="K180" s="25"/>
      <c r="L180" s="25"/>
      <c r="M180" s="25"/>
      <c r="N180" s="25"/>
      <c r="O180" s="25"/>
      <c r="P180" s="25"/>
      <c r="Q180" s="25"/>
      <c r="R180" s="25"/>
      <c r="S180" s="25"/>
      <c r="T180" s="25"/>
    </row>
    <row r="181" spans="1:20" x14ac:dyDescent="0.3">
      <c r="A181" s="123" t="s">
        <v>27</v>
      </c>
      <c r="B181" s="123" t="s">
        <v>28</v>
      </c>
      <c r="C181" s="150">
        <v>242</v>
      </c>
      <c r="D181" s="25"/>
      <c r="E181" s="25"/>
      <c r="F181" s="25"/>
      <c r="G181" s="25"/>
      <c r="H181" s="25"/>
      <c r="I181" s="25"/>
      <c r="J181" s="25"/>
      <c r="K181" s="25"/>
      <c r="L181" s="25"/>
      <c r="M181" s="25"/>
      <c r="N181" s="25"/>
      <c r="O181" s="25"/>
      <c r="P181" s="25"/>
      <c r="Q181" s="25"/>
      <c r="R181" s="25"/>
      <c r="S181" s="25"/>
      <c r="T181" s="25"/>
    </row>
    <row r="182" spans="1:20" x14ac:dyDescent="0.3">
      <c r="A182" s="123" t="s">
        <v>27</v>
      </c>
      <c r="B182" s="123" t="s">
        <v>28</v>
      </c>
      <c r="C182" s="150">
        <v>105</v>
      </c>
      <c r="D182" s="25"/>
      <c r="E182" s="25"/>
      <c r="F182" s="25"/>
      <c r="G182" s="25"/>
      <c r="H182" s="25"/>
      <c r="I182" s="25"/>
      <c r="J182" s="25"/>
      <c r="K182" s="25"/>
      <c r="L182" s="25"/>
      <c r="M182" s="25"/>
      <c r="N182" s="25"/>
      <c r="O182" s="25"/>
      <c r="P182" s="25"/>
      <c r="Q182" s="25"/>
      <c r="R182" s="25"/>
      <c r="S182" s="25"/>
      <c r="T182" s="25"/>
    </row>
    <row r="183" spans="1:20" x14ac:dyDescent="0.3">
      <c r="A183" s="123" t="s">
        <v>27</v>
      </c>
      <c r="B183" s="123" t="s">
        <v>28</v>
      </c>
      <c r="C183" s="150">
        <v>145</v>
      </c>
      <c r="D183" s="25"/>
      <c r="E183" s="25"/>
      <c r="F183" s="25"/>
      <c r="G183" s="25"/>
      <c r="H183" s="25"/>
      <c r="I183" s="25"/>
      <c r="J183" s="25"/>
      <c r="K183" s="25"/>
      <c r="L183" s="25"/>
      <c r="M183" s="25"/>
      <c r="N183" s="25"/>
      <c r="O183" s="25"/>
      <c r="P183" s="25"/>
      <c r="Q183" s="25"/>
      <c r="R183" s="25"/>
      <c r="S183" s="25"/>
      <c r="T183" s="25"/>
    </row>
    <row r="184" spans="1:20" x14ac:dyDescent="0.3">
      <c r="A184" s="123" t="s">
        <v>27</v>
      </c>
      <c r="B184" s="123" t="s">
        <v>28</v>
      </c>
      <c r="C184" s="150">
        <v>96</v>
      </c>
      <c r="D184" s="25"/>
      <c r="E184" s="25"/>
      <c r="F184" s="25"/>
      <c r="G184" s="25"/>
      <c r="H184" s="25"/>
      <c r="I184" s="25"/>
      <c r="J184" s="25"/>
      <c r="K184" s="25"/>
      <c r="L184" s="25"/>
      <c r="M184" s="25"/>
      <c r="N184" s="25"/>
      <c r="O184" s="25"/>
      <c r="P184" s="25"/>
      <c r="Q184" s="25"/>
      <c r="R184" s="25"/>
      <c r="S184" s="25"/>
      <c r="T184" s="25"/>
    </row>
    <row r="185" spans="1:20" x14ac:dyDescent="0.3">
      <c r="A185" s="123" t="s">
        <v>27</v>
      </c>
      <c r="B185" s="123" t="s">
        <v>28</v>
      </c>
      <c r="C185" s="150">
        <v>135</v>
      </c>
      <c r="D185" s="25"/>
      <c r="E185" s="25"/>
      <c r="F185" s="25"/>
      <c r="G185" s="25"/>
      <c r="H185" s="25"/>
      <c r="I185" s="25"/>
      <c r="J185" s="25"/>
      <c r="K185" s="25"/>
      <c r="L185" s="25"/>
      <c r="M185" s="25"/>
      <c r="N185" s="25"/>
      <c r="O185" s="25"/>
      <c r="P185" s="25"/>
      <c r="Q185" s="25"/>
      <c r="R185" s="25"/>
      <c r="S185" s="25"/>
      <c r="T185" s="25"/>
    </row>
    <row r="186" spans="1:20" x14ac:dyDescent="0.3">
      <c r="A186" s="123" t="s">
        <v>27</v>
      </c>
      <c r="B186" s="123" t="s">
        <v>28</v>
      </c>
      <c r="C186" s="150">
        <v>200</v>
      </c>
      <c r="D186" s="25"/>
      <c r="E186" s="25"/>
      <c r="F186" s="25"/>
      <c r="G186" s="25"/>
      <c r="H186" s="25"/>
      <c r="I186" s="25"/>
      <c r="J186" s="25"/>
      <c r="K186" s="25"/>
      <c r="L186" s="25"/>
      <c r="M186" s="25"/>
      <c r="N186" s="25"/>
      <c r="O186" s="25"/>
      <c r="P186" s="25"/>
      <c r="Q186" s="25"/>
      <c r="R186" s="25"/>
      <c r="S186" s="25"/>
      <c r="T186" s="25"/>
    </row>
    <row r="187" spans="1:20" x14ac:dyDescent="0.3">
      <c r="A187" s="123" t="s">
        <v>27</v>
      </c>
      <c r="B187" s="123" t="s">
        <v>28</v>
      </c>
      <c r="C187" s="150">
        <v>0</v>
      </c>
      <c r="D187" s="25"/>
      <c r="E187" s="25"/>
      <c r="F187" s="25"/>
      <c r="G187" s="25"/>
      <c r="H187" s="25"/>
      <c r="I187" s="25"/>
      <c r="J187" s="25"/>
      <c r="K187" s="25"/>
      <c r="L187" s="25"/>
      <c r="M187" s="25"/>
      <c r="N187" s="25"/>
      <c r="O187" s="25"/>
      <c r="P187" s="25"/>
      <c r="Q187" s="25"/>
      <c r="R187" s="25"/>
      <c r="S187" s="25"/>
      <c r="T187" s="25"/>
    </row>
    <row r="188" spans="1:20" x14ac:dyDescent="0.3">
      <c r="A188" s="123" t="s">
        <v>27</v>
      </c>
      <c r="B188" s="123" t="s">
        <v>28</v>
      </c>
      <c r="C188" s="150">
        <v>-31</v>
      </c>
      <c r="D188" s="25"/>
      <c r="E188" s="25"/>
      <c r="F188" s="25"/>
      <c r="G188" s="25"/>
      <c r="H188" s="25"/>
      <c r="I188" s="25"/>
      <c r="J188" s="25"/>
      <c r="K188" s="25"/>
      <c r="L188" s="25"/>
      <c r="M188" s="25"/>
      <c r="N188" s="25"/>
      <c r="O188" s="25"/>
      <c r="P188" s="25"/>
      <c r="Q188" s="25"/>
      <c r="R188" s="25"/>
      <c r="S188" s="25"/>
      <c r="T188" s="25"/>
    </row>
    <row r="189" spans="1:20" x14ac:dyDescent="0.3">
      <c r="A189" s="123" t="s">
        <v>27</v>
      </c>
      <c r="B189" s="123" t="s">
        <v>28</v>
      </c>
      <c r="C189" s="150">
        <v>54</v>
      </c>
      <c r="D189" s="25"/>
      <c r="E189" s="25"/>
      <c r="F189" s="25"/>
      <c r="G189" s="25"/>
      <c r="H189" s="25"/>
      <c r="I189" s="25"/>
      <c r="J189" s="25"/>
      <c r="K189" s="25"/>
      <c r="L189" s="25"/>
      <c r="M189" s="25"/>
      <c r="N189" s="25"/>
      <c r="O189" s="25"/>
      <c r="P189" s="25"/>
      <c r="Q189" s="25"/>
      <c r="R189" s="25"/>
      <c r="S189" s="25"/>
      <c r="T189" s="25"/>
    </row>
    <row r="190" spans="1:20" x14ac:dyDescent="0.3">
      <c r="A190" s="123" t="s">
        <v>27</v>
      </c>
      <c r="B190" s="123" t="s">
        <v>28</v>
      </c>
      <c r="C190" s="150">
        <v>0</v>
      </c>
      <c r="D190" s="25"/>
      <c r="E190" s="25"/>
      <c r="F190" s="25"/>
      <c r="G190" s="25"/>
      <c r="H190" s="25"/>
      <c r="I190" s="25"/>
      <c r="J190" s="25"/>
      <c r="K190" s="25"/>
      <c r="L190" s="25"/>
      <c r="M190" s="25"/>
      <c r="N190" s="25"/>
      <c r="O190" s="25"/>
      <c r="P190" s="25"/>
      <c r="Q190" s="25"/>
      <c r="R190" s="25"/>
      <c r="S190" s="25"/>
      <c r="T190" s="25"/>
    </row>
    <row r="191" spans="1:20" x14ac:dyDescent="0.3">
      <c r="A191" s="123" t="s">
        <v>27</v>
      </c>
      <c r="B191" s="123" t="s">
        <v>28</v>
      </c>
      <c r="C191" s="150">
        <v>0</v>
      </c>
      <c r="D191" s="25"/>
      <c r="E191" s="25"/>
      <c r="F191" s="25"/>
      <c r="G191" s="25"/>
      <c r="H191" s="25"/>
      <c r="I191" s="25"/>
      <c r="J191" s="25"/>
      <c r="K191" s="25"/>
      <c r="L191" s="25"/>
      <c r="M191" s="25"/>
      <c r="N191" s="25"/>
      <c r="O191" s="25"/>
      <c r="P191" s="25"/>
      <c r="Q191" s="25"/>
      <c r="R191" s="25"/>
      <c r="S191" s="25"/>
      <c r="T191" s="25"/>
    </row>
    <row r="192" spans="1:20" x14ac:dyDescent="0.3">
      <c r="A192" s="123" t="s">
        <v>27</v>
      </c>
      <c r="B192" s="123" t="s">
        <v>28</v>
      </c>
      <c r="C192" s="150">
        <v>-30</v>
      </c>
      <c r="D192" s="25"/>
      <c r="E192" s="25"/>
      <c r="F192" s="25"/>
      <c r="G192" s="25"/>
      <c r="H192" s="25"/>
      <c r="I192" s="25"/>
      <c r="J192" s="25"/>
      <c r="K192" s="25"/>
      <c r="L192" s="25"/>
      <c r="M192" s="25"/>
      <c r="N192" s="25"/>
      <c r="O192" s="25"/>
      <c r="P192" s="25"/>
      <c r="Q192" s="25"/>
      <c r="R192" s="25"/>
      <c r="S192" s="25"/>
      <c r="T192" s="25"/>
    </row>
    <row r="193" spans="1:20" x14ac:dyDescent="0.3">
      <c r="A193" s="123" t="s">
        <v>27</v>
      </c>
      <c r="B193" s="123" t="s">
        <v>28</v>
      </c>
      <c r="C193" s="150">
        <v>-44</v>
      </c>
      <c r="D193" s="25"/>
      <c r="E193" s="25"/>
      <c r="F193" s="25"/>
      <c r="G193" s="25"/>
      <c r="H193" s="25"/>
      <c r="I193" s="25"/>
      <c r="J193" s="25"/>
      <c r="K193" s="25"/>
      <c r="L193" s="25"/>
      <c r="M193" s="25"/>
      <c r="N193" s="25"/>
      <c r="O193" s="25"/>
      <c r="P193" s="25"/>
      <c r="Q193" s="25"/>
      <c r="R193" s="25"/>
      <c r="S193" s="25"/>
      <c r="T193" s="25"/>
    </row>
    <row r="194" spans="1:20" x14ac:dyDescent="0.3">
      <c r="A194" s="123" t="s">
        <v>27</v>
      </c>
      <c r="B194" s="123" t="s">
        <v>28</v>
      </c>
      <c r="C194" s="150">
        <v>63</v>
      </c>
      <c r="D194" s="25"/>
      <c r="E194" s="25"/>
      <c r="F194" s="25"/>
      <c r="G194" s="25"/>
      <c r="H194" s="25"/>
      <c r="I194" s="25"/>
      <c r="J194" s="25"/>
      <c r="K194" s="25"/>
      <c r="L194" s="25"/>
      <c r="M194" s="25"/>
      <c r="N194" s="25"/>
      <c r="O194" s="25"/>
      <c r="P194" s="25"/>
      <c r="Q194" s="25"/>
      <c r="R194" s="25"/>
      <c r="S194" s="25"/>
      <c r="T194" s="25"/>
    </row>
    <row r="195" spans="1:20" x14ac:dyDescent="0.3">
      <c r="A195" s="123" t="s">
        <v>27</v>
      </c>
      <c r="B195" s="123" t="s">
        <v>28</v>
      </c>
      <c r="C195" s="150">
        <v>-55</v>
      </c>
      <c r="D195" s="25"/>
      <c r="E195" s="25"/>
      <c r="F195" s="25"/>
      <c r="G195" s="25"/>
      <c r="H195" s="25"/>
      <c r="I195" s="25"/>
      <c r="J195" s="25"/>
      <c r="K195" s="25"/>
      <c r="L195" s="25"/>
      <c r="M195" s="25"/>
      <c r="N195" s="25"/>
      <c r="O195" s="25"/>
      <c r="P195" s="25"/>
      <c r="Q195" s="25"/>
      <c r="R195" s="25"/>
      <c r="S195" s="25"/>
      <c r="T195" s="25"/>
    </row>
    <row r="196" spans="1:20" x14ac:dyDescent="0.3">
      <c r="A196" s="123" t="s">
        <v>27</v>
      </c>
      <c r="B196" s="123" t="s">
        <v>28</v>
      </c>
      <c r="C196" s="150">
        <v>124</v>
      </c>
      <c r="D196" s="25"/>
      <c r="E196" s="25"/>
      <c r="F196" s="25"/>
      <c r="G196" s="25"/>
      <c r="H196" s="25"/>
      <c r="I196" s="25"/>
      <c r="J196" s="25"/>
      <c r="K196" s="25"/>
      <c r="L196" s="25"/>
      <c r="M196" s="25"/>
      <c r="N196" s="25"/>
      <c r="O196" s="25"/>
      <c r="P196" s="25"/>
      <c r="Q196" s="25"/>
      <c r="R196" s="25"/>
      <c r="S196" s="25"/>
      <c r="T196" s="25"/>
    </row>
    <row r="197" spans="1:20" x14ac:dyDescent="0.3">
      <c r="A197" s="123" t="s">
        <v>27</v>
      </c>
      <c r="B197" s="123" t="s">
        <v>28</v>
      </c>
      <c r="C197" s="150">
        <v>-17</v>
      </c>
      <c r="D197" s="25"/>
      <c r="E197" s="25"/>
      <c r="F197" s="25"/>
      <c r="G197" s="25"/>
      <c r="H197" s="25"/>
      <c r="I197" s="25"/>
      <c r="J197" s="25"/>
      <c r="K197" s="25"/>
      <c r="L197" s="25"/>
      <c r="M197" s="25"/>
      <c r="N197" s="25"/>
      <c r="O197" s="25"/>
      <c r="P197" s="25"/>
      <c r="Q197" s="25"/>
      <c r="R197" s="25"/>
      <c r="S197" s="25"/>
      <c r="T197" s="25"/>
    </row>
    <row r="198" spans="1:20" x14ac:dyDescent="0.3">
      <c r="A198" s="123" t="s">
        <v>27</v>
      </c>
      <c r="B198" s="123" t="s">
        <v>28</v>
      </c>
      <c r="C198" s="150">
        <v>-73</v>
      </c>
      <c r="D198" s="25"/>
      <c r="E198" s="25"/>
      <c r="F198" s="25"/>
      <c r="G198" s="25"/>
      <c r="H198" s="25"/>
      <c r="I198" s="25"/>
      <c r="J198" s="25"/>
      <c r="K198" s="25"/>
      <c r="L198" s="25"/>
      <c r="M198" s="25"/>
      <c r="N198" s="25"/>
      <c r="O198" s="25"/>
      <c r="P198" s="25"/>
      <c r="Q198" s="25"/>
      <c r="R198" s="25"/>
      <c r="S198" s="25"/>
      <c r="T198" s="25"/>
    </row>
    <row r="199" spans="1:20" x14ac:dyDescent="0.3">
      <c r="A199" s="123" t="s">
        <v>27</v>
      </c>
      <c r="B199" s="123" t="s">
        <v>28</v>
      </c>
      <c r="C199" s="150">
        <v>150</v>
      </c>
      <c r="D199" s="25"/>
      <c r="E199" s="25"/>
      <c r="F199" s="25"/>
      <c r="G199" s="25"/>
      <c r="H199" s="25"/>
      <c r="I199" s="25"/>
      <c r="J199" s="25"/>
      <c r="K199" s="25"/>
      <c r="L199" s="25"/>
      <c r="M199" s="25"/>
      <c r="N199" s="25"/>
      <c r="O199" s="25"/>
      <c r="P199" s="25"/>
      <c r="Q199" s="25"/>
      <c r="R199" s="25"/>
      <c r="S199" s="25"/>
      <c r="T199" s="25"/>
    </row>
    <row r="200" spans="1:20" x14ac:dyDescent="0.3">
      <c r="A200" s="123" t="s">
        <v>27</v>
      </c>
      <c r="B200" s="123" t="s">
        <v>28</v>
      </c>
      <c r="C200" s="150">
        <v>-59</v>
      </c>
      <c r="D200" s="25"/>
      <c r="E200" s="25"/>
      <c r="F200" s="25"/>
      <c r="G200" s="25"/>
      <c r="H200" s="25"/>
      <c r="I200" s="25"/>
      <c r="J200" s="25"/>
      <c r="K200" s="25"/>
      <c r="L200" s="25"/>
      <c r="M200" s="25"/>
      <c r="N200" s="25"/>
      <c r="O200" s="25"/>
      <c r="P200" s="25"/>
      <c r="Q200" s="25"/>
      <c r="R200" s="25"/>
      <c r="S200" s="25"/>
      <c r="T200" s="25"/>
    </row>
    <row r="201" spans="1:20" x14ac:dyDescent="0.3">
      <c r="A201" s="123" t="s">
        <v>27</v>
      </c>
      <c r="B201" s="123" t="s">
        <v>28</v>
      </c>
      <c r="C201" s="150">
        <v>22</v>
      </c>
      <c r="D201" s="25"/>
      <c r="E201" s="25"/>
      <c r="F201" s="25"/>
      <c r="G201" s="25"/>
      <c r="H201" s="25"/>
      <c r="I201" s="25"/>
      <c r="J201" s="25"/>
      <c r="K201" s="25"/>
      <c r="L201" s="25"/>
      <c r="M201" s="25"/>
      <c r="N201" s="25"/>
      <c r="O201" s="25"/>
      <c r="P201" s="25"/>
      <c r="Q201" s="25"/>
      <c r="R201" s="25"/>
      <c r="S201" s="25"/>
      <c r="T201" s="25"/>
    </row>
    <row r="202" spans="1:20" x14ac:dyDescent="0.3">
      <c r="A202" s="123" t="s">
        <v>27</v>
      </c>
      <c r="B202" s="123" t="s">
        <v>28</v>
      </c>
      <c r="C202" s="150">
        <v>51</v>
      </c>
      <c r="D202" s="25"/>
      <c r="E202" s="25"/>
      <c r="F202" s="25"/>
      <c r="G202" s="25"/>
      <c r="H202" s="25"/>
      <c r="I202" s="25"/>
      <c r="J202" s="25"/>
      <c r="K202" s="25"/>
      <c r="L202" s="25"/>
      <c r="M202" s="25"/>
      <c r="N202" s="25"/>
      <c r="O202" s="25"/>
      <c r="P202" s="25"/>
      <c r="Q202" s="25"/>
      <c r="R202" s="25"/>
      <c r="S202" s="25"/>
      <c r="T202" s="25"/>
    </row>
    <row r="203" spans="1:20" x14ac:dyDescent="0.3">
      <c r="A203" s="123" t="s">
        <v>27</v>
      </c>
      <c r="B203" s="123" t="s">
        <v>28</v>
      </c>
      <c r="C203" s="150">
        <v>163</v>
      </c>
      <c r="D203" s="25"/>
      <c r="E203" s="25"/>
      <c r="F203" s="25"/>
      <c r="G203" s="25"/>
      <c r="H203" s="25"/>
      <c r="I203" s="25"/>
      <c r="J203" s="25"/>
      <c r="K203" s="25"/>
      <c r="L203" s="25"/>
      <c r="M203" s="25"/>
      <c r="N203" s="25"/>
      <c r="O203" s="25"/>
      <c r="P203" s="25"/>
      <c r="Q203" s="25"/>
      <c r="R203" s="25"/>
      <c r="S203" s="25"/>
      <c r="T203" s="25"/>
    </row>
    <row r="204" spans="1:20" x14ac:dyDescent="0.3">
      <c r="A204" s="123" t="s">
        <v>27</v>
      </c>
      <c r="B204" s="123" t="s">
        <v>28</v>
      </c>
      <c r="C204" s="150">
        <v>43</v>
      </c>
      <c r="D204" s="25"/>
      <c r="E204" s="25"/>
      <c r="F204" s="25"/>
      <c r="G204" s="25"/>
      <c r="H204" s="25"/>
      <c r="I204" s="25"/>
      <c r="J204" s="25"/>
      <c r="K204" s="25"/>
      <c r="L204" s="25"/>
      <c r="M204" s="25"/>
      <c r="N204" s="25"/>
      <c r="O204" s="25"/>
      <c r="P204" s="25"/>
      <c r="Q204" s="25"/>
      <c r="R204" s="25"/>
      <c r="S204" s="25"/>
      <c r="T204" s="25"/>
    </row>
    <row r="205" spans="1:20" x14ac:dyDescent="0.3">
      <c r="A205" s="123" t="s">
        <v>27</v>
      </c>
      <c r="B205" s="123" t="s">
        <v>28</v>
      </c>
      <c r="C205" s="150">
        <v>54</v>
      </c>
      <c r="D205" s="25"/>
      <c r="E205" s="25"/>
      <c r="F205" s="25"/>
      <c r="G205" s="25"/>
      <c r="H205" s="25"/>
      <c r="I205" s="25"/>
      <c r="J205" s="25"/>
      <c r="K205" s="25"/>
      <c r="L205" s="25"/>
      <c r="M205" s="25"/>
      <c r="N205" s="25"/>
      <c r="O205" s="25"/>
      <c r="P205" s="25"/>
      <c r="Q205" s="25"/>
      <c r="R205" s="25"/>
      <c r="S205" s="25"/>
      <c r="T205" s="25"/>
    </row>
    <row r="206" spans="1:20" x14ac:dyDescent="0.3">
      <c r="A206" s="123" t="s">
        <v>27</v>
      </c>
      <c r="B206" s="123" t="s">
        <v>28</v>
      </c>
      <c r="C206" s="150">
        <v>105</v>
      </c>
      <c r="D206" s="25"/>
      <c r="E206" s="25"/>
      <c r="F206" s="25"/>
      <c r="G206" s="25"/>
      <c r="H206" s="25"/>
      <c r="I206" s="25"/>
      <c r="J206" s="25"/>
      <c r="K206" s="25"/>
      <c r="L206" s="25"/>
      <c r="M206" s="25"/>
      <c r="N206" s="25"/>
      <c r="O206" s="25"/>
      <c r="P206" s="25"/>
      <c r="Q206" s="25"/>
      <c r="R206" s="25"/>
      <c r="S206" s="25"/>
      <c r="T206" s="25"/>
    </row>
    <row r="207" spans="1:20" x14ac:dyDescent="0.3">
      <c r="A207" s="123" t="s">
        <v>27</v>
      </c>
      <c r="B207" s="123" t="s">
        <v>28</v>
      </c>
      <c r="C207" s="150">
        <v>202</v>
      </c>
      <c r="D207" s="25"/>
      <c r="E207" s="25"/>
      <c r="F207" s="25"/>
      <c r="G207" s="25"/>
      <c r="H207" s="25"/>
      <c r="I207" s="25"/>
      <c r="J207" s="25"/>
      <c r="K207" s="25"/>
      <c r="L207" s="25"/>
      <c r="M207" s="25"/>
      <c r="N207" s="25"/>
      <c r="O207" s="25"/>
      <c r="P207" s="25"/>
      <c r="Q207" s="25"/>
      <c r="R207" s="25"/>
      <c r="S207" s="25"/>
      <c r="T207" s="25"/>
    </row>
    <row r="208" spans="1:20" x14ac:dyDescent="0.3">
      <c r="A208" s="123" t="s">
        <v>27</v>
      </c>
      <c r="B208" s="123" t="s">
        <v>28</v>
      </c>
      <c r="C208" s="150">
        <v>0</v>
      </c>
      <c r="D208" s="25"/>
      <c r="E208" s="25"/>
      <c r="F208" s="25"/>
      <c r="G208" s="25"/>
      <c r="H208" s="25"/>
      <c r="I208" s="25"/>
      <c r="J208" s="25"/>
      <c r="K208" s="25"/>
      <c r="L208" s="25"/>
      <c r="M208" s="25"/>
      <c r="N208" s="25"/>
      <c r="O208" s="25"/>
      <c r="P208" s="25"/>
      <c r="Q208" s="25"/>
      <c r="R208" s="25"/>
      <c r="S208" s="25"/>
      <c r="T208" s="25"/>
    </row>
    <row r="209" spans="1:20" x14ac:dyDescent="0.3">
      <c r="A209" s="123" t="s">
        <v>27</v>
      </c>
      <c r="B209" s="123" t="s">
        <v>28</v>
      </c>
      <c r="C209" s="150">
        <v>53</v>
      </c>
      <c r="D209" s="25"/>
      <c r="E209" s="25"/>
      <c r="F209" s="25"/>
      <c r="G209" s="25"/>
      <c r="H209" s="25"/>
      <c r="I209" s="25"/>
      <c r="J209" s="25"/>
      <c r="K209" s="25"/>
      <c r="L209" s="25"/>
      <c r="M209" s="25"/>
      <c r="N209" s="25"/>
      <c r="O209" s="25"/>
      <c r="P209" s="25"/>
      <c r="Q209" s="25"/>
      <c r="R209" s="25"/>
      <c r="S209" s="25"/>
      <c r="T209" s="25"/>
    </row>
    <row r="210" spans="1:20" x14ac:dyDescent="0.3">
      <c r="A210" s="123" t="s">
        <v>27</v>
      </c>
      <c r="B210" s="123" t="s">
        <v>28</v>
      </c>
      <c r="C210" s="150">
        <v>-33</v>
      </c>
      <c r="D210" s="25"/>
      <c r="E210" s="25"/>
      <c r="F210" s="25"/>
      <c r="G210" s="25"/>
      <c r="H210" s="25"/>
      <c r="I210" s="25"/>
      <c r="J210" s="25"/>
      <c r="K210" s="25"/>
      <c r="L210" s="25"/>
      <c r="M210" s="25"/>
      <c r="N210" s="25"/>
      <c r="O210" s="25"/>
      <c r="P210" s="25"/>
      <c r="Q210" s="25"/>
      <c r="R210" s="25"/>
      <c r="S210" s="25"/>
      <c r="T210" s="25"/>
    </row>
    <row r="211" spans="1:20" x14ac:dyDescent="0.3">
      <c r="A211" s="123" t="s">
        <v>27</v>
      </c>
      <c r="B211" s="123" t="s">
        <v>28</v>
      </c>
      <c r="C211" s="150">
        <v>134</v>
      </c>
      <c r="D211" s="25"/>
      <c r="E211" s="25"/>
      <c r="F211" s="25"/>
      <c r="G211" s="25"/>
      <c r="H211" s="25"/>
      <c r="I211" s="25"/>
      <c r="J211" s="25"/>
      <c r="K211" s="25"/>
      <c r="L211" s="25"/>
      <c r="M211" s="25"/>
      <c r="N211" s="25"/>
      <c r="O211" s="25"/>
      <c r="P211" s="25"/>
      <c r="Q211" s="25"/>
      <c r="R211" s="25"/>
      <c r="S211" s="25"/>
      <c r="T211" s="25"/>
    </row>
    <row r="212" spans="1:20" x14ac:dyDescent="0.3">
      <c r="A212" s="123" t="s">
        <v>27</v>
      </c>
      <c r="B212" s="123" t="s">
        <v>28</v>
      </c>
      <c r="C212" s="150">
        <v>149</v>
      </c>
      <c r="D212" s="25"/>
      <c r="E212" s="25"/>
      <c r="F212" s="25"/>
      <c r="G212" s="25"/>
      <c r="H212" s="25"/>
      <c r="I212" s="25"/>
      <c r="J212" s="25"/>
      <c r="K212" s="25"/>
      <c r="L212" s="25"/>
      <c r="M212" s="25"/>
      <c r="N212" s="25"/>
      <c r="O212" s="25"/>
      <c r="P212" s="25"/>
      <c r="Q212" s="25"/>
      <c r="R212" s="25"/>
      <c r="S212" s="25"/>
      <c r="T212" s="25"/>
    </row>
    <row r="213" spans="1:20" x14ac:dyDescent="0.3">
      <c r="A213" s="123" t="s">
        <v>27</v>
      </c>
      <c r="B213" s="123" t="s">
        <v>28</v>
      </c>
      <c r="C213" s="150">
        <v>-40</v>
      </c>
      <c r="D213" s="25"/>
      <c r="E213" s="25"/>
      <c r="F213" s="25"/>
      <c r="G213" s="25"/>
      <c r="H213" s="25"/>
      <c r="I213" s="25"/>
      <c r="J213" s="25"/>
      <c r="K213" s="25"/>
      <c r="L213" s="25"/>
      <c r="M213" s="25"/>
      <c r="N213" s="25"/>
      <c r="O213" s="25"/>
      <c r="P213" s="25"/>
      <c r="Q213" s="25"/>
      <c r="R213" s="25"/>
      <c r="S213" s="25"/>
      <c r="T213" s="25"/>
    </row>
    <row r="214" spans="1:20" x14ac:dyDescent="0.3">
      <c r="A214" s="123" t="s">
        <v>27</v>
      </c>
      <c r="B214" s="123" t="s">
        <v>28</v>
      </c>
      <c r="C214" s="150">
        <v>0</v>
      </c>
      <c r="D214" s="25"/>
      <c r="E214" s="25"/>
      <c r="F214" s="25"/>
      <c r="G214" s="25"/>
      <c r="H214" s="25"/>
      <c r="I214" s="25"/>
      <c r="J214" s="25"/>
      <c r="K214" s="25"/>
      <c r="L214" s="25"/>
      <c r="M214" s="25"/>
      <c r="N214" s="25"/>
      <c r="O214" s="25"/>
      <c r="P214" s="25"/>
      <c r="Q214" s="25"/>
      <c r="R214" s="25"/>
      <c r="S214" s="25"/>
      <c r="T214" s="25"/>
    </row>
    <row r="215" spans="1:20" x14ac:dyDescent="0.3">
      <c r="A215" s="123" t="s">
        <v>27</v>
      </c>
      <c r="B215" s="123" t="s">
        <v>28</v>
      </c>
      <c r="C215" s="150">
        <v>51</v>
      </c>
      <c r="D215" s="25"/>
      <c r="E215" s="25"/>
      <c r="F215" s="25"/>
      <c r="G215" s="25"/>
      <c r="H215" s="25"/>
      <c r="I215" s="25"/>
      <c r="J215" s="25"/>
      <c r="K215" s="25"/>
      <c r="L215" s="25"/>
      <c r="M215" s="25"/>
      <c r="N215" s="25"/>
      <c r="O215" s="25"/>
      <c r="P215" s="25"/>
      <c r="Q215" s="25"/>
      <c r="R215" s="25"/>
      <c r="S215" s="25"/>
      <c r="T215" s="25"/>
    </row>
    <row r="216" spans="1:20" x14ac:dyDescent="0.3">
      <c r="A216" s="123" t="s">
        <v>27</v>
      </c>
      <c r="B216" s="123" t="s">
        <v>28</v>
      </c>
      <c r="C216" s="150">
        <v>0</v>
      </c>
      <c r="D216" s="25"/>
      <c r="E216" s="25"/>
      <c r="F216" s="25"/>
      <c r="G216" s="25"/>
      <c r="H216" s="25"/>
      <c r="I216" s="25"/>
      <c r="J216" s="25"/>
      <c r="K216" s="25"/>
      <c r="L216" s="25"/>
      <c r="M216" s="25"/>
      <c r="N216" s="25"/>
      <c r="O216" s="25"/>
      <c r="P216" s="25"/>
      <c r="Q216" s="25"/>
      <c r="R216" s="25"/>
      <c r="S216" s="25"/>
      <c r="T216" s="25"/>
    </row>
    <row r="217" spans="1:20" x14ac:dyDescent="0.3">
      <c r="A217" s="123" t="s">
        <v>27</v>
      </c>
      <c r="B217" s="123" t="s">
        <v>28</v>
      </c>
      <c r="C217" s="150">
        <v>-68</v>
      </c>
      <c r="D217" s="25"/>
      <c r="E217" s="25"/>
      <c r="F217" s="25"/>
      <c r="G217" s="25"/>
      <c r="H217" s="25"/>
      <c r="I217" s="25"/>
      <c r="J217" s="25"/>
      <c r="K217" s="25"/>
      <c r="L217" s="25"/>
      <c r="M217" s="25"/>
      <c r="N217" s="25"/>
      <c r="O217" s="25"/>
      <c r="P217" s="25"/>
      <c r="Q217" s="25"/>
      <c r="R217" s="25"/>
      <c r="S217" s="25"/>
      <c r="T217" s="25"/>
    </row>
    <row r="218" spans="1:20" x14ac:dyDescent="0.3">
      <c r="A218" s="123" t="s">
        <v>27</v>
      </c>
      <c r="B218" s="123" t="s">
        <v>28</v>
      </c>
      <c r="C218" s="150">
        <v>-78</v>
      </c>
      <c r="D218" s="25"/>
      <c r="E218" s="25"/>
      <c r="F218" s="25"/>
      <c r="G218" s="25"/>
      <c r="H218" s="25"/>
      <c r="I218" s="25"/>
      <c r="J218" s="25"/>
      <c r="K218" s="25"/>
      <c r="L218" s="25"/>
      <c r="M218" s="25"/>
      <c r="N218" s="25"/>
      <c r="O218" s="25"/>
      <c r="P218" s="25"/>
      <c r="Q218" s="25"/>
      <c r="R218" s="25"/>
      <c r="S218" s="25"/>
      <c r="T218" s="25"/>
    </row>
    <row r="219" spans="1:20" x14ac:dyDescent="0.3">
      <c r="A219" s="123" t="s">
        <v>27</v>
      </c>
      <c r="B219" s="123" t="s">
        <v>28</v>
      </c>
      <c r="C219" s="150">
        <v>96</v>
      </c>
      <c r="D219" s="25"/>
      <c r="E219" s="25"/>
      <c r="F219" s="25"/>
      <c r="G219" s="25"/>
      <c r="H219" s="25"/>
      <c r="I219" s="25"/>
      <c r="J219" s="25"/>
      <c r="K219" s="25"/>
      <c r="L219" s="25"/>
      <c r="M219" s="25"/>
      <c r="N219" s="25"/>
      <c r="O219" s="25"/>
      <c r="P219" s="25"/>
      <c r="Q219" s="25"/>
      <c r="R219" s="25"/>
      <c r="S219" s="25"/>
      <c r="T219" s="25"/>
    </row>
    <row r="220" spans="1:20" x14ac:dyDescent="0.3">
      <c r="A220" s="123" t="s">
        <v>27</v>
      </c>
      <c r="B220" s="123" t="s">
        <v>28</v>
      </c>
      <c r="C220" s="150">
        <v>141</v>
      </c>
      <c r="D220" s="25"/>
      <c r="E220" s="25"/>
      <c r="F220" s="25"/>
      <c r="G220" s="25"/>
      <c r="H220" s="25"/>
      <c r="I220" s="25"/>
      <c r="J220" s="25"/>
      <c r="K220" s="25"/>
      <c r="L220" s="25"/>
      <c r="M220" s="25"/>
      <c r="N220" s="25"/>
      <c r="O220" s="25"/>
      <c r="P220" s="25"/>
      <c r="Q220" s="25"/>
      <c r="R220" s="25"/>
      <c r="S220" s="25"/>
      <c r="T220" s="25"/>
    </row>
    <row r="221" spans="1:20" x14ac:dyDescent="0.3">
      <c r="A221" s="123" t="s">
        <v>27</v>
      </c>
      <c r="B221" s="123" t="s">
        <v>28</v>
      </c>
      <c r="C221" s="150">
        <v>-21</v>
      </c>
      <c r="D221" s="25"/>
      <c r="E221" s="25"/>
      <c r="F221" s="25"/>
      <c r="G221" s="25"/>
      <c r="H221" s="25"/>
      <c r="I221" s="25"/>
      <c r="J221" s="25"/>
      <c r="K221" s="25"/>
      <c r="L221" s="25"/>
      <c r="M221" s="25"/>
      <c r="N221" s="25"/>
      <c r="O221" s="25"/>
      <c r="P221" s="25"/>
      <c r="Q221" s="25"/>
      <c r="R221" s="25"/>
      <c r="S221" s="25"/>
      <c r="T221" s="25"/>
    </row>
    <row r="222" spans="1:20" x14ac:dyDescent="0.3">
      <c r="A222" s="123" t="s">
        <v>27</v>
      </c>
      <c r="B222" s="123" t="s">
        <v>28</v>
      </c>
      <c r="C222" s="150">
        <v>-31</v>
      </c>
      <c r="D222" s="25"/>
      <c r="E222" s="25"/>
      <c r="F222" s="25"/>
      <c r="G222" s="25"/>
      <c r="H222" s="25"/>
      <c r="I222" s="25"/>
      <c r="J222" s="25"/>
      <c r="K222" s="25"/>
      <c r="L222" s="25"/>
      <c r="M222" s="25"/>
      <c r="N222" s="25"/>
      <c r="O222" s="25"/>
      <c r="P222" s="25"/>
      <c r="Q222" s="25"/>
      <c r="R222" s="25"/>
      <c r="S222" s="25"/>
      <c r="T222" s="25"/>
    </row>
    <row r="223" spans="1:20" x14ac:dyDescent="0.3">
      <c r="A223" s="123" t="s">
        <v>27</v>
      </c>
      <c r="B223" s="123" t="s">
        <v>28</v>
      </c>
      <c r="C223" s="150">
        <v>56</v>
      </c>
      <c r="D223" s="25"/>
      <c r="E223" s="25"/>
      <c r="F223" s="25"/>
      <c r="G223" s="25"/>
      <c r="H223" s="25"/>
      <c r="I223" s="25"/>
      <c r="J223" s="25"/>
      <c r="K223" s="25"/>
      <c r="L223" s="25"/>
      <c r="M223" s="25"/>
      <c r="N223" s="25"/>
      <c r="O223" s="25"/>
      <c r="P223" s="25"/>
      <c r="Q223" s="25"/>
      <c r="R223" s="25"/>
      <c r="S223" s="25"/>
      <c r="T223" s="25"/>
    </row>
    <row r="224" spans="1:20" x14ac:dyDescent="0.3">
      <c r="A224" s="123" t="s">
        <v>27</v>
      </c>
      <c r="B224" s="123" t="s">
        <v>28</v>
      </c>
      <c r="C224" s="150">
        <v>0</v>
      </c>
      <c r="D224" s="25"/>
      <c r="E224" s="25"/>
      <c r="F224" s="25"/>
      <c r="G224" s="25"/>
      <c r="H224" s="25"/>
      <c r="I224" s="25"/>
      <c r="J224" s="25"/>
      <c r="K224" s="25"/>
      <c r="L224" s="25"/>
      <c r="M224" s="25"/>
      <c r="N224" s="25"/>
      <c r="O224" s="25"/>
      <c r="P224" s="25"/>
      <c r="Q224" s="25"/>
      <c r="R224" s="25"/>
      <c r="S224" s="25"/>
      <c r="T224" s="25"/>
    </row>
    <row r="225" spans="1:20" x14ac:dyDescent="0.3">
      <c r="A225" s="123" t="s">
        <v>27</v>
      </c>
      <c r="B225" s="123" t="s">
        <v>28</v>
      </c>
      <c r="C225" s="150">
        <v>-78</v>
      </c>
      <c r="D225" s="25"/>
      <c r="E225" s="25"/>
      <c r="F225" s="25"/>
      <c r="G225" s="25"/>
      <c r="H225" s="25"/>
      <c r="I225" s="25"/>
      <c r="J225" s="25"/>
      <c r="K225" s="25"/>
      <c r="L225" s="25"/>
      <c r="M225" s="25"/>
      <c r="N225" s="25"/>
      <c r="O225" s="25"/>
      <c r="P225" s="25"/>
      <c r="Q225" s="25"/>
      <c r="R225" s="25"/>
      <c r="S225" s="25"/>
      <c r="T225" s="25"/>
    </row>
    <row r="226" spans="1:20" x14ac:dyDescent="0.3">
      <c r="A226" s="123" t="s">
        <v>27</v>
      </c>
      <c r="B226" s="123" t="s">
        <v>28</v>
      </c>
      <c r="C226" s="150">
        <v>130</v>
      </c>
      <c r="D226" s="25"/>
      <c r="E226" s="25"/>
      <c r="F226" s="25"/>
      <c r="G226" s="25"/>
      <c r="H226" s="25"/>
      <c r="I226" s="25"/>
      <c r="J226" s="25"/>
      <c r="K226" s="25"/>
      <c r="L226" s="25"/>
      <c r="M226" s="25"/>
      <c r="N226" s="25"/>
      <c r="O226" s="25"/>
      <c r="P226" s="25"/>
      <c r="Q226" s="25"/>
      <c r="R226" s="25"/>
      <c r="S226" s="25"/>
      <c r="T226" s="25"/>
    </row>
    <row r="227" spans="1:20" x14ac:dyDescent="0.3">
      <c r="A227" s="123" t="s">
        <v>27</v>
      </c>
      <c r="B227" s="123" t="s">
        <v>28</v>
      </c>
      <c r="C227" s="150">
        <v>128</v>
      </c>
      <c r="D227" s="25"/>
      <c r="E227" s="25"/>
      <c r="F227" s="25"/>
      <c r="G227" s="25"/>
      <c r="H227" s="25"/>
      <c r="I227" s="25"/>
      <c r="J227" s="25"/>
      <c r="K227" s="25"/>
      <c r="L227" s="25"/>
      <c r="M227" s="25"/>
      <c r="N227" s="25"/>
      <c r="O227" s="25"/>
      <c r="P227" s="25"/>
      <c r="Q227" s="25"/>
      <c r="R227" s="25"/>
      <c r="S227" s="25"/>
      <c r="T227" s="25"/>
    </row>
    <row r="228" spans="1:20" x14ac:dyDescent="0.3">
      <c r="A228" s="123" t="s">
        <v>27</v>
      </c>
      <c r="B228" s="123" t="s">
        <v>28</v>
      </c>
      <c r="C228" s="150">
        <v>143</v>
      </c>
      <c r="D228" s="25"/>
      <c r="E228" s="25"/>
      <c r="F228" s="25"/>
      <c r="G228" s="25"/>
      <c r="H228" s="25"/>
      <c r="I228" s="25"/>
      <c r="J228" s="25"/>
      <c r="K228" s="25"/>
      <c r="L228" s="25"/>
      <c r="M228" s="25"/>
      <c r="N228" s="25"/>
      <c r="O228" s="25"/>
      <c r="P228" s="25"/>
      <c r="Q228" s="25"/>
      <c r="R228" s="25"/>
      <c r="S228" s="25"/>
      <c r="T228" s="25"/>
    </row>
    <row r="229" spans="1:20" x14ac:dyDescent="0.3">
      <c r="A229" s="123" t="s">
        <v>27</v>
      </c>
      <c r="B229" s="123" t="s">
        <v>28</v>
      </c>
      <c r="C229" s="150">
        <v>-52</v>
      </c>
      <c r="D229" s="25"/>
      <c r="E229" s="25"/>
      <c r="F229" s="25"/>
      <c r="G229" s="25"/>
      <c r="H229" s="25"/>
      <c r="I229" s="25"/>
      <c r="J229" s="25"/>
      <c r="K229" s="25"/>
      <c r="L229" s="25"/>
      <c r="M229" s="25"/>
      <c r="N229" s="25"/>
      <c r="O229" s="25"/>
      <c r="P229" s="25"/>
      <c r="Q229" s="25"/>
      <c r="R229" s="25"/>
      <c r="S229" s="25"/>
      <c r="T229" s="25"/>
    </row>
    <row r="230" spans="1:20" x14ac:dyDescent="0.3">
      <c r="A230" s="123" t="s">
        <v>27</v>
      </c>
      <c r="B230" s="123" t="s">
        <v>28</v>
      </c>
      <c r="C230" s="150">
        <v>-66</v>
      </c>
      <c r="D230" s="25"/>
      <c r="E230" s="25"/>
      <c r="F230" s="25"/>
      <c r="G230" s="25"/>
      <c r="H230" s="25"/>
      <c r="I230" s="25"/>
      <c r="J230" s="25"/>
      <c r="K230" s="25"/>
      <c r="L230" s="25"/>
      <c r="M230" s="25"/>
      <c r="N230" s="25"/>
      <c r="O230" s="25"/>
      <c r="P230" s="25"/>
      <c r="Q230" s="25"/>
      <c r="R230" s="25"/>
      <c r="S230" s="25"/>
      <c r="T230" s="25"/>
    </row>
    <row r="231" spans="1:20" x14ac:dyDescent="0.3">
      <c r="A231" s="123" t="s">
        <v>27</v>
      </c>
      <c r="B231" s="123" t="s">
        <v>28</v>
      </c>
      <c r="C231" s="150">
        <v>13</v>
      </c>
      <c r="D231" s="25"/>
      <c r="E231" s="25"/>
      <c r="F231" s="25"/>
      <c r="G231" s="25"/>
      <c r="H231" s="25"/>
      <c r="I231" s="25"/>
      <c r="J231" s="25"/>
      <c r="K231" s="25"/>
      <c r="L231" s="25"/>
      <c r="M231" s="25"/>
      <c r="N231" s="25"/>
      <c r="O231" s="25"/>
      <c r="P231" s="25"/>
      <c r="Q231" s="25"/>
      <c r="R231" s="25"/>
      <c r="S231" s="25"/>
      <c r="T231" s="25"/>
    </row>
    <row r="232" spans="1:20" x14ac:dyDescent="0.3">
      <c r="A232" s="123" t="s">
        <v>27</v>
      </c>
      <c r="B232" s="123" t="s">
        <v>28</v>
      </c>
      <c r="C232" s="150">
        <v>156</v>
      </c>
      <c r="D232" s="25"/>
      <c r="E232" s="25"/>
      <c r="F232" s="25"/>
      <c r="G232" s="25"/>
      <c r="H232" s="25"/>
      <c r="I232" s="25"/>
      <c r="J232" s="25"/>
      <c r="K232" s="25"/>
      <c r="L232" s="25"/>
      <c r="M232" s="25"/>
      <c r="N232" s="25"/>
      <c r="O232" s="25"/>
      <c r="P232" s="25"/>
      <c r="Q232" s="25"/>
      <c r="R232" s="25"/>
      <c r="S232" s="25"/>
      <c r="T232" s="25"/>
    </row>
    <row r="233" spans="1:20" x14ac:dyDescent="0.3">
      <c r="A233" s="123" t="s">
        <v>27</v>
      </c>
      <c r="B233" s="123" t="s">
        <v>28</v>
      </c>
      <c r="C233" s="150">
        <v>72</v>
      </c>
      <c r="D233" s="25"/>
      <c r="E233" s="25"/>
      <c r="F233" s="25"/>
      <c r="G233" s="25"/>
      <c r="H233" s="25"/>
      <c r="I233" s="25"/>
      <c r="J233" s="25"/>
      <c r="K233" s="25"/>
      <c r="L233" s="25"/>
      <c r="M233" s="25"/>
      <c r="N233" s="25"/>
      <c r="O233" s="25"/>
      <c r="P233" s="25"/>
      <c r="Q233" s="25"/>
      <c r="R233" s="25"/>
      <c r="S233" s="25"/>
      <c r="T233" s="25"/>
    </row>
    <row r="234" spans="1:20" x14ac:dyDescent="0.3">
      <c r="A234" s="123" t="s">
        <v>27</v>
      </c>
      <c r="B234" s="123" t="s">
        <v>28</v>
      </c>
      <c r="C234" s="150">
        <v>-19</v>
      </c>
      <c r="D234" s="25"/>
      <c r="E234" s="25"/>
      <c r="F234" s="25"/>
      <c r="G234" s="25"/>
      <c r="H234" s="25"/>
      <c r="I234" s="25"/>
      <c r="J234" s="25"/>
      <c r="K234" s="25"/>
      <c r="L234" s="25"/>
      <c r="M234" s="25"/>
      <c r="N234" s="25"/>
      <c r="O234" s="25"/>
      <c r="P234" s="25"/>
      <c r="Q234" s="25"/>
      <c r="R234" s="25"/>
      <c r="S234" s="25"/>
      <c r="T234" s="25"/>
    </row>
    <row r="235" spans="1:20" x14ac:dyDescent="0.3">
      <c r="A235" s="123" t="s">
        <v>27</v>
      </c>
      <c r="B235" s="123" t="s">
        <v>28</v>
      </c>
      <c r="C235" s="150">
        <v>128</v>
      </c>
      <c r="D235" s="25"/>
      <c r="E235" s="25"/>
      <c r="F235" s="25"/>
      <c r="G235" s="25"/>
      <c r="H235" s="25"/>
      <c r="I235" s="25"/>
      <c r="J235" s="25"/>
      <c r="K235" s="25"/>
      <c r="L235" s="25"/>
      <c r="M235" s="25"/>
      <c r="N235" s="25"/>
      <c r="O235" s="25"/>
      <c r="P235" s="25"/>
      <c r="Q235" s="25"/>
      <c r="R235" s="25"/>
      <c r="S235" s="25"/>
      <c r="T235" s="25"/>
    </row>
    <row r="236" spans="1:20" x14ac:dyDescent="0.3">
      <c r="A236" s="123" t="s">
        <v>27</v>
      </c>
      <c r="B236" s="123" t="s">
        <v>28</v>
      </c>
      <c r="C236" s="150">
        <v>-38</v>
      </c>
      <c r="D236" s="25"/>
      <c r="E236" s="25"/>
      <c r="F236" s="25"/>
      <c r="G236" s="25"/>
      <c r="H236" s="25"/>
      <c r="I236" s="25"/>
      <c r="J236" s="25"/>
      <c r="K236" s="25"/>
      <c r="L236" s="25"/>
      <c r="M236" s="25"/>
      <c r="N236" s="25"/>
      <c r="O236" s="25"/>
      <c r="P236" s="25"/>
      <c r="Q236" s="25"/>
      <c r="R236" s="25"/>
      <c r="S236" s="25"/>
      <c r="T236" s="25"/>
    </row>
    <row r="237" spans="1:20" x14ac:dyDescent="0.3">
      <c r="A237" s="123" t="s">
        <v>27</v>
      </c>
      <c r="B237" s="123" t="s">
        <v>28</v>
      </c>
      <c r="C237" s="150">
        <v>-20</v>
      </c>
      <c r="D237" s="25"/>
      <c r="E237" s="25"/>
      <c r="F237" s="25"/>
      <c r="G237" s="25"/>
      <c r="H237" s="25"/>
      <c r="I237" s="25"/>
      <c r="J237" s="25"/>
      <c r="K237" s="25"/>
      <c r="L237" s="25"/>
      <c r="M237" s="25"/>
      <c r="N237" s="25"/>
      <c r="O237" s="25"/>
      <c r="P237" s="25"/>
      <c r="Q237" s="25"/>
      <c r="R237" s="25"/>
      <c r="S237" s="25"/>
      <c r="T237" s="25"/>
    </row>
    <row r="238" spans="1:20" x14ac:dyDescent="0.3">
      <c r="A238" s="123" t="s">
        <v>27</v>
      </c>
      <c r="B238" s="123" t="s">
        <v>28</v>
      </c>
      <c r="C238" s="150">
        <v>36</v>
      </c>
      <c r="D238" s="25"/>
      <c r="E238" s="25"/>
      <c r="F238" s="25"/>
      <c r="G238" s="25"/>
      <c r="H238" s="25"/>
      <c r="I238" s="25"/>
      <c r="J238" s="25"/>
      <c r="K238" s="25"/>
      <c r="L238" s="25"/>
      <c r="M238" s="25"/>
      <c r="N238" s="25"/>
      <c r="O238" s="25"/>
      <c r="P238" s="25"/>
      <c r="Q238" s="25"/>
      <c r="R238" s="25"/>
      <c r="S238" s="25"/>
      <c r="T238" s="25"/>
    </row>
    <row r="239" spans="1:20" x14ac:dyDescent="0.3">
      <c r="A239" s="123" t="s">
        <v>27</v>
      </c>
      <c r="B239" s="123" t="s">
        <v>28</v>
      </c>
      <c r="C239" s="150">
        <v>122</v>
      </c>
      <c r="D239" s="25"/>
      <c r="E239" s="25"/>
      <c r="F239" s="25"/>
      <c r="G239" s="25"/>
      <c r="H239" s="25"/>
      <c r="I239" s="25"/>
      <c r="J239" s="25"/>
      <c r="K239" s="25"/>
      <c r="L239" s="25"/>
      <c r="M239" s="25"/>
      <c r="N239" s="25"/>
      <c r="O239" s="25"/>
      <c r="P239" s="25"/>
      <c r="Q239" s="25"/>
      <c r="R239" s="25"/>
      <c r="S239" s="25"/>
      <c r="T239" s="25"/>
    </row>
    <row r="240" spans="1:20" x14ac:dyDescent="0.3">
      <c r="A240" s="123" t="s">
        <v>27</v>
      </c>
      <c r="B240" s="123" t="s">
        <v>28</v>
      </c>
      <c r="C240" s="150">
        <v>26</v>
      </c>
      <c r="D240" s="25"/>
      <c r="E240" s="25"/>
      <c r="F240" s="25"/>
      <c r="G240" s="25"/>
      <c r="H240" s="25"/>
      <c r="I240" s="25"/>
      <c r="J240" s="25"/>
      <c r="K240" s="25"/>
      <c r="L240" s="25"/>
      <c r="M240" s="25"/>
      <c r="N240" s="25"/>
      <c r="O240" s="25"/>
      <c r="P240" s="25"/>
      <c r="Q240" s="25"/>
      <c r="R240" s="25"/>
      <c r="S240" s="25"/>
      <c r="T240" s="25"/>
    </row>
    <row r="241" spans="1:20" x14ac:dyDescent="0.3">
      <c r="A241" s="123" t="s">
        <v>27</v>
      </c>
      <c r="B241" s="123" t="s">
        <v>28</v>
      </c>
      <c r="C241" s="150">
        <v>43</v>
      </c>
      <c r="D241" s="25"/>
      <c r="E241" s="25"/>
      <c r="F241" s="25"/>
      <c r="G241" s="25"/>
      <c r="H241" s="25"/>
      <c r="I241" s="25"/>
      <c r="J241" s="25"/>
      <c r="K241" s="25"/>
      <c r="L241" s="25"/>
      <c r="M241" s="25"/>
      <c r="N241" s="25"/>
      <c r="O241" s="25"/>
      <c r="P241" s="25"/>
      <c r="Q241" s="25"/>
      <c r="R241" s="25"/>
      <c r="S241" s="25"/>
      <c r="T241" s="25"/>
    </row>
    <row r="242" spans="1:20" x14ac:dyDescent="0.3">
      <c r="A242" s="123" t="s">
        <v>27</v>
      </c>
      <c r="B242" s="123" t="s">
        <v>28</v>
      </c>
      <c r="C242" s="150">
        <v>128</v>
      </c>
      <c r="D242" s="25"/>
      <c r="E242" s="25"/>
      <c r="F242" s="25"/>
      <c r="G242" s="25"/>
      <c r="H242" s="25"/>
      <c r="I242" s="25"/>
      <c r="J242" s="25"/>
      <c r="K242" s="25"/>
      <c r="L242" s="25"/>
      <c r="M242" s="25"/>
      <c r="N242" s="25"/>
      <c r="O242" s="25"/>
      <c r="P242" s="25"/>
      <c r="Q242" s="25"/>
      <c r="R242" s="25"/>
      <c r="S242" s="25"/>
      <c r="T242" s="25"/>
    </row>
    <row r="243" spans="1:20" x14ac:dyDescent="0.3">
      <c r="A243" s="123" t="s">
        <v>27</v>
      </c>
      <c r="B243" s="123" t="s">
        <v>28</v>
      </c>
      <c r="C243" s="150">
        <v>-47</v>
      </c>
      <c r="D243" s="25"/>
      <c r="E243" s="25"/>
      <c r="F243" s="25"/>
      <c r="G243" s="25"/>
      <c r="H243" s="25"/>
      <c r="I243" s="25"/>
      <c r="J243" s="25"/>
      <c r="K243" s="25"/>
      <c r="L243" s="25"/>
      <c r="M243" s="25"/>
      <c r="N243" s="25"/>
      <c r="O243" s="25"/>
      <c r="P243" s="25"/>
      <c r="Q243" s="25"/>
      <c r="R243" s="25"/>
      <c r="S243" s="25"/>
      <c r="T243" s="25"/>
    </row>
    <row r="244" spans="1:20" x14ac:dyDescent="0.3">
      <c r="A244" s="123" t="s">
        <v>27</v>
      </c>
      <c r="B244" s="123" t="s">
        <v>28</v>
      </c>
      <c r="C244" s="150">
        <v>117</v>
      </c>
      <c r="D244" s="25"/>
      <c r="E244" s="25"/>
      <c r="F244" s="25"/>
      <c r="G244" s="25"/>
      <c r="H244" s="25"/>
      <c r="I244" s="25"/>
      <c r="J244" s="25"/>
      <c r="K244" s="25"/>
      <c r="L244" s="25"/>
      <c r="M244" s="25"/>
      <c r="N244" s="25"/>
      <c r="O244" s="25"/>
      <c r="P244" s="25"/>
      <c r="Q244" s="25"/>
      <c r="R244" s="25"/>
      <c r="S244" s="25"/>
      <c r="T244" s="25"/>
    </row>
    <row r="245" spans="1:20" x14ac:dyDescent="0.3">
      <c r="A245" s="123" t="s">
        <v>27</v>
      </c>
      <c r="B245" s="123" t="s">
        <v>28</v>
      </c>
      <c r="C245" s="150">
        <v>10</v>
      </c>
      <c r="D245" s="25"/>
      <c r="E245" s="25"/>
      <c r="F245" s="25"/>
      <c r="G245" s="25"/>
      <c r="H245" s="25"/>
      <c r="I245" s="25"/>
      <c r="J245" s="25"/>
      <c r="K245" s="25"/>
      <c r="L245" s="25"/>
      <c r="M245" s="25"/>
      <c r="N245" s="25"/>
      <c r="O245" s="25"/>
      <c r="P245" s="25"/>
      <c r="Q245" s="25"/>
      <c r="R245" s="25"/>
      <c r="S245" s="25"/>
      <c r="T245" s="25"/>
    </row>
    <row r="246" spans="1:20" x14ac:dyDescent="0.3">
      <c r="A246" s="123" t="s">
        <v>27</v>
      </c>
      <c r="B246" s="123" t="s">
        <v>28</v>
      </c>
      <c r="C246" s="150">
        <v>67</v>
      </c>
      <c r="D246" s="25"/>
      <c r="E246" s="25"/>
      <c r="F246" s="25"/>
      <c r="G246" s="25"/>
      <c r="H246" s="25"/>
      <c r="I246" s="25"/>
      <c r="J246" s="25"/>
      <c r="K246" s="25"/>
      <c r="L246" s="25"/>
      <c r="M246" s="25"/>
      <c r="N246" s="25"/>
      <c r="O246" s="25"/>
      <c r="P246" s="25"/>
      <c r="Q246" s="25"/>
      <c r="R246" s="25"/>
      <c r="S246" s="25"/>
      <c r="T246" s="25"/>
    </row>
    <row r="247" spans="1:20" x14ac:dyDescent="0.3">
      <c r="A247" s="123" t="s">
        <v>27</v>
      </c>
      <c r="B247" s="123" t="s">
        <v>28</v>
      </c>
      <c r="C247" s="150">
        <v>-38</v>
      </c>
      <c r="D247" s="25"/>
      <c r="E247" s="25"/>
      <c r="F247" s="25"/>
      <c r="G247" s="25"/>
      <c r="H247" s="25"/>
      <c r="I247" s="25"/>
      <c r="J247" s="25"/>
      <c r="K247" s="25"/>
      <c r="L247" s="25"/>
      <c r="M247" s="25"/>
      <c r="N247" s="25"/>
      <c r="O247" s="25"/>
      <c r="P247" s="25"/>
      <c r="Q247" s="25"/>
      <c r="R247" s="25"/>
      <c r="S247" s="25"/>
      <c r="T247" s="25"/>
    </row>
    <row r="248" spans="1:20" x14ac:dyDescent="0.3">
      <c r="A248" s="123" t="s">
        <v>27</v>
      </c>
      <c r="B248" s="123" t="s">
        <v>28</v>
      </c>
      <c r="C248" s="150">
        <v>16</v>
      </c>
      <c r="D248" s="25"/>
      <c r="E248" s="25"/>
      <c r="F248" s="25"/>
      <c r="G248" s="25"/>
      <c r="H248" s="25"/>
      <c r="I248" s="25"/>
      <c r="J248" s="25"/>
      <c r="K248" s="25"/>
      <c r="L248" s="25"/>
      <c r="M248" s="25"/>
      <c r="N248" s="25"/>
      <c r="O248" s="25"/>
      <c r="P248" s="25"/>
      <c r="Q248" s="25"/>
      <c r="R248" s="25"/>
      <c r="S248" s="25"/>
      <c r="T248" s="25"/>
    </row>
    <row r="249" spans="1:20" x14ac:dyDescent="0.3">
      <c r="A249" s="123" t="s">
        <v>27</v>
      </c>
      <c r="B249" s="123" t="s">
        <v>28</v>
      </c>
      <c r="C249" s="150">
        <v>-30</v>
      </c>
      <c r="D249" s="25"/>
      <c r="E249" s="25"/>
      <c r="F249" s="25"/>
      <c r="G249" s="25"/>
      <c r="H249" s="25"/>
      <c r="I249" s="25"/>
      <c r="J249" s="25"/>
      <c r="K249" s="25"/>
      <c r="L249" s="25"/>
      <c r="M249" s="25"/>
      <c r="N249" s="25"/>
      <c r="O249" s="25"/>
      <c r="P249" s="25"/>
      <c r="Q249" s="25"/>
      <c r="R249" s="25"/>
      <c r="S249" s="25"/>
      <c r="T249" s="25"/>
    </row>
    <row r="250" spans="1:20" x14ac:dyDescent="0.3">
      <c r="A250" s="123" t="s">
        <v>27</v>
      </c>
      <c r="B250" s="123" t="s">
        <v>28</v>
      </c>
      <c r="C250" s="150">
        <v>84</v>
      </c>
      <c r="D250" s="25"/>
      <c r="E250" s="25"/>
      <c r="F250" s="25"/>
      <c r="G250" s="25"/>
      <c r="H250" s="25"/>
      <c r="I250" s="25"/>
      <c r="J250" s="25"/>
      <c r="K250" s="25"/>
      <c r="L250" s="25"/>
      <c r="M250" s="25"/>
      <c r="N250" s="25"/>
      <c r="O250" s="25"/>
      <c r="P250" s="25"/>
      <c r="Q250" s="25"/>
      <c r="R250" s="25"/>
      <c r="S250" s="25"/>
      <c r="T250" s="25"/>
    </row>
    <row r="251" spans="1:20" x14ac:dyDescent="0.3">
      <c r="A251" s="123" t="s">
        <v>27</v>
      </c>
      <c r="B251" s="123" t="s">
        <v>28</v>
      </c>
      <c r="C251" s="150">
        <v>-38</v>
      </c>
      <c r="D251" s="25"/>
      <c r="E251" s="25"/>
      <c r="F251" s="25"/>
      <c r="G251" s="25"/>
      <c r="H251" s="25"/>
      <c r="I251" s="25"/>
      <c r="J251" s="25"/>
      <c r="K251" s="25"/>
      <c r="L251" s="25"/>
      <c r="M251" s="25"/>
      <c r="N251" s="25"/>
      <c r="O251" s="25"/>
      <c r="P251" s="25"/>
      <c r="Q251" s="25"/>
      <c r="R251" s="25"/>
      <c r="S251" s="25"/>
      <c r="T251" s="25"/>
    </row>
    <row r="252" spans="1:20" x14ac:dyDescent="0.3">
      <c r="A252" s="123" t="s">
        <v>27</v>
      </c>
      <c r="B252" s="123" t="s">
        <v>28</v>
      </c>
      <c r="C252" s="150">
        <v>70</v>
      </c>
      <c r="D252" s="25"/>
      <c r="E252" s="25"/>
      <c r="F252" s="25"/>
      <c r="G252" s="25"/>
      <c r="H252" s="25"/>
      <c r="I252" s="25"/>
      <c r="J252" s="25"/>
      <c r="K252" s="25"/>
      <c r="L252" s="25"/>
      <c r="M252" s="25"/>
      <c r="N252" s="25"/>
      <c r="O252" s="25"/>
      <c r="P252" s="25"/>
      <c r="Q252" s="25"/>
      <c r="R252" s="25"/>
      <c r="S252" s="25"/>
      <c r="T252" s="25"/>
    </row>
    <row r="253" spans="1:20" x14ac:dyDescent="0.3">
      <c r="A253" s="123" t="s">
        <v>27</v>
      </c>
      <c r="B253" s="123" t="s">
        <v>28</v>
      </c>
      <c r="C253" s="150">
        <v>0</v>
      </c>
      <c r="D253" s="25"/>
      <c r="E253" s="25"/>
      <c r="F253" s="25"/>
      <c r="G253" s="25"/>
      <c r="H253" s="25"/>
      <c r="I253" s="25"/>
      <c r="J253" s="25"/>
      <c r="K253" s="25"/>
      <c r="L253" s="25"/>
      <c r="M253" s="25"/>
      <c r="N253" s="25"/>
      <c r="O253" s="25"/>
      <c r="P253" s="25"/>
      <c r="Q253" s="25"/>
      <c r="R253" s="25"/>
      <c r="S253" s="25"/>
      <c r="T253" s="25"/>
    </row>
    <row r="254" spans="1:20" x14ac:dyDescent="0.3">
      <c r="A254" s="123" t="s">
        <v>27</v>
      </c>
      <c r="B254" s="123" t="s">
        <v>28</v>
      </c>
      <c r="C254" s="150">
        <v>53</v>
      </c>
      <c r="D254" s="25"/>
      <c r="E254" s="25"/>
      <c r="F254" s="25"/>
      <c r="G254" s="25"/>
      <c r="H254" s="25"/>
      <c r="I254" s="25"/>
      <c r="J254" s="25"/>
      <c r="K254" s="25"/>
      <c r="L254" s="25"/>
      <c r="M254" s="25"/>
      <c r="N254" s="25"/>
      <c r="O254" s="25"/>
      <c r="P254" s="25"/>
      <c r="Q254" s="25"/>
      <c r="R254" s="25"/>
      <c r="S254" s="25"/>
      <c r="T254" s="25"/>
    </row>
    <row r="255" spans="1:20" x14ac:dyDescent="0.3">
      <c r="A255" s="123" t="s">
        <v>27</v>
      </c>
      <c r="B255" s="123" t="s">
        <v>28</v>
      </c>
      <c r="C255" s="150">
        <v>165</v>
      </c>
      <c r="D255" s="25"/>
      <c r="E255" s="25"/>
      <c r="F255" s="25"/>
      <c r="G255" s="25"/>
      <c r="H255" s="25"/>
      <c r="I255" s="25"/>
      <c r="J255" s="25"/>
      <c r="K255" s="25"/>
      <c r="L255" s="25"/>
      <c r="M255" s="25"/>
      <c r="N255" s="25"/>
      <c r="O255" s="25"/>
      <c r="P255" s="25"/>
      <c r="Q255" s="25"/>
      <c r="R255" s="25"/>
      <c r="S255" s="25"/>
      <c r="T255" s="25"/>
    </row>
    <row r="256" spans="1:20" x14ac:dyDescent="0.3">
      <c r="A256" s="123" t="s">
        <v>27</v>
      </c>
      <c r="B256" s="123" t="s">
        <v>28</v>
      </c>
      <c r="C256" s="150">
        <v>159</v>
      </c>
      <c r="D256" s="25"/>
      <c r="E256" s="25"/>
      <c r="F256" s="25"/>
      <c r="G256" s="25"/>
      <c r="H256" s="25"/>
      <c r="I256" s="25"/>
      <c r="J256" s="25"/>
      <c r="K256" s="25"/>
      <c r="L256" s="25"/>
      <c r="M256" s="25"/>
      <c r="N256" s="25"/>
      <c r="O256" s="25"/>
      <c r="P256" s="25"/>
      <c r="Q256" s="25"/>
      <c r="R256" s="25"/>
      <c r="S256" s="25"/>
      <c r="T256" s="25"/>
    </row>
    <row r="257" spans="1:20" x14ac:dyDescent="0.3">
      <c r="A257" s="123" t="s">
        <v>27</v>
      </c>
      <c r="B257" s="123" t="s">
        <v>28</v>
      </c>
      <c r="C257" s="150">
        <v>143</v>
      </c>
      <c r="D257" s="25"/>
      <c r="E257" s="25"/>
      <c r="F257" s="25"/>
      <c r="G257" s="25"/>
      <c r="H257" s="25"/>
      <c r="I257" s="25"/>
      <c r="J257" s="25"/>
      <c r="K257" s="25"/>
      <c r="L257" s="25"/>
      <c r="M257" s="25"/>
      <c r="N257" s="25"/>
      <c r="O257" s="25"/>
      <c r="P257" s="25"/>
      <c r="Q257" s="25"/>
      <c r="R257" s="25"/>
      <c r="S257" s="25"/>
      <c r="T257" s="25"/>
    </row>
    <row r="258" spans="1:20" x14ac:dyDescent="0.3">
      <c r="A258" s="123" t="s">
        <v>27</v>
      </c>
      <c r="B258" s="123" t="s">
        <v>28</v>
      </c>
      <c r="C258" s="150">
        <v>0</v>
      </c>
      <c r="D258" s="25"/>
      <c r="E258" s="25"/>
      <c r="F258" s="25"/>
      <c r="G258" s="25"/>
      <c r="H258" s="25"/>
      <c r="I258" s="25"/>
      <c r="J258" s="25"/>
      <c r="K258" s="25"/>
      <c r="L258" s="25"/>
      <c r="M258" s="25"/>
      <c r="N258" s="25"/>
      <c r="O258" s="25"/>
      <c r="P258" s="25"/>
      <c r="Q258" s="25"/>
      <c r="R258" s="25"/>
      <c r="S258" s="25"/>
      <c r="T258" s="25"/>
    </row>
    <row r="259" spans="1:20" x14ac:dyDescent="0.3">
      <c r="A259" s="123" t="s">
        <v>27</v>
      </c>
      <c r="B259" s="123" t="s">
        <v>28</v>
      </c>
      <c r="C259" s="150">
        <v>-31</v>
      </c>
      <c r="D259" s="25"/>
      <c r="E259" s="25"/>
      <c r="F259" s="25"/>
      <c r="G259" s="25"/>
      <c r="H259" s="25"/>
      <c r="I259" s="25"/>
      <c r="J259" s="25"/>
      <c r="K259" s="25"/>
      <c r="L259" s="25"/>
      <c r="M259" s="25"/>
      <c r="N259" s="25"/>
      <c r="O259" s="25"/>
      <c r="P259" s="25"/>
      <c r="Q259" s="25"/>
      <c r="R259" s="25"/>
      <c r="S259" s="25"/>
      <c r="T259" s="25"/>
    </row>
    <row r="260" spans="1:20" x14ac:dyDescent="0.3">
      <c r="A260" s="123" t="s">
        <v>27</v>
      </c>
      <c r="B260" s="123" t="s">
        <v>28</v>
      </c>
      <c r="C260" s="150">
        <v>161</v>
      </c>
      <c r="D260" s="25"/>
      <c r="E260" s="25"/>
      <c r="F260" s="25"/>
      <c r="G260" s="25"/>
      <c r="H260" s="25"/>
      <c r="I260" s="25"/>
      <c r="J260" s="25"/>
      <c r="K260" s="25"/>
      <c r="L260" s="25"/>
      <c r="M260" s="25"/>
      <c r="N260" s="25"/>
      <c r="O260" s="25"/>
      <c r="P260" s="25"/>
      <c r="Q260" s="25"/>
      <c r="R260" s="25"/>
      <c r="S260" s="25"/>
      <c r="T260" s="25"/>
    </row>
    <row r="261" spans="1:20" x14ac:dyDescent="0.3">
      <c r="A261" s="123" t="s">
        <v>27</v>
      </c>
      <c r="B261" s="123" t="s">
        <v>28</v>
      </c>
      <c r="C261" s="150">
        <v>-50</v>
      </c>
      <c r="D261" s="25"/>
      <c r="E261" s="25"/>
      <c r="F261" s="25"/>
      <c r="G261" s="25"/>
      <c r="H261" s="25"/>
      <c r="I261" s="25"/>
      <c r="J261" s="25"/>
      <c r="K261" s="25"/>
      <c r="L261" s="25"/>
      <c r="M261" s="25"/>
      <c r="N261" s="25"/>
      <c r="O261" s="25"/>
      <c r="P261" s="25"/>
      <c r="Q261" s="25"/>
      <c r="R261" s="25"/>
      <c r="S261" s="25"/>
      <c r="T261" s="25"/>
    </row>
    <row r="262" spans="1:20" x14ac:dyDescent="0.3">
      <c r="A262" s="123" t="s">
        <v>27</v>
      </c>
      <c r="B262" s="123" t="s">
        <v>28</v>
      </c>
      <c r="C262" s="150">
        <v>34</v>
      </c>
      <c r="D262" s="25"/>
      <c r="E262" s="25"/>
      <c r="F262" s="25"/>
      <c r="G262" s="25"/>
      <c r="H262" s="25"/>
      <c r="I262" s="25"/>
      <c r="J262" s="25"/>
      <c r="K262" s="25"/>
      <c r="L262" s="25"/>
      <c r="M262" s="25"/>
      <c r="N262" s="25"/>
      <c r="O262" s="25"/>
      <c r="P262" s="25"/>
      <c r="Q262" s="25"/>
      <c r="R262" s="25"/>
      <c r="S262" s="25"/>
      <c r="T262" s="25"/>
    </row>
    <row r="263" spans="1:20" x14ac:dyDescent="0.3">
      <c r="A263" s="123" t="s">
        <v>27</v>
      </c>
      <c r="B263" s="123" t="s">
        <v>28</v>
      </c>
      <c r="C263" s="150">
        <v>-33</v>
      </c>
      <c r="D263" s="25"/>
      <c r="E263" s="25"/>
      <c r="F263" s="25"/>
      <c r="G263" s="25"/>
      <c r="H263" s="25"/>
      <c r="I263" s="25"/>
      <c r="J263" s="25"/>
      <c r="K263" s="25"/>
      <c r="L263" s="25"/>
      <c r="M263" s="25"/>
      <c r="N263" s="25"/>
      <c r="O263" s="25"/>
      <c r="P263" s="25"/>
      <c r="Q263" s="25"/>
      <c r="R263" s="25"/>
      <c r="S263" s="25"/>
      <c r="T263" s="25"/>
    </row>
    <row r="264" spans="1:20" x14ac:dyDescent="0.3">
      <c r="A264" s="123" t="s">
        <v>27</v>
      </c>
      <c r="B264" s="123" t="s">
        <v>28</v>
      </c>
      <c r="C264" s="150">
        <v>12</v>
      </c>
      <c r="D264" s="25"/>
      <c r="E264" s="25"/>
      <c r="F264" s="25"/>
      <c r="G264" s="25"/>
      <c r="H264" s="25"/>
      <c r="I264" s="25"/>
      <c r="J264" s="25"/>
      <c r="K264" s="25"/>
      <c r="L264" s="25"/>
      <c r="M264" s="25"/>
      <c r="N264" s="25"/>
      <c r="O264" s="25"/>
      <c r="P264" s="25"/>
      <c r="Q264" s="25"/>
      <c r="R264" s="25"/>
      <c r="S264" s="25"/>
      <c r="T264" s="25"/>
    </row>
    <row r="265" spans="1:20" x14ac:dyDescent="0.3">
      <c r="A265" s="123" t="s">
        <v>27</v>
      </c>
      <c r="B265" s="123" t="s">
        <v>28</v>
      </c>
      <c r="C265" s="150">
        <v>0</v>
      </c>
      <c r="D265" s="25"/>
      <c r="E265" s="25"/>
      <c r="F265" s="25"/>
      <c r="G265" s="25"/>
      <c r="H265" s="25"/>
      <c r="I265" s="25"/>
      <c r="J265" s="25"/>
      <c r="K265" s="25"/>
      <c r="L265" s="25"/>
      <c r="M265" s="25"/>
      <c r="N265" s="25"/>
      <c r="O265" s="25"/>
      <c r="P265" s="25"/>
      <c r="Q265" s="25"/>
      <c r="R265" s="25"/>
      <c r="S265" s="25"/>
      <c r="T265" s="25"/>
    </row>
    <row r="266" spans="1:20" x14ac:dyDescent="0.3">
      <c r="A266" s="123" t="s">
        <v>27</v>
      </c>
      <c r="B266" s="123" t="s">
        <v>28</v>
      </c>
      <c r="C266" s="150">
        <v>188</v>
      </c>
      <c r="D266" s="25"/>
      <c r="E266" s="25"/>
      <c r="F266" s="25"/>
      <c r="G266" s="25"/>
      <c r="H266" s="25"/>
      <c r="I266" s="25"/>
      <c r="J266" s="25"/>
      <c r="K266" s="25"/>
      <c r="L266" s="25"/>
      <c r="M266" s="25"/>
      <c r="N266" s="25"/>
      <c r="O266" s="25"/>
      <c r="P266" s="25"/>
      <c r="Q266" s="25"/>
      <c r="R266" s="25"/>
      <c r="S266" s="25"/>
      <c r="T266" s="25"/>
    </row>
    <row r="267" spans="1:20" x14ac:dyDescent="0.3">
      <c r="A267" s="123" t="s">
        <v>27</v>
      </c>
      <c r="B267" s="123" t="s">
        <v>28</v>
      </c>
      <c r="C267" s="150">
        <v>17</v>
      </c>
      <c r="D267" s="25"/>
      <c r="E267" s="25"/>
      <c r="F267" s="25"/>
      <c r="G267" s="25"/>
      <c r="H267" s="25"/>
      <c r="I267" s="25"/>
      <c r="J267" s="25"/>
      <c r="K267" s="25"/>
      <c r="L267" s="25"/>
      <c r="M267" s="25"/>
      <c r="N267" s="25"/>
      <c r="O267" s="25"/>
      <c r="P267" s="25"/>
      <c r="Q267" s="25"/>
      <c r="R267" s="25"/>
      <c r="S267" s="25"/>
      <c r="T267" s="25"/>
    </row>
    <row r="268" spans="1:20" x14ac:dyDescent="0.3">
      <c r="A268" s="123" t="s">
        <v>27</v>
      </c>
      <c r="B268" s="123" t="s">
        <v>28</v>
      </c>
      <c r="C268" s="150">
        <v>-37</v>
      </c>
      <c r="D268" s="25"/>
      <c r="E268" s="25"/>
      <c r="F268" s="25"/>
      <c r="G268" s="25"/>
      <c r="H268" s="25"/>
      <c r="I268" s="25"/>
      <c r="J268" s="25"/>
      <c r="K268" s="25"/>
      <c r="L268" s="25"/>
      <c r="M268" s="25"/>
      <c r="N268" s="25"/>
      <c r="O268" s="25"/>
      <c r="P268" s="25"/>
      <c r="Q268" s="25"/>
      <c r="R268" s="25"/>
      <c r="S268" s="25"/>
      <c r="T268" s="25"/>
    </row>
    <row r="269" spans="1:20" x14ac:dyDescent="0.3">
      <c r="A269" s="123" t="s">
        <v>27</v>
      </c>
      <c r="B269" s="123" t="s">
        <v>28</v>
      </c>
      <c r="C269" s="150">
        <v>69</v>
      </c>
      <c r="D269" s="25"/>
      <c r="E269" s="25"/>
      <c r="F269" s="25"/>
      <c r="G269" s="25"/>
      <c r="H269" s="25"/>
      <c r="I269" s="25"/>
      <c r="J269" s="25"/>
      <c r="K269" s="25"/>
      <c r="L269" s="25"/>
      <c r="M269" s="25"/>
      <c r="N269" s="25"/>
      <c r="O269" s="25"/>
      <c r="P269" s="25"/>
      <c r="Q269" s="25"/>
      <c r="R269" s="25"/>
      <c r="S269" s="25"/>
      <c r="T269" s="25"/>
    </row>
    <row r="270" spans="1:20" x14ac:dyDescent="0.3">
      <c r="A270" s="123" t="s">
        <v>27</v>
      </c>
      <c r="B270" s="123" t="s">
        <v>28</v>
      </c>
      <c r="C270" s="150">
        <v>-20</v>
      </c>
      <c r="D270" s="25"/>
      <c r="E270" s="25"/>
      <c r="F270" s="25"/>
      <c r="G270" s="25"/>
      <c r="H270" s="25"/>
      <c r="I270" s="25"/>
      <c r="J270" s="25"/>
      <c r="K270" s="25"/>
      <c r="L270" s="25"/>
      <c r="M270" s="25"/>
      <c r="N270" s="25"/>
      <c r="O270" s="25"/>
      <c r="P270" s="25"/>
      <c r="Q270" s="25"/>
      <c r="R270" s="25"/>
      <c r="S270" s="25"/>
      <c r="T270" s="25"/>
    </row>
    <row r="271" spans="1:20" x14ac:dyDescent="0.3">
      <c r="A271" s="123" t="s">
        <v>27</v>
      </c>
      <c r="B271" s="123" t="s">
        <v>28</v>
      </c>
      <c r="C271" s="150">
        <v>39</v>
      </c>
      <c r="D271" s="25"/>
      <c r="E271" s="25"/>
      <c r="F271" s="25"/>
      <c r="G271" s="25"/>
      <c r="H271" s="25"/>
      <c r="I271" s="25"/>
      <c r="J271" s="25"/>
      <c r="K271" s="25"/>
      <c r="L271" s="25"/>
      <c r="M271" s="25"/>
      <c r="N271" s="25"/>
      <c r="O271" s="25"/>
      <c r="P271" s="25"/>
      <c r="Q271" s="25"/>
      <c r="R271" s="25"/>
      <c r="S271" s="25"/>
      <c r="T271" s="25"/>
    </row>
    <row r="272" spans="1:20" x14ac:dyDescent="0.3">
      <c r="A272" s="123" t="s">
        <v>27</v>
      </c>
      <c r="B272" s="123" t="s">
        <v>28</v>
      </c>
      <c r="C272" s="150">
        <v>-19</v>
      </c>
      <c r="D272" s="25"/>
      <c r="E272" s="25"/>
      <c r="F272" s="25"/>
      <c r="G272" s="25"/>
      <c r="H272" s="25"/>
      <c r="I272" s="25"/>
      <c r="J272" s="25"/>
      <c r="K272" s="25"/>
      <c r="L272" s="25"/>
      <c r="M272" s="25"/>
      <c r="N272" s="25"/>
      <c r="O272" s="25"/>
      <c r="P272" s="25"/>
      <c r="Q272" s="25"/>
      <c r="R272" s="25"/>
      <c r="S272" s="25"/>
      <c r="T272" s="25"/>
    </row>
    <row r="273" spans="1:20" x14ac:dyDescent="0.3">
      <c r="A273" s="123" t="s">
        <v>27</v>
      </c>
      <c r="B273" s="123" t="s">
        <v>28</v>
      </c>
      <c r="C273" s="150">
        <v>40</v>
      </c>
      <c r="D273" s="25"/>
      <c r="E273" s="25"/>
      <c r="F273" s="25"/>
      <c r="G273" s="25"/>
      <c r="H273" s="25"/>
      <c r="I273" s="25"/>
      <c r="J273" s="25"/>
      <c r="K273" s="25"/>
      <c r="L273" s="25"/>
      <c r="M273" s="25"/>
      <c r="N273" s="25"/>
      <c r="O273" s="25"/>
      <c r="P273" s="25"/>
      <c r="Q273" s="25"/>
      <c r="R273" s="25"/>
      <c r="S273" s="25"/>
      <c r="T273" s="25"/>
    </row>
    <row r="274" spans="1:20" x14ac:dyDescent="0.3">
      <c r="A274" s="123" t="s">
        <v>27</v>
      </c>
      <c r="B274" s="123" t="s">
        <v>28</v>
      </c>
      <c r="C274" s="150">
        <v>-74</v>
      </c>
      <c r="D274" s="25"/>
      <c r="E274" s="25"/>
      <c r="F274" s="25"/>
      <c r="G274" s="25"/>
      <c r="H274" s="25"/>
      <c r="I274" s="25"/>
      <c r="J274" s="25"/>
      <c r="K274" s="25"/>
      <c r="L274" s="25"/>
      <c r="M274" s="25"/>
      <c r="N274" s="25"/>
      <c r="O274" s="25"/>
      <c r="P274" s="25"/>
      <c r="Q274" s="25"/>
      <c r="R274" s="25"/>
      <c r="S274" s="25"/>
      <c r="T274" s="25"/>
    </row>
    <row r="275" spans="1:20" x14ac:dyDescent="0.3">
      <c r="A275" s="123" t="s">
        <v>27</v>
      </c>
      <c r="B275" s="123" t="s">
        <v>28</v>
      </c>
      <c r="C275" s="150">
        <v>-21</v>
      </c>
      <c r="D275" s="25"/>
      <c r="E275" s="25"/>
      <c r="F275" s="25"/>
      <c r="G275" s="25"/>
      <c r="H275" s="25"/>
      <c r="I275" s="25"/>
      <c r="J275" s="25"/>
      <c r="K275" s="25"/>
      <c r="L275" s="25"/>
      <c r="M275" s="25"/>
      <c r="N275" s="25"/>
      <c r="O275" s="25"/>
      <c r="P275" s="25"/>
      <c r="Q275" s="25"/>
      <c r="R275" s="25"/>
      <c r="S275" s="25"/>
      <c r="T275" s="25"/>
    </row>
    <row r="276" spans="1:20" x14ac:dyDescent="0.3">
      <c r="A276" s="123" t="s">
        <v>27</v>
      </c>
      <c r="B276" s="123" t="s">
        <v>28</v>
      </c>
      <c r="C276" s="150">
        <v>56</v>
      </c>
      <c r="D276" s="25"/>
      <c r="E276" s="25"/>
      <c r="F276" s="25"/>
      <c r="G276" s="25"/>
      <c r="H276" s="25"/>
      <c r="I276" s="25"/>
      <c r="J276" s="25"/>
      <c r="K276" s="25"/>
      <c r="L276" s="25"/>
      <c r="M276" s="25"/>
      <c r="N276" s="25"/>
      <c r="O276" s="25"/>
      <c r="P276" s="25"/>
      <c r="Q276" s="25"/>
      <c r="R276" s="25"/>
      <c r="S276" s="25"/>
      <c r="T276" s="25"/>
    </row>
    <row r="277" spans="1:20" x14ac:dyDescent="0.3">
      <c r="A277" s="123" t="s">
        <v>27</v>
      </c>
      <c r="B277" s="123" t="s">
        <v>28</v>
      </c>
      <c r="C277" s="150">
        <v>95</v>
      </c>
      <c r="D277" s="25"/>
      <c r="E277" s="25"/>
      <c r="F277" s="25"/>
      <c r="G277" s="25"/>
      <c r="H277" s="25"/>
      <c r="I277" s="25"/>
      <c r="J277" s="25"/>
      <c r="K277" s="25"/>
      <c r="L277" s="25"/>
      <c r="M277" s="25"/>
      <c r="N277" s="25"/>
      <c r="O277" s="25"/>
      <c r="P277" s="25"/>
      <c r="Q277" s="25"/>
      <c r="R277" s="25"/>
      <c r="S277" s="25"/>
      <c r="T277" s="25"/>
    </row>
    <row r="278" spans="1:20" x14ac:dyDescent="0.3">
      <c r="A278" s="123" t="s">
        <v>27</v>
      </c>
      <c r="B278" s="123" t="s">
        <v>28</v>
      </c>
      <c r="C278" s="150">
        <v>148</v>
      </c>
      <c r="D278" s="25"/>
      <c r="E278" s="25"/>
      <c r="F278" s="25"/>
      <c r="G278" s="25"/>
      <c r="H278" s="25"/>
      <c r="I278" s="25"/>
      <c r="J278" s="25"/>
      <c r="K278" s="25"/>
      <c r="L278" s="25"/>
      <c r="M278" s="25"/>
      <c r="N278" s="25"/>
      <c r="O278" s="25"/>
      <c r="P278" s="25"/>
      <c r="Q278" s="25"/>
      <c r="R278" s="25"/>
      <c r="S278" s="25"/>
      <c r="T278" s="25"/>
    </row>
    <row r="279" spans="1:20" x14ac:dyDescent="0.3">
      <c r="A279" s="123" t="s">
        <v>27</v>
      </c>
      <c r="B279" s="123" t="s">
        <v>28</v>
      </c>
      <c r="C279" s="150">
        <v>116</v>
      </c>
      <c r="D279" s="25"/>
      <c r="E279" s="25"/>
      <c r="F279" s="25"/>
      <c r="G279" s="25"/>
      <c r="H279" s="25"/>
      <c r="I279" s="25"/>
      <c r="J279" s="25"/>
      <c r="K279" s="25"/>
      <c r="L279" s="25"/>
      <c r="M279" s="25"/>
      <c r="N279" s="25"/>
      <c r="O279" s="25"/>
      <c r="P279" s="25"/>
      <c r="Q279" s="25"/>
      <c r="R279" s="25"/>
      <c r="S279" s="25"/>
      <c r="T279" s="25"/>
    </row>
    <row r="280" spans="1:20" x14ac:dyDescent="0.3">
      <c r="A280" s="123" t="s">
        <v>27</v>
      </c>
      <c r="B280" s="123" t="s">
        <v>28</v>
      </c>
      <c r="C280" s="150">
        <v>141</v>
      </c>
      <c r="D280" s="25"/>
      <c r="E280" s="25"/>
      <c r="F280" s="25"/>
      <c r="G280" s="25"/>
      <c r="H280" s="25"/>
      <c r="I280" s="25"/>
      <c r="J280" s="25"/>
      <c r="K280" s="25"/>
      <c r="L280" s="25"/>
      <c r="M280" s="25"/>
      <c r="N280" s="25"/>
      <c r="O280" s="25"/>
      <c r="P280" s="25"/>
      <c r="Q280" s="25"/>
      <c r="R280" s="25"/>
      <c r="S280" s="25"/>
      <c r="T280" s="25"/>
    </row>
    <row r="281" spans="1:20" x14ac:dyDescent="0.3">
      <c r="A281" s="123" t="s">
        <v>27</v>
      </c>
      <c r="B281" s="123" t="s">
        <v>28</v>
      </c>
      <c r="C281" s="150">
        <v>0</v>
      </c>
      <c r="D281" s="25"/>
      <c r="E281" s="25"/>
      <c r="F281" s="25"/>
      <c r="G281" s="25"/>
      <c r="H281" s="25"/>
      <c r="I281" s="25"/>
      <c r="J281" s="25"/>
      <c r="K281" s="25"/>
      <c r="L281" s="25"/>
      <c r="M281" s="25"/>
      <c r="N281" s="25"/>
      <c r="O281" s="25"/>
      <c r="P281" s="25"/>
      <c r="Q281" s="25"/>
      <c r="R281" s="25"/>
      <c r="S281" s="25"/>
      <c r="T281" s="25"/>
    </row>
    <row r="282" spans="1:20" x14ac:dyDescent="0.3">
      <c r="A282" s="123" t="s">
        <v>27</v>
      </c>
      <c r="B282" s="123" t="s">
        <v>28</v>
      </c>
      <c r="C282" s="150">
        <v>-65</v>
      </c>
      <c r="D282" s="25"/>
      <c r="E282" s="25"/>
      <c r="F282" s="25"/>
      <c r="G282" s="25"/>
      <c r="H282" s="25"/>
      <c r="I282" s="25"/>
      <c r="J282" s="25"/>
      <c r="K282" s="25"/>
      <c r="L282" s="25"/>
      <c r="M282" s="25"/>
      <c r="N282" s="25"/>
      <c r="O282" s="25"/>
      <c r="P282" s="25"/>
      <c r="Q282" s="25"/>
      <c r="R282" s="25"/>
      <c r="S282" s="25"/>
      <c r="T282" s="25"/>
    </row>
    <row r="283" spans="1:20" x14ac:dyDescent="0.3">
      <c r="A283" s="123" t="s">
        <v>27</v>
      </c>
      <c r="B283" s="123" t="s">
        <v>28</v>
      </c>
      <c r="C283" s="150">
        <v>0</v>
      </c>
      <c r="D283" s="25"/>
      <c r="E283" s="25"/>
      <c r="F283" s="25"/>
      <c r="G283" s="25"/>
      <c r="H283" s="25"/>
      <c r="I283" s="25"/>
      <c r="J283" s="25"/>
      <c r="K283" s="25"/>
      <c r="L283" s="25"/>
      <c r="M283" s="25"/>
      <c r="N283" s="25"/>
      <c r="O283" s="25"/>
      <c r="P283" s="25"/>
      <c r="Q283" s="25"/>
      <c r="R283" s="25"/>
      <c r="S283" s="25"/>
      <c r="T283" s="25"/>
    </row>
    <row r="284" spans="1:20" x14ac:dyDescent="0.3">
      <c r="A284" s="123" t="s">
        <v>27</v>
      </c>
      <c r="B284" s="123" t="s">
        <v>28</v>
      </c>
      <c r="C284" s="150">
        <v>-21</v>
      </c>
      <c r="D284" s="25"/>
      <c r="E284" s="25"/>
      <c r="F284" s="25"/>
      <c r="G284" s="25"/>
      <c r="H284" s="25"/>
      <c r="I284" s="25"/>
      <c r="J284" s="25"/>
      <c r="K284" s="25"/>
      <c r="L284" s="25"/>
      <c r="M284" s="25"/>
      <c r="N284" s="25"/>
      <c r="O284" s="25"/>
      <c r="P284" s="25"/>
      <c r="Q284" s="25"/>
      <c r="R284" s="25"/>
      <c r="S284" s="25"/>
      <c r="T284" s="25"/>
    </row>
    <row r="285" spans="1:20" x14ac:dyDescent="0.3">
      <c r="A285" s="123" t="s">
        <v>27</v>
      </c>
      <c r="B285" s="123" t="s">
        <v>28</v>
      </c>
      <c r="C285" s="150">
        <v>96</v>
      </c>
      <c r="D285" s="25"/>
      <c r="E285" s="25"/>
      <c r="F285" s="25"/>
      <c r="G285" s="25"/>
      <c r="H285" s="25"/>
      <c r="I285" s="25"/>
      <c r="J285" s="25"/>
      <c r="K285" s="25"/>
      <c r="L285" s="25"/>
      <c r="M285" s="25"/>
      <c r="N285" s="25"/>
      <c r="O285" s="25"/>
      <c r="P285" s="25"/>
      <c r="Q285" s="25"/>
      <c r="R285" s="25"/>
      <c r="S285" s="25"/>
      <c r="T285" s="25"/>
    </row>
    <row r="286" spans="1:20" x14ac:dyDescent="0.3">
      <c r="A286" s="123" t="s">
        <v>27</v>
      </c>
      <c r="B286" s="123" t="s">
        <v>28</v>
      </c>
      <c r="C286" s="150">
        <v>-56</v>
      </c>
      <c r="D286" s="25"/>
      <c r="E286" s="25"/>
      <c r="F286" s="25"/>
      <c r="G286" s="25"/>
      <c r="H286" s="25"/>
      <c r="I286" s="25"/>
      <c r="J286" s="25"/>
      <c r="K286" s="25"/>
      <c r="L286" s="25"/>
      <c r="M286" s="25"/>
      <c r="N286" s="25"/>
      <c r="O286" s="25"/>
      <c r="P286" s="25"/>
      <c r="Q286" s="25"/>
      <c r="R286" s="25"/>
      <c r="S286" s="25"/>
      <c r="T286" s="25"/>
    </row>
    <row r="287" spans="1:20" x14ac:dyDescent="0.3">
      <c r="A287" s="123" t="s">
        <v>27</v>
      </c>
      <c r="B287" s="123" t="s">
        <v>28</v>
      </c>
      <c r="C287" s="150">
        <v>-74</v>
      </c>
      <c r="D287" s="25"/>
      <c r="E287" s="25"/>
      <c r="F287" s="25"/>
      <c r="G287" s="25"/>
      <c r="H287" s="25"/>
      <c r="I287" s="25"/>
      <c r="J287" s="25"/>
      <c r="K287" s="25"/>
      <c r="L287" s="25"/>
      <c r="M287" s="25"/>
      <c r="N287" s="25"/>
      <c r="O287" s="25"/>
      <c r="P287" s="25"/>
      <c r="Q287" s="25"/>
      <c r="R287" s="25"/>
      <c r="S287" s="25"/>
      <c r="T287" s="25"/>
    </row>
    <row r="288" spans="1:20" x14ac:dyDescent="0.3">
      <c r="A288" s="123" t="s">
        <v>27</v>
      </c>
      <c r="B288" s="123" t="s">
        <v>28</v>
      </c>
      <c r="C288" s="150">
        <v>-31</v>
      </c>
      <c r="D288" s="25"/>
      <c r="E288" s="25"/>
      <c r="F288" s="25"/>
      <c r="G288" s="25"/>
      <c r="H288" s="25"/>
      <c r="I288" s="25"/>
      <c r="J288" s="25"/>
      <c r="K288" s="25"/>
      <c r="L288" s="25"/>
      <c r="M288" s="25"/>
      <c r="N288" s="25"/>
      <c r="O288" s="25"/>
      <c r="P288" s="25"/>
      <c r="Q288" s="25"/>
      <c r="R288" s="25"/>
      <c r="S288" s="25"/>
      <c r="T288" s="25"/>
    </row>
    <row r="289" spans="1:20" x14ac:dyDescent="0.3">
      <c r="A289" s="123" t="s">
        <v>27</v>
      </c>
      <c r="B289" s="123" t="s">
        <v>28</v>
      </c>
      <c r="C289" s="150">
        <v>-10</v>
      </c>
      <c r="D289" s="25"/>
      <c r="E289" s="25"/>
      <c r="F289" s="25"/>
      <c r="G289" s="25"/>
      <c r="H289" s="25"/>
      <c r="I289" s="25"/>
      <c r="J289" s="25"/>
      <c r="K289" s="25"/>
      <c r="L289" s="25"/>
      <c r="M289" s="25"/>
      <c r="N289" s="25"/>
      <c r="O289" s="25"/>
      <c r="P289" s="25"/>
      <c r="Q289" s="25"/>
      <c r="R289" s="25"/>
      <c r="S289" s="25"/>
      <c r="T289" s="25"/>
    </row>
    <row r="290" spans="1:20" x14ac:dyDescent="0.3">
      <c r="A290" s="123" t="s">
        <v>27</v>
      </c>
      <c r="B290" s="123" t="s">
        <v>28</v>
      </c>
      <c r="C290" s="150">
        <v>42</v>
      </c>
      <c r="D290" s="25"/>
      <c r="E290" s="25"/>
      <c r="F290" s="25"/>
      <c r="G290" s="25"/>
      <c r="H290" s="25"/>
      <c r="I290" s="25"/>
      <c r="J290" s="25"/>
      <c r="K290" s="25"/>
      <c r="L290" s="25"/>
      <c r="M290" s="25"/>
      <c r="N290" s="25"/>
      <c r="O290" s="25"/>
      <c r="P290" s="25"/>
      <c r="Q290" s="25"/>
      <c r="R290" s="25"/>
      <c r="S290" s="25"/>
      <c r="T290" s="25"/>
    </row>
    <row r="291" spans="1:20" x14ac:dyDescent="0.3">
      <c r="A291" s="123" t="s">
        <v>27</v>
      </c>
      <c r="B291" s="123" t="s">
        <v>28</v>
      </c>
      <c r="C291" s="150">
        <v>89</v>
      </c>
      <c r="D291" s="25"/>
      <c r="E291" s="25"/>
      <c r="F291" s="25"/>
      <c r="G291" s="25"/>
      <c r="H291" s="25"/>
      <c r="I291" s="25"/>
      <c r="J291" s="25"/>
      <c r="K291" s="25"/>
      <c r="L291" s="25"/>
      <c r="M291" s="25"/>
      <c r="N291" s="25"/>
      <c r="O291" s="25"/>
      <c r="P291" s="25"/>
      <c r="Q291" s="25"/>
      <c r="R291" s="25"/>
      <c r="S291" s="25"/>
      <c r="T291" s="25"/>
    </row>
    <row r="292" spans="1:20" x14ac:dyDescent="0.3">
      <c r="A292" s="123" t="s">
        <v>27</v>
      </c>
      <c r="B292" s="123" t="s">
        <v>28</v>
      </c>
      <c r="C292" s="150">
        <v>29</v>
      </c>
      <c r="D292" s="25"/>
      <c r="E292" s="25"/>
      <c r="F292" s="25"/>
      <c r="G292" s="25"/>
      <c r="H292" s="25"/>
      <c r="I292" s="25"/>
      <c r="J292" s="25"/>
      <c r="K292" s="25"/>
      <c r="L292" s="25"/>
      <c r="M292" s="25"/>
      <c r="N292" s="25"/>
      <c r="O292" s="25"/>
      <c r="P292" s="25"/>
      <c r="Q292" s="25"/>
      <c r="R292" s="25"/>
      <c r="S292" s="25"/>
      <c r="T292" s="25"/>
    </row>
    <row r="293" spans="1:20" x14ac:dyDescent="0.3">
      <c r="A293" s="123" t="s">
        <v>27</v>
      </c>
      <c r="B293" s="123" t="s">
        <v>28</v>
      </c>
      <c r="C293" s="150">
        <v>39</v>
      </c>
      <c r="D293" s="25"/>
      <c r="E293" s="25"/>
      <c r="F293" s="25"/>
      <c r="G293" s="25"/>
      <c r="H293" s="25"/>
      <c r="I293" s="25"/>
      <c r="J293" s="25"/>
      <c r="K293" s="25"/>
      <c r="L293" s="25"/>
      <c r="M293" s="25"/>
      <c r="N293" s="25"/>
      <c r="O293" s="25"/>
      <c r="P293" s="25"/>
      <c r="Q293" s="25"/>
      <c r="R293" s="25"/>
      <c r="S293" s="25"/>
      <c r="T293" s="25"/>
    </row>
    <row r="294" spans="1:20" x14ac:dyDescent="0.3">
      <c r="A294" s="123" t="s">
        <v>27</v>
      </c>
      <c r="B294" s="123" t="s">
        <v>28</v>
      </c>
      <c r="C294" s="150">
        <v>30</v>
      </c>
      <c r="D294" s="25"/>
      <c r="E294" s="25"/>
      <c r="F294" s="25"/>
      <c r="G294" s="25"/>
      <c r="H294" s="25"/>
      <c r="I294" s="25"/>
      <c r="J294" s="25"/>
      <c r="K294" s="25"/>
      <c r="L294" s="25"/>
      <c r="M294" s="25"/>
      <c r="N294" s="25"/>
      <c r="O294" s="25"/>
      <c r="P294" s="25"/>
      <c r="Q294" s="25"/>
      <c r="R294" s="25"/>
      <c r="S294" s="25"/>
      <c r="T294" s="25"/>
    </row>
    <row r="295" spans="1:20" x14ac:dyDescent="0.3">
      <c r="A295" s="123" t="s">
        <v>27</v>
      </c>
      <c r="B295" s="123" t="s">
        <v>28</v>
      </c>
      <c r="C295" s="150">
        <v>67</v>
      </c>
      <c r="D295" s="25"/>
      <c r="E295" s="25"/>
      <c r="F295" s="25"/>
      <c r="G295" s="25"/>
      <c r="H295" s="25"/>
      <c r="I295" s="25"/>
      <c r="J295" s="25"/>
      <c r="K295" s="25"/>
      <c r="L295" s="25"/>
      <c r="M295" s="25"/>
      <c r="N295" s="25"/>
      <c r="O295" s="25"/>
      <c r="P295" s="25"/>
      <c r="Q295" s="25"/>
      <c r="R295" s="25"/>
      <c r="S295" s="25"/>
      <c r="T295" s="25"/>
    </row>
    <row r="296" spans="1:20" x14ac:dyDescent="0.3">
      <c r="A296" s="123" t="s">
        <v>27</v>
      </c>
      <c r="B296" s="123" t="s">
        <v>28</v>
      </c>
      <c r="C296" s="150">
        <v>147</v>
      </c>
      <c r="D296" s="25"/>
      <c r="E296" s="25"/>
      <c r="F296" s="25"/>
      <c r="G296" s="25"/>
      <c r="H296" s="25"/>
      <c r="I296" s="25"/>
      <c r="J296" s="25"/>
      <c r="K296" s="25"/>
      <c r="L296" s="25"/>
      <c r="M296" s="25"/>
      <c r="N296" s="25"/>
      <c r="O296" s="25"/>
      <c r="P296" s="25"/>
      <c r="Q296" s="25"/>
      <c r="R296" s="25"/>
      <c r="S296" s="25"/>
      <c r="T296" s="25"/>
    </row>
    <row r="297" spans="1:20" x14ac:dyDescent="0.3">
      <c r="A297" s="123" t="s">
        <v>27</v>
      </c>
      <c r="B297" s="123" t="s">
        <v>28</v>
      </c>
      <c r="C297" s="150">
        <v>0</v>
      </c>
      <c r="D297" s="25"/>
      <c r="E297" s="25"/>
      <c r="F297" s="25"/>
      <c r="G297" s="25"/>
      <c r="H297" s="25"/>
      <c r="I297" s="25"/>
      <c r="J297" s="25"/>
      <c r="K297" s="25"/>
      <c r="L297" s="25"/>
      <c r="M297" s="25"/>
      <c r="N297" s="25"/>
      <c r="O297" s="25"/>
      <c r="P297" s="25"/>
      <c r="Q297" s="25"/>
      <c r="R297" s="25"/>
      <c r="S297" s="25"/>
      <c r="T297" s="25"/>
    </row>
    <row r="298" spans="1:20" x14ac:dyDescent="0.3">
      <c r="A298" s="123" t="s">
        <v>27</v>
      </c>
      <c r="B298" s="123" t="s">
        <v>28</v>
      </c>
      <c r="C298" s="150">
        <v>-10</v>
      </c>
      <c r="D298" s="25"/>
      <c r="E298" s="25"/>
      <c r="F298" s="25"/>
      <c r="G298" s="25"/>
      <c r="H298" s="25"/>
      <c r="I298" s="25"/>
      <c r="J298" s="25"/>
      <c r="K298" s="25"/>
      <c r="L298" s="25"/>
      <c r="M298" s="25"/>
      <c r="N298" s="25"/>
      <c r="O298" s="25"/>
      <c r="P298" s="25"/>
      <c r="Q298" s="25"/>
      <c r="R298" s="25"/>
      <c r="S298" s="25"/>
      <c r="T298" s="25"/>
    </row>
    <row r="299" spans="1:20" x14ac:dyDescent="0.3">
      <c r="A299" s="123" t="s">
        <v>27</v>
      </c>
      <c r="B299" s="123" t="s">
        <v>28</v>
      </c>
      <c r="C299" s="150">
        <v>-39</v>
      </c>
      <c r="D299" s="25"/>
      <c r="E299" s="25"/>
      <c r="F299" s="25"/>
      <c r="G299" s="25"/>
      <c r="H299" s="25"/>
      <c r="I299" s="25"/>
      <c r="J299" s="25"/>
      <c r="K299" s="25"/>
      <c r="L299" s="25"/>
      <c r="M299" s="25"/>
      <c r="N299" s="25"/>
      <c r="O299" s="25"/>
      <c r="P299" s="25"/>
      <c r="Q299" s="25"/>
      <c r="R299" s="25"/>
      <c r="S299" s="25"/>
      <c r="T299" s="25"/>
    </row>
    <row r="300" spans="1:20" x14ac:dyDescent="0.3">
      <c r="A300" s="123" t="s">
        <v>27</v>
      </c>
      <c r="B300" s="123" t="s">
        <v>28</v>
      </c>
      <c r="C300" s="150">
        <v>0</v>
      </c>
      <c r="D300" s="25"/>
      <c r="E300" s="25"/>
      <c r="F300" s="25"/>
      <c r="G300" s="25"/>
      <c r="H300" s="25"/>
      <c r="I300" s="25"/>
      <c r="J300" s="25"/>
      <c r="K300" s="25"/>
      <c r="L300" s="25"/>
      <c r="M300" s="25"/>
      <c r="N300" s="25"/>
      <c r="O300" s="25"/>
      <c r="P300" s="25"/>
      <c r="Q300" s="25"/>
      <c r="R300" s="25"/>
      <c r="S300" s="25"/>
      <c r="T300" s="25"/>
    </row>
    <row r="301" spans="1:20" x14ac:dyDescent="0.3">
      <c r="A301" s="123" t="s">
        <v>27</v>
      </c>
      <c r="B301" s="123" t="s">
        <v>28</v>
      </c>
      <c r="C301" s="150">
        <v>138</v>
      </c>
      <c r="D301" s="25"/>
      <c r="E301" s="25"/>
      <c r="F301" s="25"/>
      <c r="G301" s="25"/>
      <c r="H301" s="25"/>
      <c r="I301" s="25"/>
      <c r="J301" s="25"/>
      <c r="K301" s="25"/>
      <c r="L301" s="25"/>
      <c r="M301" s="25"/>
      <c r="N301" s="25"/>
      <c r="O301" s="25"/>
      <c r="P301" s="25"/>
      <c r="Q301" s="25"/>
      <c r="R301" s="25"/>
      <c r="S301" s="25"/>
      <c r="T301" s="25"/>
    </row>
    <row r="302" spans="1:20" x14ac:dyDescent="0.3">
      <c r="A302" s="123" t="s">
        <v>27</v>
      </c>
      <c r="B302" s="123" t="s">
        <v>28</v>
      </c>
      <c r="C302" s="150">
        <v>119</v>
      </c>
      <c r="D302" s="25"/>
      <c r="E302" s="25"/>
      <c r="F302" s="25"/>
      <c r="G302" s="25"/>
      <c r="H302" s="25"/>
      <c r="I302" s="25"/>
      <c r="J302" s="25"/>
      <c r="K302" s="25"/>
      <c r="L302" s="25"/>
      <c r="M302" s="25"/>
      <c r="N302" s="25"/>
      <c r="O302" s="25"/>
      <c r="P302" s="25"/>
      <c r="Q302" s="25"/>
      <c r="R302" s="25"/>
      <c r="S302" s="25"/>
      <c r="T302" s="25"/>
    </row>
    <row r="303" spans="1:20" x14ac:dyDescent="0.3">
      <c r="A303" s="123" t="s">
        <v>27</v>
      </c>
      <c r="B303" s="123" t="s">
        <v>28</v>
      </c>
      <c r="C303" s="150">
        <v>99</v>
      </c>
      <c r="D303" s="25"/>
      <c r="E303" s="25"/>
      <c r="F303" s="25"/>
      <c r="G303" s="25"/>
      <c r="H303" s="25"/>
      <c r="I303" s="25"/>
      <c r="J303" s="25"/>
      <c r="K303" s="25"/>
      <c r="L303" s="25"/>
      <c r="M303" s="25"/>
      <c r="N303" s="25"/>
      <c r="O303" s="25"/>
      <c r="P303" s="25"/>
      <c r="Q303" s="25"/>
      <c r="R303" s="25"/>
      <c r="S303" s="25"/>
      <c r="T303" s="25"/>
    </row>
    <row r="304" spans="1:20" x14ac:dyDescent="0.3">
      <c r="A304" s="123" t="s">
        <v>27</v>
      </c>
      <c r="B304" s="123" t="s">
        <v>28</v>
      </c>
      <c r="C304" s="150">
        <v>-48</v>
      </c>
      <c r="D304" s="25"/>
      <c r="E304" s="25"/>
      <c r="F304" s="25"/>
      <c r="G304" s="25"/>
      <c r="H304" s="25"/>
      <c r="I304" s="25"/>
      <c r="J304" s="25"/>
      <c r="K304" s="25"/>
      <c r="L304" s="25"/>
      <c r="M304" s="25"/>
      <c r="N304" s="25"/>
      <c r="O304" s="25"/>
      <c r="P304" s="25"/>
      <c r="Q304" s="25"/>
      <c r="R304" s="25"/>
      <c r="S304" s="25"/>
      <c r="T304" s="25"/>
    </row>
    <row r="305" spans="1:20" x14ac:dyDescent="0.3">
      <c r="A305" s="123" t="s">
        <v>27</v>
      </c>
      <c r="B305" s="123" t="s">
        <v>28</v>
      </c>
      <c r="C305" s="150">
        <v>29</v>
      </c>
      <c r="D305" s="25"/>
      <c r="E305" s="25"/>
      <c r="F305" s="25"/>
      <c r="G305" s="25"/>
      <c r="H305" s="25"/>
      <c r="I305" s="25"/>
      <c r="J305" s="25"/>
      <c r="K305" s="25"/>
      <c r="L305" s="25"/>
      <c r="M305" s="25"/>
      <c r="N305" s="25"/>
      <c r="O305" s="25"/>
      <c r="P305" s="25"/>
      <c r="Q305" s="25"/>
      <c r="R305" s="25"/>
      <c r="S305" s="25"/>
      <c r="T305" s="25"/>
    </row>
    <row r="306" spans="1:20" x14ac:dyDescent="0.3">
      <c r="A306" s="123" t="s">
        <v>27</v>
      </c>
      <c r="B306" s="123" t="s">
        <v>28</v>
      </c>
      <c r="C306" s="150">
        <v>92</v>
      </c>
      <c r="D306" s="25"/>
      <c r="E306" s="25"/>
      <c r="F306" s="25"/>
      <c r="G306" s="25"/>
      <c r="H306" s="25"/>
      <c r="I306" s="25"/>
      <c r="J306" s="25"/>
      <c r="K306" s="25"/>
      <c r="L306" s="25"/>
      <c r="M306" s="25"/>
      <c r="N306" s="25"/>
      <c r="O306" s="25"/>
      <c r="P306" s="25"/>
      <c r="Q306" s="25"/>
      <c r="R306" s="25"/>
      <c r="S306" s="25"/>
      <c r="T306" s="25"/>
    </row>
    <row r="307" spans="1:20" x14ac:dyDescent="0.3">
      <c r="A307" s="123" t="s">
        <v>27</v>
      </c>
      <c r="B307" s="123" t="s">
        <v>28</v>
      </c>
      <c r="C307" s="150">
        <v>-87</v>
      </c>
      <c r="D307" s="25"/>
      <c r="E307" s="25"/>
      <c r="F307" s="25"/>
      <c r="G307" s="25"/>
      <c r="H307" s="25"/>
      <c r="I307" s="25"/>
      <c r="J307" s="25"/>
      <c r="K307" s="25"/>
      <c r="L307" s="25"/>
      <c r="M307" s="25"/>
      <c r="N307" s="25"/>
      <c r="O307" s="25"/>
      <c r="P307" s="25"/>
      <c r="Q307" s="25"/>
      <c r="R307" s="25"/>
      <c r="S307" s="25"/>
      <c r="T307" s="25"/>
    </row>
    <row r="308" spans="1:20" x14ac:dyDescent="0.3">
      <c r="A308" s="123" t="s">
        <v>27</v>
      </c>
      <c r="B308" s="123" t="s">
        <v>28</v>
      </c>
      <c r="C308" s="150">
        <v>154</v>
      </c>
      <c r="D308" s="25"/>
      <c r="E308" s="25"/>
      <c r="F308" s="25"/>
      <c r="G308" s="25"/>
      <c r="H308" s="25"/>
      <c r="I308" s="25"/>
      <c r="J308" s="25"/>
      <c r="K308" s="25"/>
      <c r="L308" s="25"/>
      <c r="M308" s="25"/>
      <c r="N308" s="25"/>
      <c r="O308" s="25"/>
      <c r="P308" s="25"/>
      <c r="Q308" s="25"/>
      <c r="R308" s="25"/>
      <c r="S308" s="25"/>
      <c r="T308" s="25"/>
    </row>
    <row r="309" spans="1:20" x14ac:dyDescent="0.3">
      <c r="A309" s="123" t="s">
        <v>27</v>
      </c>
      <c r="B309" s="123" t="s">
        <v>28</v>
      </c>
      <c r="C309" s="150">
        <v>-78</v>
      </c>
      <c r="D309" s="25"/>
      <c r="E309" s="25"/>
      <c r="F309" s="25"/>
      <c r="G309" s="25"/>
      <c r="H309" s="25"/>
      <c r="I309" s="25"/>
      <c r="J309" s="25"/>
      <c r="K309" s="25"/>
      <c r="L309" s="25"/>
      <c r="M309" s="25"/>
      <c r="N309" s="25"/>
      <c r="O309" s="25"/>
      <c r="P309" s="25"/>
      <c r="Q309" s="25"/>
      <c r="R309" s="25"/>
      <c r="S309" s="25"/>
      <c r="T309" s="25"/>
    </row>
    <row r="310" spans="1:20" x14ac:dyDescent="0.3">
      <c r="A310" s="123" t="s">
        <v>27</v>
      </c>
      <c r="B310" s="123" t="s">
        <v>45</v>
      </c>
      <c r="C310" s="150">
        <v>292</v>
      </c>
      <c r="D310" s="25"/>
      <c r="E310" s="25"/>
      <c r="F310" s="25"/>
      <c r="G310" s="25"/>
      <c r="H310" s="25"/>
      <c r="I310" s="25"/>
      <c r="J310" s="25"/>
      <c r="K310" s="25"/>
      <c r="L310" s="25"/>
      <c r="M310" s="25"/>
      <c r="N310" s="25"/>
      <c r="O310" s="25"/>
      <c r="P310" s="25"/>
      <c r="Q310" s="25"/>
      <c r="R310" s="25"/>
      <c r="S310" s="25"/>
      <c r="T310" s="25"/>
    </row>
    <row r="311" spans="1:20" x14ac:dyDescent="0.3">
      <c r="A311" s="123" t="s">
        <v>27</v>
      </c>
      <c r="B311" s="123" t="s">
        <v>45</v>
      </c>
      <c r="C311" s="150">
        <v>893</v>
      </c>
      <c r="D311" s="25"/>
      <c r="E311" s="25"/>
      <c r="F311" s="25"/>
      <c r="G311" s="25"/>
      <c r="H311" s="25"/>
      <c r="I311" s="25"/>
      <c r="J311" s="25"/>
      <c r="K311" s="25"/>
      <c r="L311" s="25"/>
      <c r="M311" s="25"/>
      <c r="N311" s="25"/>
      <c r="O311" s="25"/>
      <c r="P311" s="25"/>
      <c r="Q311" s="25"/>
      <c r="R311" s="25"/>
      <c r="S311" s="25"/>
      <c r="T311" s="25"/>
    </row>
    <row r="312" spans="1:20" x14ac:dyDescent="0.3">
      <c r="A312" s="123" t="s">
        <v>27</v>
      </c>
      <c r="B312" s="123" t="s">
        <v>45</v>
      </c>
      <c r="C312" s="150">
        <v>383</v>
      </c>
      <c r="D312" s="25"/>
      <c r="E312" s="25"/>
      <c r="F312" s="25"/>
      <c r="G312" s="25"/>
      <c r="H312" s="25"/>
      <c r="I312" s="25"/>
      <c r="J312" s="25"/>
      <c r="K312" s="25"/>
      <c r="L312" s="25"/>
      <c r="M312" s="25"/>
      <c r="N312" s="25"/>
      <c r="O312" s="25"/>
      <c r="P312" s="25"/>
      <c r="Q312" s="25"/>
      <c r="R312" s="25"/>
      <c r="S312" s="25"/>
      <c r="T312" s="25"/>
    </row>
    <row r="313" spans="1:20" x14ac:dyDescent="0.3">
      <c r="A313" s="123" t="s">
        <v>27</v>
      </c>
      <c r="B313" s="123" t="s">
        <v>45</v>
      </c>
      <c r="C313" s="150">
        <v>292</v>
      </c>
      <c r="D313" s="25"/>
      <c r="E313" s="25"/>
      <c r="F313" s="25"/>
      <c r="G313" s="25"/>
      <c r="H313" s="25"/>
      <c r="I313" s="25"/>
      <c r="J313" s="25"/>
      <c r="K313" s="25"/>
      <c r="L313" s="25"/>
      <c r="M313" s="25"/>
      <c r="N313" s="25"/>
      <c r="O313" s="25"/>
      <c r="P313" s="25"/>
      <c r="Q313" s="25"/>
      <c r="R313" s="25"/>
      <c r="S313" s="25"/>
      <c r="T313" s="25"/>
    </row>
    <row r="314" spans="1:20" x14ac:dyDescent="0.3">
      <c r="A314" s="123" t="s">
        <v>27</v>
      </c>
      <c r="B314" s="123" t="s">
        <v>45</v>
      </c>
      <c r="C314" s="150">
        <v>505</v>
      </c>
      <c r="D314" s="25"/>
      <c r="E314" s="25"/>
      <c r="F314" s="25"/>
      <c r="G314" s="25"/>
      <c r="H314" s="25"/>
      <c r="I314" s="25"/>
      <c r="J314" s="25"/>
      <c r="K314" s="25"/>
      <c r="L314" s="25"/>
      <c r="M314" s="25"/>
      <c r="N314" s="25"/>
      <c r="O314" s="25"/>
      <c r="P314" s="25"/>
      <c r="Q314" s="25"/>
      <c r="R314" s="25"/>
      <c r="S314" s="25"/>
      <c r="T314" s="25"/>
    </row>
    <row r="315" spans="1:20" x14ac:dyDescent="0.3">
      <c r="A315" s="123" t="s">
        <v>27</v>
      </c>
      <c r="B315" s="123" t="s">
        <v>45</v>
      </c>
      <c r="C315" s="150">
        <v>453</v>
      </c>
      <c r="D315" s="25"/>
      <c r="E315" s="25"/>
      <c r="F315" s="25"/>
      <c r="G315" s="25"/>
      <c r="H315" s="25"/>
      <c r="I315" s="25"/>
      <c r="J315" s="25"/>
      <c r="K315" s="25"/>
      <c r="L315" s="25"/>
      <c r="M315" s="25"/>
      <c r="N315" s="25"/>
      <c r="O315" s="25"/>
      <c r="P315" s="25"/>
      <c r="Q315" s="25"/>
      <c r="R315" s="25"/>
      <c r="S315" s="25"/>
      <c r="T315" s="25"/>
    </row>
    <row r="316" spans="1:20" x14ac:dyDescent="0.3">
      <c r="A316" s="123" t="s">
        <v>27</v>
      </c>
      <c r="B316" s="123" t="s">
        <v>45</v>
      </c>
      <c r="C316" s="150">
        <v>640</v>
      </c>
      <c r="D316" s="25"/>
      <c r="E316" s="25"/>
      <c r="F316" s="25"/>
      <c r="G316" s="25"/>
      <c r="H316" s="25"/>
      <c r="I316" s="25"/>
      <c r="J316" s="25"/>
      <c r="K316" s="25"/>
      <c r="L316" s="25"/>
      <c r="M316" s="25"/>
      <c r="N316" s="25"/>
      <c r="O316" s="25"/>
      <c r="P316" s="25"/>
      <c r="Q316" s="25"/>
      <c r="R316" s="25"/>
      <c r="S316" s="25"/>
      <c r="T316" s="25"/>
    </row>
    <row r="317" spans="1:20" x14ac:dyDescent="0.3">
      <c r="A317" s="123" t="s">
        <v>27</v>
      </c>
      <c r="B317" s="123" t="s">
        <v>45</v>
      </c>
      <c r="C317" s="150">
        <v>233</v>
      </c>
      <c r="D317" s="25"/>
      <c r="E317" s="25"/>
      <c r="F317" s="25"/>
      <c r="G317" s="25"/>
      <c r="H317" s="25"/>
      <c r="I317" s="25"/>
      <c r="J317" s="25"/>
      <c r="K317" s="25"/>
      <c r="L317" s="25"/>
      <c r="M317" s="25"/>
      <c r="N317" s="25"/>
      <c r="O317" s="25"/>
      <c r="P317" s="25"/>
      <c r="Q317" s="25"/>
      <c r="R317" s="25"/>
      <c r="S317" s="25"/>
      <c r="T317" s="25"/>
    </row>
    <row r="318" spans="1:20" x14ac:dyDescent="0.3">
      <c r="A318" s="123" t="s">
        <v>27</v>
      </c>
      <c r="B318" s="123" t="s">
        <v>45</v>
      </c>
      <c r="C318" s="150">
        <v>434</v>
      </c>
      <c r="D318" s="25"/>
      <c r="E318" s="25"/>
      <c r="F318" s="25"/>
      <c r="G318" s="25"/>
      <c r="H318" s="25"/>
      <c r="I318" s="25"/>
      <c r="J318" s="25"/>
      <c r="K318" s="25"/>
      <c r="L318" s="25"/>
      <c r="M318" s="25"/>
      <c r="N318" s="25"/>
      <c r="O318" s="25"/>
      <c r="P318" s="25"/>
      <c r="Q318" s="25"/>
      <c r="R318" s="25"/>
      <c r="S318" s="25"/>
      <c r="T318" s="25"/>
    </row>
    <row r="319" spans="1:20" x14ac:dyDescent="0.3">
      <c r="A319" s="123" t="s">
        <v>27</v>
      </c>
      <c r="B319" s="123" t="s">
        <v>45</v>
      </c>
      <c r="C319" s="150">
        <v>1273</v>
      </c>
      <c r="D319" s="25"/>
      <c r="E319" s="25"/>
      <c r="F319" s="25"/>
      <c r="G319" s="25"/>
      <c r="H319" s="25"/>
      <c r="I319" s="25"/>
      <c r="J319" s="25"/>
      <c r="K319" s="25"/>
      <c r="L319" s="25"/>
      <c r="M319" s="25"/>
      <c r="N319" s="25"/>
      <c r="O319" s="25"/>
      <c r="P319" s="25"/>
      <c r="Q319" s="25"/>
      <c r="R319" s="25"/>
      <c r="S319" s="25"/>
      <c r="T319" s="25"/>
    </row>
    <row r="320" spans="1:20" x14ac:dyDescent="0.3">
      <c r="A320" s="123" t="s">
        <v>27</v>
      </c>
      <c r="B320" s="123" t="s">
        <v>45</v>
      </c>
      <c r="C320" s="150">
        <v>676</v>
      </c>
      <c r="D320" s="25"/>
      <c r="E320" s="25"/>
      <c r="F320" s="25"/>
      <c r="G320" s="25"/>
      <c r="H320" s="25"/>
      <c r="I320" s="25"/>
      <c r="J320" s="25"/>
      <c r="K320" s="25"/>
      <c r="L320" s="25"/>
      <c r="M320" s="25"/>
      <c r="N320" s="25"/>
      <c r="O320" s="25"/>
      <c r="P320" s="25"/>
      <c r="Q320" s="25"/>
      <c r="R320" s="25"/>
      <c r="S320" s="25"/>
      <c r="T320" s="25"/>
    </row>
    <row r="321" spans="1:20" x14ac:dyDescent="0.3">
      <c r="A321" s="123" t="s">
        <v>27</v>
      </c>
      <c r="B321" s="123" t="s">
        <v>45</v>
      </c>
      <c r="C321" s="150">
        <v>366</v>
      </c>
      <c r="D321" s="25"/>
      <c r="E321" s="25"/>
      <c r="F321" s="25"/>
      <c r="G321" s="25"/>
      <c r="H321" s="25"/>
      <c r="I321" s="25"/>
      <c r="J321" s="25"/>
      <c r="K321" s="25"/>
      <c r="L321" s="25"/>
      <c r="M321" s="25"/>
      <c r="N321" s="25"/>
      <c r="O321" s="25"/>
      <c r="P321" s="25"/>
      <c r="Q321" s="25"/>
      <c r="R321" s="25"/>
      <c r="S321" s="25"/>
      <c r="T321" s="25"/>
    </row>
    <row r="322" spans="1:20" x14ac:dyDescent="0.3">
      <c r="A322" s="123" t="s">
        <v>27</v>
      </c>
      <c r="B322" s="123" t="s">
        <v>45</v>
      </c>
      <c r="C322" s="150">
        <v>307</v>
      </c>
      <c r="D322" s="25"/>
      <c r="E322" s="25"/>
      <c r="F322" s="25"/>
      <c r="G322" s="25"/>
      <c r="H322" s="25"/>
      <c r="I322" s="25"/>
      <c r="J322" s="25"/>
      <c r="K322" s="25"/>
      <c r="L322" s="25"/>
      <c r="M322" s="25"/>
      <c r="N322" s="25"/>
      <c r="O322" s="25"/>
      <c r="P322" s="25"/>
      <c r="Q322" s="25"/>
      <c r="R322" s="25"/>
      <c r="S322" s="25"/>
      <c r="T322" s="25"/>
    </row>
    <row r="323" spans="1:20" x14ac:dyDescent="0.3">
      <c r="A323" s="123" t="s">
        <v>27</v>
      </c>
      <c r="B323" s="123" t="s">
        <v>45</v>
      </c>
      <c r="C323" s="150">
        <v>230</v>
      </c>
      <c r="D323" s="25"/>
      <c r="E323" s="25"/>
      <c r="F323" s="25"/>
      <c r="G323" s="25"/>
      <c r="H323" s="25"/>
      <c r="I323" s="25"/>
      <c r="J323" s="25"/>
      <c r="K323" s="25"/>
      <c r="L323" s="25"/>
      <c r="M323" s="25"/>
      <c r="N323" s="25"/>
      <c r="O323" s="25"/>
      <c r="P323" s="25"/>
      <c r="Q323" s="25"/>
      <c r="R323" s="25"/>
      <c r="S323" s="25"/>
      <c r="T323" s="25"/>
    </row>
    <row r="324" spans="1:20" x14ac:dyDescent="0.3">
      <c r="A324" s="123" t="s">
        <v>27</v>
      </c>
      <c r="B324" s="123" t="s">
        <v>45</v>
      </c>
      <c r="C324" s="150">
        <v>342</v>
      </c>
      <c r="D324" s="25"/>
      <c r="E324" s="25"/>
      <c r="F324" s="25"/>
      <c r="G324" s="25"/>
      <c r="H324" s="25"/>
      <c r="I324" s="25"/>
      <c r="J324" s="25"/>
      <c r="K324" s="25"/>
      <c r="L324" s="25"/>
      <c r="M324" s="25"/>
      <c r="N324" s="25"/>
      <c r="O324" s="25"/>
      <c r="P324" s="25"/>
      <c r="Q324" s="25"/>
      <c r="R324" s="25"/>
      <c r="S324" s="25"/>
      <c r="T324" s="25"/>
    </row>
    <row r="325" spans="1:20" x14ac:dyDescent="0.3">
      <c r="A325" s="123" t="s">
        <v>27</v>
      </c>
      <c r="B325" s="123" t="s">
        <v>45</v>
      </c>
      <c r="C325" s="150">
        <v>418</v>
      </c>
      <c r="D325" s="25"/>
      <c r="E325" s="25"/>
      <c r="F325" s="25"/>
      <c r="G325" s="25"/>
      <c r="H325" s="25"/>
      <c r="I325" s="25"/>
      <c r="J325" s="25"/>
      <c r="K325" s="25"/>
      <c r="L325" s="25"/>
      <c r="M325" s="25"/>
      <c r="N325" s="25"/>
      <c r="O325" s="25"/>
      <c r="P325" s="25"/>
      <c r="Q325" s="25"/>
      <c r="R325" s="25"/>
      <c r="S325" s="25"/>
      <c r="T325" s="25"/>
    </row>
    <row r="326" spans="1:20" x14ac:dyDescent="0.3">
      <c r="A326" s="123" t="s">
        <v>27</v>
      </c>
      <c r="B326" s="123" t="s">
        <v>45</v>
      </c>
      <c r="C326" s="150">
        <v>338</v>
      </c>
      <c r="D326" s="25"/>
      <c r="E326" s="25"/>
      <c r="F326" s="25"/>
      <c r="G326" s="25"/>
      <c r="H326" s="25"/>
      <c r="I326" s="25"/>
      <c r="J326" s="25"/>
      <c r="K326" s="25"/>
      <c r="L326" s="25"/>
      <c r="M326" s="25"/>
      <c r="N326" s="25"/>
      <c r="O326" s="25"/>
      <c r="P326" s="25"/>
      <c r="Q326" s="25"/>
      <c r="R326" s="25"/>
      <c r="S326" s="25"/>
      <c r="T326" s="25"/>
    </row>
    <row r="327" spans="1:20" x14ac:dyDescent="0.3">
      <c r="A327" s="123" t="s">
        <v>27</v>
      </c>
      <c r="B327" s="123" t="s">
        <v>45</v>
      </c>
      <c r="C327" s="150">
        <v>1144</v>
      </c>
      <c r="D327" s="25"/>
      <c r="E327" s="25"/>
      <c r="F327" s="25"/>
      <c r="G327" s="25"/>
      <c r="H327" s="25"/>
      <c r="I327" s="25"/>
      <c r="J327" s="25"/>
      <c r="K327" s="25"/>
      <c r="L327" s="25"/>
      <c r="M327" s="25"/>
      <c r="N327" s="25"/>
      <c r="O327" s="25"/>
      <c r="P327" s="25"/>
      <c r="Q327" s="25"/>
      <c r="R327" s="25"/>
      <c r="S327" s="25"/>
      <c r="T327" s="25"/>
    </row>
    <row r="328" spans="1:20" x14ac:dyDescent="0.3">
      <c r="A328" s="123" t="s">
        <v>27</v>
      </c>
      <c r="B328" s="123" t="s">
        <v>45</v>
      </c>
      <c r="C328" s="150">
        <v>629</v>
      </c>
      <c r="D328" s="25"/>
      <c r="E328" s="25"/>
      <c r="F328" s="25"/>
      <c r="G328" s="25"/>
      <c r="H328" s="25"/>
      <c r="I328" s="25"/>
      <c r="J328" s="25"/>
      <c r="K328" s="25"/>
      <c r="L328" s="25"/>
      <c r="M328" s="25"/>
      <c r="N328" s="25"/>
      <c r="O328" s="25"/>
      <c r="P328" s="25"/>
      <c r="Q328" s="25"/>
      <c r="R328" s="25"/>
      <c r="S328" s="25"/>
      <c r="T328" s="25"/>
    </row>
    <row r="329" spans="1:20" x14ac:dyDescent="0.3">
      <c r="A329" s="123" t="s">
        <v>27</v>
      </c>
      <c r="B329" s="123" t="s">
        <v>45</v>
      </c>
      <c r="C329" s="150">
        <v>338</v>
      </c>
      <c r="D329" s="25"/>
      <c r="E329" s="25"/>
      <c r="F329" s="25"/>
      <c r="G329" s="25"/>
      <c r="H329" s="25"/>
      <c r="I329" s="25"/>
      <c r="J329" s="25"/>
      <c r="K329" s="25"/>
      <c r="L329" s="25"/>
      <c r="M329" s="25"/>
      <c r="N329" s="25"/>
      <c r="O329" s="25"/>
      <c r="P329" s="25"/>
      <c r="Q329" s="25"/>
      <c r="R329" s="25"/>
      <c r="S329" s="25"/>
      <c r="T329" s="25"/>
    </row>
    <row r="330" spans="1:20" x14ac:dyDescent="0.3">
      <c r="A330" s="123" t="s">
        <v>27</v>
      </c>
      <c r="B330" s="123" t="s">
        <v>45</v>
      </c>
      <c r="C330" s="150">
        <v>108</v>
      </c>
      <c r="D330" s="25"/>
      <c r="E330" s="25"/>
      <c r="F330" s="25"/>
      <c r="G330" s="25"/>
      <c r="H330" s="25"/>
      <c r="I330" s="25"/>
      <c r="J330" s="25"/>
      <c r="K330" s="25"/>
      <c r="L330" s="25"/>
      <c r="M330" s="25"/>
      <c r="N330" s="25"/>
      <c r="O330" s="25"/>
      <c r="P330" s="25"/>
      <c r="Q330" s="25"/>
      <c r="R330" s="25"/>
      <c r="S330" s="25"/>
      <c r="T330" s="25"/>
    </row>
    <row r="331" spans="1:20" x14ac:dyDescent="0.3">
      <c r="A331" s="123" t="s">
        <v>27</v>
      </c>
      <c r="B331" s="123" t="s">
        <v>45</v>
      </c>
      <c r="C331" s="150">
        <v>288</v>
      </c>
      <c r="D331" s="25"/>
      <c r="E331" s="25"/>
      <c r="F331" s="25"/>
      <c r="G331" s="25"/>
      <c r="H331" s="25"/>
      <c r="I331" s="25"/>
      <c r="J331" s="25"/>
      <c r="K331" s="25"/>
      <c r="L331" s="25"/>
      <c r="M331" s="25"/>
      <c r="N331" s="25"/>
      <c r="O331" s="25"/>
      <c r="P331" s="25"/>
      <c r="Q331" s="25"/>
      <c r="R331" s="25"/>
      <c r="S331" s="25"/>
      <c r="T331" s="25"/>
    </row>
    <row r="332" spans="1:20" x14ac:dyDescent="0.3">
      <c r="A332" s="123" t="s">
        <v>27</v>
      </c>
      <c r="B332" s="123" t="s">
        <v>45</v>
      </c>
      <c r="C332" s="150">
        <v>307</v>
      </c>
      <c r="D332" s="25"/>
      <c r="E332" s="25"/>
      <c r="F332" s="25"/>
      <c r="G332" s="25"/>
      <c r="H332" s="25"/>
      <c r="I332" s="25"/>
      <c r="J332" s="25"/>
      <c r="K332" s="25"/>
      <c r="L332" s="25"/>
      <c r="M332" s="25"/>
      <c r="N332" s="25"/>
      <c r="O332" s="25"/>
      <c r="P332" s="25"/>
      <c r="Q332" s="25"/>
      <c r="R332" s="25"/>
      <c r="S332" s="25"/>
      <c r="T332" s="25"/>
    </row>
    <row r="333" spans="1:20" x14ac:dyDescent="0.3">
      <c r="A333" s="123" t="s">
        <v>27</v>
      </c>
      <c r="B333" s="123" t="s">
        <v>45</v>
      </c>
      <c r="C333" s="150">
        <v>294</v>
      </c>
      <c r="D333" s="25"/>
      <c r="E333" s="25"/>
      <c r="F333" s="25"/>
      <c r="G333" s="25"/>
      <c r="H333" s="25"/>
      <c r="I333" s="25"/>
      <c r="J333" s="25"/>
      <c r="K333" s="25"/>
      <c r="L333" s="25"/>
      <c r="M333" s="25"/>
      <c r="N333" s="25"/>
      <c r="O333" s="25"/>
      <c r="P333" s="25"/>
      <c r="Q333" s="25"/>
      <c r="R333" s="25"/>
      <c r="S333" s="25"/>
      <c r="T333" s="25"/>
    </row>
    <row r="334" spans="1:20" x14ac:dyDescent="0.3">
      <c r="A334" s="123" t="s">
        <v>27</v>
      </c>
      <c r="B334" s="123" t="s">
        <v>45</v>
      </c>
      <c r="C334" s="150">
        <v>411</v>
      </c>
      <c r="D334" s="25"/>
      <c r="E334" s="25"/>
      <c r="F334" s="25"/>
      <c r="G334" s="25"/>
      <c r="H334" s="25"/>
      <c r="I334" s="25"/>
      <c r="J334" s="25"/>
      <c r="K334" s="25"/>
      <c r="L334" s="25"/>
      <c r="M334" s="25"/>
      <c r="N334" s="25"/>
      <c r="O334" s="25"/>
      <c r="P334" s="25"/>
      <c r="Q334" s="25"/>
      <c r="R334" s="25"/>
      <c r="S334" s="25"/>
      <c r="T334" s="25"/>
    </row>
    <row r="335" spans="1:20" x14ac:dyDescent="0.3">
      <c r="A335" s="123" t="s">
        <v>27</v>
      </c>
      <c r="B335" s="123" t="s">
        <v>45</v>
      </c>
      <c r="C335" s="150">
        <v>408</v>
      </c>
      <c r="D335" s="25"/>
      <c r="E335" s="25"/>
      <c r="F335" s="25"/>
      <c r="G335" s="25"/>
      <c r="H335" s="25"/>
      <c r="I335" s="25"/>
      <c r="J335" s="25"/>
      <c r="K335" s="25"/>
      <c r="L335" s="25"/>
      <c r="M335" s="25"/>
      <c r="N335" s="25"/>
      <c r="O335" s="25"/>
      <c r="P335" s="25"/>
      <c r="Q335" s="25"/>
      <c r="R335" s="25"/>
      <c r="S335" s="25"/>
      <c r="T335" s="25"/>
    </row>
    <row r="336" spans="1:20" x14ac:dyDescent="0.3">
      <c r="A336" s="123" t="s">
        <v>27</v>
      </c>
      <c r="B336" s="123" t="s">
        <v>45</v>
      </c>
      <c r="C336" s="150">
        <v>482</v>
      </c>
      <c r="D336" s="25"/>
      <c r="E336" s="25"/>
      <c r="F336" s="25"/>
      <c r="G336" s="25"/>
      <c r="H336" s="25"/>
      <c r="I336" s="25"/>
      <c r="J336" s="25"/>
      <c r="K336" s="25"/>
      <c r="L336" s="25"/>
      <c r="M336" s="25"/>
      <c r="N336" s="25"/>
      <c r="O336" s="25"/>
      <c r="P336" s="25"/>
      <c r="Q336" s="25"/>
      <c r="R336" s="25"/>
      <c r="S336" s="25"/>
      <c r="T336" s="25"/>
    </row>
    <row r="337" spans="1:20" x14ac:dyDescent="0.3">
      <c r="A337" s="123" t="s">
        <v>27</v>
      </c>
      <c r="B337" s="123" t="s">
        <v>45</v>
      </c>
      <c r="C337" s="150">
        <v>954</v>
      </c>
      <c r="D337" s="25"/>
      <c r="E337" s="25"/>
      <c r="F337" s="25"/>
      <c r="G337" s="25"/>
      <c r="H337" s="25"/>
      <c r="I337" s="25"/>
      <c r="J337" s="25"/>
      <c r="K337" s="25"/>
      <c r="L337" s="25"/>
      <c r="M337" s="25"/>
      <c r="N337" s="25"/>
      <c r="O337" s="25"/>
      <c r="P337" s="25"/>
      <c r="Q337" s="25"/>
      <c r="R337" s="25"/>
      <c r="S337" s="25"/>
      <c r="T337" s="25"/>
    </row>
    <row r="338" spans="1:20" x14ac:dyDescent="0.3">
      <c r="A338" s="123" t="s">
        <v>27</v>
      </c>
      <c r="B338" s="123" t="s">
        <v>45</v>
      </c>
      <c r="C338" s="150">
        <v>485</v>
      </c>
      <c r="D338" s="25"/>
      <c r="E338" s="25"/>
      <c r="F338" s="25"/>
      <c r="G338" s="25"/>
      <c r="H338" s="25"/>
      <c r="I338" s="25"/>
      <c r="J338" s="25"/>
      <c r="K338" s="25"/>
      <c r="L338" s="25"/>
      <c r="M338" s="25"/>
      <c r="N338" s="25"/>
      <c r="O338" s="25"/>
      <c r="P338" s="25"/>
      <c r="Q338" s="25"/>
      <c r="R338" s="25"/>
      <c r="S338" s="25"/>
      <c r="T338" s="25"/>
    </row>
    <row r="339" spans="1:20" x14ac:dyDescent="0.3">
      <c r="A339" s="123" t="s">
        <v>27</v>
      </c>
      <c r="B339" s="123" t="s">
        <v>45</v>
      </c>
      <c r="C339" s="150">
        <v>470</v>
      </c>
      <c r="D339" s="25"/>
      <c r="E339" s="25"/>
      <c r="F339" s="25"/>
      <c r="G339" s="25"/>
      <c r="H339" s="25"/>
      <c r="I339" s="25"/>
      <c r="J339" s="25"/>
      <c r="K339" s="25"/>
      <c r="L339" s="25"/>
      <c r="M339" s="25"/>
      <c r="N339" s="25"/>
      <c r="O339" s="25"/>
      <c r="P339" s="25"/>
      <c r="Q339" s="25"/>
      <c r="R339" s="25"/>
      <c r="S339" s="25"/>
      <c r="T339" s="25"/>
    </row>
    <row r="340" spans="1:20" x14ac:dyDescent="0.3">
      <c r="A340" s="123" t="s">
        <v>27</v>
      </c>
      <c r="B340" s="123" t="s">
        <v>45</v>
      </c>
      <c r="C340" s="150">
        <v>257</v>
      </c>
      <c r="D340" s="25"/>
      <c r="E340" s="25"/>
      <c r="F340" s="25"/>
      <c r="G340" s="25"/>
      <c r="H340" s="25"/>
      <c r="I340" s="25"/>
      <c r="J340" s="25"/>
      <c r="K340" s="25"/>
      <c r="L340" s="25"/>
      <c r="M340" s="25"/>
      <c r="N340" s="25"/>
      <c r="O340" s="25"/>
      <c r="P340" s="25"/>
      <c r="Q340" s="25"/>
      <c r="R340" s="25"/>
      <c r="S340" s="25"/>
      <c r="T340" s="25"/>
    </row>
    <row r="341" spans="1:20" x14ac:dyDescent="0.3">
      <c r="A341" s="123" t="s">
        <v>27</v>
      </c>
      <c r="B341" s="123" t="s">
        <v>45</v>
      </c>
      <c r="C341" s="150">
        <v>533</v>
      </c>
      <c r="D341" s="25"/>
      <c r="E341" s="25"/>
      <c r="F341" s="25"/>
      <c r="G341" s="25"/>
      <c r="H341" s="25"/>
      <c r="I341" s="25"/>
      <c r="J341" s="25"/>
      <c r="K341" s="25"/>
      <c r="L341" s="25"/>
      <c r="M341" s="25"/>
      <c r="N341" s="25"/>
      <c r="O341" s="25"/>
      <c r="P341" s="25"/>
      <c r="Q341" s="25"/>
      <c r="R341" s="25"/>
      <c r="S341" s="25"/>
      <c r="T341" s="25"/>
    </row>
    <row r="342" spans="1:20" x14ac:dyDescent="0.3">
      <c r="A342" s="123" t="s">
        <v>27</v>
      </c>
      <c r="B342" s="123" t="s">
        <v>45</v>
      </c>
      <c r="C342" s="150">
        <v>765</v>
      </c>
      <c r="D342" s="25"/>
      <c r="E342" s="25"/>
      <c r="F342" s="25"/>
      <c r="G342" s="25"/>
      <c r="H342" s="25"/>
      <c r="I342" s="25"/>
      <c r="J342" s="25"/>
      <c r="K342" s="25"/>
      <c r="L342" s="25"/>
      <c r="M342" s="25"/>
      <c r="N342" s="25"/>
      <c r="O342" s="25"/>
      <c r="P342" s="25"/>
      <c r="Q342" s="25"/>
      <c r="R342" s="25"/>
      <c r="S342" s="25"/>
      <c r="T342" s="25"/>
    </row>
    <row r="343" spans="1:20" x14ac:dyDescent="0.3">
      <c r="A343" s="123" t="s">
        <v>27</v>
      </c>
      <c r="B343" s="123" t="s">
        <v>45</v>
      </c>
      <c r="C343" s="150">
        <v>1340</v>
      </c>
      <c r="D343" s="25"/>
      <c r="E343" s="25"/>
      <c r="F343" s="25"/>
      <c r="G343" s="25"/>
      <c r="H343" s="25"/>
      <c r="I343" s="25"/>
      <c r="J343" s="25"/>
      <c r="K343" s="25"/>
      <c r="L343" s="25"/>
      <c r="M343" s="25"/>
      <c r="N343" s="25"/>
      <c r="O343" s="25"/>
      <c r="P343" s="25"/>
      <c r="Q343" s="25"/>
      <c r="R343" s="25"/>
      <c r="S343" s="25"/>
      <c r="T343" s="25"/>
    </row>
    <row r="344" spans="1:20" x14ac:dyDescent="0.3">
      <c r="A344" s="123" t="s">
        <v>27</v>
      </c>
      <c r="B344" s="123" t="s">
        <v>45</v>
      </c>
      <c r="C344" s="150">
        <v>345</v>
      </c>
      <c r="D344" s="25"/>
      <c r="E344" s="25"/>
      <c r="F344" s="25"/>
      <c r="G344" s="25"/>
      <c r="H344" s="25"/>
      <c r="I344" s="25"/>
      <c r="J344" s="25"/>
      <c r="K344" s="25"/>
      <c r="L344" s="25"/>
      <c r="M344" s="25"/>
      <c r="N344" s="25"/>
      <c r="O344" s="25"/>
      <c r="P344" s="25"/>
      <c r="Q344" s="25"/>
      <c r="R344" s="25"/>
      <c r="S344" s="25"/>
      <c r="T344" s="25"/>
    </row>
    <row r="345" spans="1:20" x14ac:dyDescent="0.3">
      <c r="A345" s="123" t="s">
        <v>27</v>
      </c>
      <c r="B345" s="123" t="s">
        <v>45</v>
      </c>
      <c r="C345" s="150">
        <v>1208</v>
      </c>
      <c r="D345" s="25"/>
      <c r="E345" s="25"/>
      <c r="F345" s="25"/>
      <c r="G345" s="25"/>
      <c r="H345" s="25"/>
      <c r="I345" s="25"/>
      <c r="J345" s="25"/>
      <c r="K345" s="25"/>
      <c r="L345" s="25"/>
      <c r="M345" s="25"/>
      <c r="N345" s="25"/>
      <c r="O345" s="25"/>
      <c r="P345" s="25"/>
      <c r="Q345" s="25"/>
      <c r="R345" s="25"/>
      <c r="S345" s="25"/>
      <c r="T345" s="25"/>
    </row>
    <row r="346" spans="1:20" x14ac:dyDescent="0.3">
      <c r="A346" s="123" t="s">
        <v>27</v>
      </c>
      <c r="B346" s="123" t="s">
        <v>45</v>
      </c>
      <c r="C346" s="150">
        <v>401</v>
      </c>
      <c r="D346" s="25"/>
      <c r="E346" s="25"/>
      <c r="F346" s="25"/>
      <c r="G346" s="25"/>
      <c r="H346" s="25"/>
      <c r="I346" s="25"/>
      <c r="J346" s="25"/>
      <c r="K346" s="25"/>
      <c r="L346" s="25"/>
      <c r="M346" s="25"/>
      <c r="N346" s="25"/>
      <c r="O346" s="25"/>
      <c r="P346" s="25"/>
      <c r="Q346" s="25"/>
      <c r="R346" s="25"/>
      <c r="S346" s="25"/>
      <c r="T346" s="25"/>
    </row>
    <row r="347" spans="1:20" x14ac:dyDescent="0.3">
      <c r="A347" s="123" t="s">
        <v>27</v>
      </c>
      <c r="B347" s="123" t="s">
        <v>45</v>
      </c>
      <c r="C347" s="150">
        <v>403</v>
      </c>
      <c r="D347" s="25"/>
      <c r="E347" s="25"/>
      <c r="F347" s="25"/>
      <c r="G347" s="25"/>
      <c r="H347" s="25"/>
      <c r="I347" s="25"/>
      <c r="J347" s="25"/>
      <c r="K347" s="25"/>
      <c r="L347" s="25"/>
      <c r="M347" s="25"/>
      <c r="N347" s="25"/>
      <c r="O347" s="25"/>
      <c r="P347" s="25"/>
      <c r="Q347" s="25"/>
      <c r="R347" s="25"/>
      <c r="S347" s="25"/>
      <c r="T347" s="25"/>
    </row>
    <row r="348" spans="1:20" x14ac:dyDescent="0.3">
      <c r="A348" s="123" t="s">
        <v>27</v>
      </c>
      <c r="B348" s="123" t="s">
        <v>45</v>
      </c>
      <c r="C348" s="150">
        <v>691</v>
      </c>
      <c r="D348" s="25"/>
      <c r="E348" s="25"/>
      <c r="F348" s="25"/>
      <c r="G348" s="25"/>
      <c r="H348" s="25"/>
      <c r="I348" s="25"/>
      <c r="J348" s="25"/>
      <c r="K348" s="25"/>
      <c r="L348" s="25"/>
      <c r="M348" s="25"/>
      <c r="N348" s="25"/>
      <c r="O348" s="25"/>
      <c r="P348" s="25"/>
      <c r="Q348" s="25"/>
      <c r="R348" s="25"/>
      <c r="S348" s="25"/>
      <c r="T348" s="25"/>
    </row>
    <row r="349" spans="1:20" x14ac:dyDescent="0.3">
      <c r="A349" s="123" t="s">
        <v>27</v>
      </c>
      <c r="B349" s="123" t="s">
        <v>45</v>
      </c>
      <c r="C349" s="150">
        <v>363</v>
      </c>
      <c r="D349" s="25"/>
      <c r="E349" s="25"/>
      <c r="F349" s="25"/>
      <c r="G349" s="25"/>
      <c r="H349" s="25"/>
      <c r="I349" s="25"/>
      <c r="J349" s="25"/>
      <c r="K349" s="25"/>
      <c r="L349" s="25"/>
      <c r="M349" s="25"/>
      <c r="N349" s="25"/>
      <c r="O349" s="25"/>
      <c r="P349" s="25"/>
      <c r="Q349" s="25"/>
      <c r="R349" s="25"/>
      <c r="S349" s="25"/>
      <c r="T349" s="25"/>
    </row>
    <row r="350" spans="1:20" x14ac:dyDescent="0.3">
      <c r="A350" s="123" t="s">
        <v>27</v>
      </c>
      <c r="B350" s="123" t="s">
        <v>45</v>
      </c>
      <c r="C350" s="150">
        <v>194</v>
      </c>
      <c r="D350" s="25"/>
      <c r="E350" s="25"/>
      <c r="F350" s="25"/>
      <c r="G350" s="25"/>
      <c r="H350" s="25"/>
      <c r="I350" s="25"/>
      <c r="J350" s="25"/>
      <c r="K350" s="25"/>
      <c r="L350" s="25"/>
      <c r="M350" s="25"/>
      <c r="N350" s="25"/>
      <c r="O350" s="25"/>
      <c r="P350" s="25"/>
      <c r="Q350" s="25"/>
      <c r="R350" s="25"/>
      <c r="S350" s="25"/>
      <c r="T350" s="25"/>
    </row>
    <row r="351" spans="1:20" x14ac:dyDescent="0.3">
      <c r="A351" s="123" t="s">
        <v>27</v>
      </c>
      <c r="B351" s="123" t="s">
        <v>45</v>
      </c>
      <c r="C351" s="150">
        <v>341</v>
      </c>
      <c r="D351" s="25"/>
      <c r="E351" s="25"/>
      <c r="F351" s="25"/>
      <c r="G351" s="25"/>
      <c r="H351" s="25"/>
      <c r="I351" s="25"/>
      <c r="J351" s="25"/>
      <c r="K351" s="25"/>
      <c r="L351" s="25"/>
      <c r="M351" s="25"/>
      <c r="N351" s="25"/>
      <c r="O351" s="25"/>
      <c r="P351" s="25"/>
      <c r="Q351" s="25"/>
      <c r="R351" s="25"/>
      <c r="S351" s="25"/>
      <c r="T351" s="25"/>
    </row>
    <row r="352" spans="1:20" x14ac:dyDescent="0.3">
      <c r="A352" s="123" t="s">
        <v>27</v>
      </c>
      <c r="B352" s="123" t="s">
        <v>45</v>
      </c>
      <c r="C352" s="150">
        <v>417</v>
      </c>
      <c r="D352" s="25"/>
      <c r="E352" s="25"/>
      <c r="F352" s="25"/>
      <c r="G352" s="25"/>
      <c r="H352" s="25"/>
      <c r="I352" s="25"/>
      <c r="J352" s="25"/>
      <c r="K352" s="25"/>
      <c r="L352" s="25"/>
      <c r="M352" s="25"/>
      <c r="N352" s="25"/>
      <c r="O352" s="25"/>
      <c r="P352" s="25"/>
      <c r="Q352" s="25"/>
      <c r="R352" s="25"/>
      <c r="S352" s="25"/>
      <c r="T352" s="25"/>
    </row>
    <row r="353" spans="1:20" x14ac:dyDescent="0.3">
      <c r="A353" s="123" t="s">
        <v>27</v>
      </c>
      <c r="B353" s="123" t="s">
        <v>45</v>
      </c>
      <c r="C353" s="150">
        <v>337</v>
      </c>
      <c r="D353" s="25"/>
      <c r="E353" s="25"/>
      <c r="F353" s="25"/>
      <c r="G353" s="25"/>
      <c r="H353" s="25"/>
      <c r="I353" s="25"/>
      <c r="J353" s="25"/>
      <c r="K353" s="25"/>
      <c r="L353" s="25"/>
      <c r="M353" s="25"/>
      <c r="N353" s="25"/>
      <c r="O353" s="25"/>
      <c r="P353" s="25"/>
      <c r="Q353" s="25"/>
      <c r="R353" s="25"/>
      <c r="S353" s="25"/>
      <c r="T353" s="25"/>
    </row>
    <row r="354" spans="1:20" x14ac:dyDescent="0.3">
      <c r="A354" s="123" t="s">
        <v>27</v>
      </c>
      <c r="B354" s="123" t="s">
        <v>45</v>
      </c>
      <c r="C354" s="150">
        <v>681</v>
      </c>
      <c r="D354" s="25"/>
      <c r="E354" s="25"/>
      <c r="F354" s="25"/>
      <c r="G354" s="25"/>
      <c r="H354" s="25"/>
      <c r="I354" s="25"/>
      <c r="J354" s="25"/>
      <c r="K354" s="25"/>
      <c r="L354" s="25"/>
      <c r="M354" s="25"/>
      <c r="N354" s="25"/>
      <c r="O354" s="25"/>
      <c r="P354" s="25"/>
      <c r="Q354" s="25"/>
      <c r="R354" s="25"/>
      <c r="S354" s="25"/>
      <c r="T354" s="25"/>
    </row>
    <row r="355" spans="1:20" x14ac:dyDescent="0.3">
      <c r="A355" s="123" t="s">
        <v>27</v>
      </c>
      <c r="B355" s="123" t="s">
        <v>45</v>
      </c>
      <c r="C355" s="150">
        <v>496</v>
      </c>
      <c r="D355" s="25"/>
      <c r="E355" s="25"/>
      <c r="F355" s="25"/>
      <c r="G355" s="25"/>
      <c r="H355" s="25"/>
      <c r="I355" s="25"/>
      <c r="J355" s="25"/>
      <c r="K355" s="25"/>
      <c r="L355" s="25"/>
      <c r="M355" s="25"/>
      <c r="N355" s="25"/>
      <c r="O355" s="25"/>
      <c r="P355" s="25"/>
      <c r="Q355" s="25"/>
      <c r="R355" s="25"/>
      <c r="S355" s="25"/>
      <c r="T355" s="25"/>
    </row>
    <row r="356" spans="1:20" x14ac:dyDescent="0.3">
      <c r="A356" s="123" t="s">
        <v>27</v>
      </c>
      <c r="B356" s="123" t="s">
        <v>45</v>
      </c>
      <c r="C356" s="150">
        <v>601</v>
      </c>
      <c r="D356" s="25"/>
      <c r="E356" s="25"/>
      <c r="F356" s="25"/>
      <c r="G356" s="25"/>
      <c r="H356" s="25"/>
      <c r="I356" s="25"/>
      <c r="J356" s="25"/>
      <c r="K356" s="25"/>
      <c r="L356" s="25"/>
      <c r="M356" s="25"/>
      <c r="N356" s="25"/>
      <c r="O356" s="25"/>
      <c r="P356" s="25"/>
      <c r="Q356" s="25"/>
      <c r="R356" s="25"/>
      <c r="S356" s="25"/>
      <c r="T356" s="25"/>
    </row>
    <row r="357" spans="1:20" x14ac:dyDescent="0.3">
      <c r="A357" s="123" t="s">
        <v>27</v>
      </c>
      <c r="B357" s="123" t="s">
        <v>45</v>
      </c>
      <c r="C357" s="150">
        <v>468</v>
      </c>
      <c r="D357" s="25"/>
      <c r="E357" s="25"/>
      <c r="F357" s="25"/>
      <c r="G357" s="25"/>
      <c r="H357" s="25"/>
      <c r="I357" s="25"/>
      <c r="J357" s="25"/>
      <c r="K357" s="25"/>
      <c r="L357" s="25"/>
      <c r="M357" s="25"/>
      <c r="N357" s="25"/>
      <c r="O357" s="25"/>
      <c r="P357" s="25"/>
      <c r="Q357" s="25"/>
      <c r="R357" s="25"/>
      <c r="S357" s="25"/>
      <c r="T357" s="25"/>
    </row>
    <row r="358" spans="1:20" x14ac:dyDescent="0.3">
      <c r="A358" s="123" t="s">
        <v>27</v>
      </c>
      <c r="B358" s="123" t="s">
        <v>45</v>
      </c>
      <c r="C358" s="150">
        <v>288</v>
      </c>
      <c r="D358" s="25"/>
      <c r="E358" s="25"/>
      <c r="F358" s="25"/>
      <c r="G358" s="25"/>
      <c r="H358" s="25"/>
      <c r="I358" s="25"/>
      <c r="J358" s="25"/>
      <c r="K358" s="25"/>
      <c r="L358" s="25"/>
      <c r="M358" s="25"/>
      <c r="N358" s="25"/>
      <c r="O358" s="25"/>
      <c r="P358" s="25"/>
      <c r="Q358" s="25"/>
      <c r="R358" s="25"/>
      <c r="S358" s="25"/>
      <c r="T358" s="25"/>
    </row>
    <row r="359" spans="1:20" x14ac:dyDescent="0.3">
      <c r="A359" s="123" t="s">
        <v>27</v>
      </c>
      <c r="B359" s="123" t="s">
        <v>45</v>
      </c>
      <c r="C359" s="150">
        <v>692</v>
      </c>
      <c r="D359" s="25"/>
      <c r="E359" s="25"/>
      <c r="F359" s="25"/>
      <c r="G359" s="25"/>
      <c r="H359" s="25"/>
      <c r="I359" s="25"/>
      <c r="J359" s="25"/>
      <c r="K359" s="25"/>
      <c r="L359" s="25"/>
      <c r="M359" s="25"/>
      <c r="N359" s="25"/>
      <c r="O359" s="25"/>
      <c r="P359" s="25"/>
      <c r="Q359" s="25"/>
      <c r="R359" s="25"/>
      <c r="S359" s="25"/>
      <c r="T359" s="25"/>
    </row>
    <row r="360" spans="1:20" x14ac:dyDescent="0.3">
      <c r="A360" s="123" t="s">
        <v>27</v>
      </c>
      <c r="B360" s="123" t="s">
        <v>45</v>
      </c>
      <c r="C360" s="150">
        <v>343</v>
      </c>
      <c r="D360" s="25"/>
      <c r="E360" s="25"/>
      <c r="F360" s="25"/>
      <c r="G360" s="25"/>
      <c r="H360" s="25"/>
      <c r="I360" s="25"/>
      <c r="J360" s="25"/>
      <c r="K360" s="25"/>
      <c r="L360" s="25"/>
      <c r="M360" s="25"/>
      <c r="N360" s="25"/>
      <c r="O360" s="25"/>
      <c r="P360" s="25"/>
      <c r="Q360" s="25"/>
      <c r="R360" s="25"/>
      <c r="S360" s="25"/>
      <c r="T360" s="25"/>
    </row>
    <row r="361" spans="1:20" x14ac:dyDescent="0.3">
      <c r="A361" s="123" t="s">
        <v>27</v>
      </c>
      <c r="B361" s="123" t="s">
        <v>45</v>
      </c>
      <c r="C361" s="150">
        <v>383</v>
      </c>
      <c r="D361" s="25"/>
      <c r="E361" s="25"/>
      <c r="F361" s="25"/>
      <c r="G361" s="25"/>
      <c r="H361" s="25"/>
      <c r="I361" s="25"/>
      <c r="J361" s="25"/>
      <c r="K361" s="25"/>
      <c r="L361" s="25"/>
      <c r="M361" s="25"/>
      <c r="N361" s="25"/>
      <c r="O361" s="25"/>
      <c r="P361" s="25"/>
      <c r="Q361" s="25"/>
      <c r="R361" s="25"/>
      <c r="S361" s="25"/>
      <c r="T361" s="25"/>
    </row>
    <row r="362" spans="1:20" x14ac:dyDescent="0.3">
      <c r="A362" s="123" t="s">
        <v>27</v>
      </c>
      <c r="B362" s="123" t="s">
        <v>45</v>
      </c>
      <c r="C362" s="150">
        <v>493</v>
      </c>
      <c r="D362" s="25"/>
      <c r="E362" s="25"/>
      <c r="F362" s="25"/>
      <c r="G362" s="25"/>
      <c r="H362" s="25"/>
      <c r="I362" s="25"/>
      <c r="J362" s="25"/>
      <c r="K362" s="25"/>
      <c r="L362" s="25"/>
      <c r="M362" s="25"/>
      <c r="N362" s="25"/>
      <c r="O362" s="25"/>
      <c r="P362" s="25"/>
      <c r="Q362" s="25"/>
      <c r="R362" s="25"/>
      <c r="S362" s="25"/>
      <c r="T362" s="25"/>
    </row>
    <row r="363" spans="1:20" x14ac:dyDescent="0.3">
      <c r="A363" s="123" t="s">
        <v>27</v>
      </c>
      <c r="B363" s="123" t="s">
        <v>45</v>
      </c>
      <c r="C363" s="150">
        <v>851</v>
      </c>
      <c r="D363" s="25"/>
      <c r="E363" s="25"/>
      <c r="F363" s="25"/>
      <c r="G363" s="25"/>
      <c r="H363" s="25"/>
      <c r="I363" s="25"/>
      <c r="J363" s="25"/>
      <c r="K363" s="25"/>
      <c r="L363" s="25"/>
      <c r="M363" s="25"/>
      <c r="N363" s="25"/>
      <c r="O363" s="25"/>
      <c r="P363" s="25"/>
      <c r="Q363" s="25"/>
      <c r="R363" s="25"/>
      <c r="S363" s="25"/>
      <c r="T363" s="25"/>
    </row>
    <row r="364" spans="1:20" x14ac:dyDescent="0.3">
      <c r="A364" s="123" t="s">
        <v>27</v>
      </c>
      <c r="B364" s="123" t="s">
        <v>49</v>
      </c>
      <c r="C364" s="150">
        <v>327</v>
      </c>
      <c r="D364" s="25"/>
      <c r="E364" s="25"/>
      <c r="F364" s="25"/>
      <c r="G364" s="25"/>
      <c r="H364" s="25"/>
      <c r="I364" s="25"/>
      <c r="J364" s="25"/>
      <c r="K364" s="25"/>
      <c r="L364" s="25"/>
      <c r="M364" s="25"/>
      <c r="N364" s="25"/>
      <c r="O364" s="25"/>
      <c r="P364" s="25"/>
      <c r="Q364" s="25"/>
      <c r="R364" s="25"/>
      <c r="S364" s="25"/>
      <c r="T364" s="25"/>
    </row>
    <row r="365" spans="1:20" x14ac:dyDescent="0.3">
      <c r="A365" s="123" t="s">
        <v>27</v>
      </c>
      <c r="B365" s="123" t="s">
        <v>49</v>
      </c>
      <c r="C365" s="150">
        <v>156</v>
      </c>
      <c r="D365" s="25"/>
      <c r="E365" s="25"/>
      <c r="F365" s="25"/>
      <c r="G365" s="25"/>
      <c r="H365" s="25"/>
      <c r="I365" s="25"/>
      <c r="J365" s="25"/>
      <c r="K365" s="25"/>
      <c r="L365" s="25"/>
      <c r="M365" s="25"/>
      <c r="N365" s="25"/>
      <c r="O365" s="25"/>
      <c r="P365" s="25"/>
      <c r="Q365" s="25"/>
      <c r="R365" s="25"/>
      <c r="S365" s="25"/>
      <c r="T365" s="25"/>
    </row>
    <row r="366" spans="1:20" x14ac:dyDescent="0.3">
      <c r="A366" s="123" t="s">
        <v>27</v>
      </c>
      <c r="B366" s="123" t="s">
        <v>49</v>
      </c>
      <c r="C366" s="150">
        <v>1084</v>
      </c>
      <c r="D366" s="25"/>
      <c r="E366" s="25"/>
      <c r="F366" s="25"/>
      <c r="G366" s="25"/>
      <c r="H366" s="25"/>
      <c r="I366" s="25"/>
      <c r="J366" s="25"/>
      <c r="K366" s="25"/>
      <c r="L366" s="25"/>
      <c r="M366" s="25"/>
      <c r="N366" s="25"/>
      <c r="O366" s="25"/>
      <c r="P366" s="25"/>
      <c r="Q366" s="25"/>
      <c r="R366" s="25"/>
      <c r="S366" s="25"/>
      <c r="T366" s="25"/>
    </row>
    <row r="367" spans="1:20" x14ac:dyDescent="0.3">
      <c r="A367" s="123" t="s">
        <v>27</v>
      </c>
      <c r="B367" s="123" t="s">
        <v>49</v>
      </c>
      <c r="C367" s="150">
        <v>357</v>
      </c>
      <c r="D367" s="25"/>
      <c r="E367" s="25"/>
      <c r="F367" s="25"/>
      <c r="G367" s="25"/>
      <c r="H367" s="25"/>
      <c r="I367" s="25"/>
      <c r="J367" s="25"/>
      <c r="K367" s="25"/>
      <c r="L367" s="25"/>
      <c r="M367" s="25"/>
      <c r="N367" s="25"/>
      <c r="O367" s="25"/>
      <c r="P367" s="25"/>
      <c r="Q367" s="25"/>
      <c r="R367" s="25"/>
      <c r="S367" s="25"/>
      <c r="T367" s="25"/>
    </row>
    <row r="368" spans="1:20" x14ac:dyDescent="0.3">
      <c r="A368" s="123" t="s">
        <v>27</v>
      </c>
      <c r="B368" s="123" t="s">
        <v>49</v>
      </c>
      <c r="C368" s="150">
        <v>575</v>
      </c>
      <c r="D368" s="25"/>
      <c r="E368" s="25"/>
      <c r="F368" s="25"/>
      <c r="G368" s="25"/>
      <c r="H368" s="25"/>
      <c r="I368" s="25"/>
      <c r="J368" s="25"/>
      <c r="K368" s="25"/>
      <c r="L368" s="25"/>
      <c r="M368" s="25"/>
      <c r="N368" s="25"/>
      <c r="O368" s="25"/>
      <c r="P368" s="25"/>
      <c r="Q368" s="25"/>
      <c r="R368" s="25"/>
      <c r="S368" s="25"/>
      <c r="T368" s="25"/>
    </row>
    <row r="369" spans="1:20" x14ac:dyDescent="0.3">
      <c r="A369" s="123" t="s">
        <v>27</v>
      </c>
      <c r="B369" s="123" t="s">
        <v>49</v>
      </c>
      <c r="C369" s="150">
        <v>425</v>
      </c>
      <c r="D369" s="25"/>
      <c r="E369" s="25"/>
      <c r="F369" s="25"/>
      <c r="G369" s="25"/>
      <c r="H369" s="25"/>
      <c r="I369" s="25"/>
      <c r="J369" s="25"/>
      <c r="K369" s="25"/>
      <c r="L369" s="25"/>
      <c r="M369" s="25"/>
      <c r="N369" s="25"/>
      <c r="O369" s="25"/>
      <c r="P369" s="25"/>
      <c r="Q369" s="25"/>
      <c r="R369" s="25"/>
      <c r="S369" s="25"/>
      <c r="T369" s="25"/>
    </row>
    <row r="370" spans="1:20" x14ac:dyDescent="0.3">
      <c r="A370" s="123" t="s">
        <v>27</v>
      </c>
      <c r="B370" s="123" t="s">
        <v>49</v>
      </c>
      <c r="C370" s="150">
        <v>214</v>
      </c>
      <c r="D370" s="25"/>
      <c r="E370" s="25"/>
      <c r="F370" s="25"/>
      <c r="G370" s="25"/>
      <c r="H370" s="25"/>
      <c r="I370" s="25"/>
      <c r="J370" s="25"/>
      <c r="K370" s="25"/>
      <c r="L370" s="25"/>
      <c r="M370" s="25"/>
      <c r="N370" s="25"/>
      <c r="O370" s="25"/>
      <c r="P370" s="25"/>
      <c r="Q370" s="25"/>
      <c r="R370" s="25"/>
      <c r="S370" s="25"/>
      <c r="T370" s="25"/>
    </row>
    <row r="371" spans="1:20" x14ac:dyDescent="0.3">
      <c r="A371" s="123" t="s">
        <v>27</v>
      </c>
      <c r="B371" s="123" t="s">
        <v>49</v>
      </c>
      <c r="C371" s="150">
        <v>272</v>
      </c>
      <c r="D371" s="25"/>
      <c r="E371" s="25"/>
      <c r="F371" s="25"/>
      <c r="G371" s="25"/>
      <c r="H371" s="25"/>
      <c r="I371" s="25"/>
      <c r="J371" s="25"/>
      <c r="K371" s="25"/>
      <c r="L371" s="25"/>
      <c r="M371" s="25"/>
      <c r="N371" s="25"/>
      <c r="O371" s="25"/>
      <c r="P371" s="25"/>
      <c r="Q371" s="25"/>
      <c r="R371" s="25"/>
      <c r="S371" s="25"/>
      <c r="T371" s="25"/>
    </row>
    <row r="372" spans="1:20" x14ac:dyDescent="0.3">
      <c r="A372" s="123" t="s">
        <v>27</v>
      </c>
      <c r="B372" s="123" t="s">
        <v>49</v>
      </c>
      <c r="C372" s="150">
        <v>416</v>
      </c>
      <c r="D372" s="25"/>
      <c r="E372" s="25"/>
      <c r="F372" s="25"/>
      <c r="G372" s="25"/>
      <c r="H372" s="25"/>
      <c r="I372" s="25"/>
      <c r="J372" s="25"/>
      <c r="K372" s="25"/>
      <c r="L372" s="25"/>
      <c r="M372" s="25"/>
      <c r="N372" s="25"/>
      <c r="O372" s="25"/>
      <c r="P372" s="25"/>
      <c r="Q372" s="25"/>
      <c r="R372" s="25"/>
      <c r="S372" s="25"/>
      <c r="T372" s="25"/>
    </row>
    <row r="373" spans="1:20" x14ac:dyDescent="0.3">
      <c r="A373" s="123" t="s">
        <v>27</v>
      </c>
      <c r="B373" s="123" t="s">
        <v>49</v>
      </c>
      <c r="C373" s="150">
        <v>850</v>
      </c>
      <c r="D373" s="25"/>
      <c r="E373" s="25"/>
      <c r="F373" s="25"/>
      <c r="G373" s="25"/>
      <c r="H373" s="25"/>
      <c r="I373" s="25"/>
      <c r="J373" s="25"/>
      <c r="K373" s="25"/>
      <c r="L373" s="25"/>
      <c r="M373" s="25"/>
      <c r="N373" s="25"/>
      <c r="O373" s="25"/>
      <c r="P373" s="25"/>
      <c r="Q373" s="25"/>
      <c r="R373" s="25"/>
      <c r="S373" s="25"/>
      <c r="T373" s="25"/>
    </row>
    <row r="374" spans="1:20" x14ac:dyDescent="0.3">
      <c r="A374" s="123" t="s">
        <v>27</v>
      </c>
      <c r="B374" s="123" t="s">
        <v>49</v>
      </c>
      <c r="C374" s="150">
        <v>1956</v>
      </c>
      <c r="D374" s="25"/>
      <c r="E374" s="25"/>
      <c r="F374" s="25"/>
      <c r="G374" s="25"/>
      <c r="H374" s="25"/>
      <c r="I374" s="25"/>
      <c r="J374" s="25"/>
      <c r="K374" s="25"/>
      <c r="L374" s="25"/>
      <c r="M374" s="25"/>
      <c r="N374" s="25"/>
      <c r="O374" s="25"/>
      <c r="P374" s="25"/>
      <c r="Q374" s="25"/>
      <c r="R374" s="25"/>
      <c r="S374" s="25"/>
      <c r="T374" s="25"/>
    </row>
    <row r="375" spans="1:20" x14ac:dyDescent="0.3">
      <c r="A375" s="123" t="s">
        <v>27</v>
      </c>
      <c r="B375" s="123" t="s">
        <v>49</v>
      </c>
      <c r="C375" s="150">
        <v>562</v>
      </c>
      <c r="D375" s="25"/>
      <c r="E375" s="25"/>
      <c r="F375" s="25"/>
      <c r="G375" s="25"/>
      <c r="H375" s="25"/>
      <c r="I375" s="25"/>
      <c r="J375" s="25"/>
      <c r="K375" s="25"/>
      <c r="L375" s="25"/>
      <c r="M375" s="25"/>
      <c r="N375" s="25"/>
      <c r="O375" s="25"/>
      <c r="P375" s="25"/>
      <c r="Q375" s="25"/>
      <c r="R375" s="25"/>
      <c r="S375" s="25"/>
      <c r="T375" s="25"/>
    </row>
    <row r="376" spans="1:20" x14ac:dyDescent="0.3">
      <c r="A376" s="123" t="s">
        <v>27</v>
      </c>
      <c r="B376" s="123" t="s">
        <v>49</v>
      </c>
      <c r="C376" s="150">
        <v>1008</v>
      </c>
      <c r="D376" s="25"/>
      <c r="E376" s="25"/>
      <c r="F376" s="25"/>
      <c r="G376" s="25"/>
      <c r="H376" s="25"/>
      <c r="I376" s="25"/>
      <c r="J376" s="25"/>
      <c r="K376" s="25"/>
      <c r="L376" s="25"/>
      <c r="M376" s="25"/>
      <c r="N376" s="25"/>
      <c r="O376" s="25"/>
      <c r="P376" s="25"/>
      <c r="Q376" s="25"/>
      <c r="R376" s="25"/>
      <c r="S376" s="25"/>
      <c r="T376" s="25"/>
    </row>
    <row r="377" spans="1:20" x14ac:dyDescent="0.3">
      <c r="A377" s="123" t="s">
        <v>27</v>
      </c>
      <c r="B377" s="123" t="s">
        <v>49</v>
      </c>
      <c r="C377" s="150">
        <v>250</v>
      </c>
      <c r="D377" s="25"/>
      <c r="E377" s="25"/>
      <c r="F377" s="25"/>
      <c r="G377" s="25"/>
      <c r="H377" s="25"/>
      <c r="I377" s="25"/>
      <c r="J377" s="25"/>
      <c r="K377" s="25"/>
      <c r="L377" s="25"/>
      <c r="M377" s="25"/>
      <c r="N377" s="25"/>
      <c r="O377" s="25"/>
      <c r="P377" s="25"/>
      <c r="Q377" s="25"/>
      <c r="R377" s="25"/>
      <c r="S377" s="25"/>
      <c r="T377" s="25"/>
    </row>
    <row r="378" spans="1:20" x14ac:dyDescent="0.3">
      <c r="A378" s="123" t="s">
        <v>27</v>
      </c>
      <c r="B378" s="123" t="s">
        <v>49</v>
      </c>
      <c r="C378" s="150">
        <v>756</v>
      </c>
      <c r="D378" s="25"/>
      <c r="E378" s="25"/>
      <c r="F378" s="25"/>
      <c r="G378" s="25"/>
      <c r="H378" s="25"/>
      <c r="I378" s="25"/>
      <c r="J378" s="25"/>
      <c r="K378" s="25"/>
      <c r="L378" s="25"/>
      <c r="M378" s="25"/>
      <c r="N378" s="25"/>
      <c r="O378" s="25"/>
      <c r="P378" s="25"/>
      <c r="Q378" s="25"/>
      <c r="R378" s="25"/>
      <c r="S378" s="25"/>
      <c r="T378" s="25"/>
    </row>
    <row r="379" spans="1:20" x14ac:dyDescent="0.3">
      <c r="A379" s="123" t="s">
        <v>27</v>
      </c>
      <c r="B379" s="123" t="s">
        <v>49</v>
      </c>
      <c r="C379" s="150">
        <v>627</v>
      </c>
      <c r="D379" s="25"/>
      <c r="E379" s="25"/>
      <c r="F379" s="25"/>
      <c r="G379" s="25"/>
      <c r="H379" s="25"/>
      <c r="I379" s="25"/>
      <c r="J379" s="25"/>
      <c r="K379" s="25"/>
      <c r="L379" s="25"/>
      <c r="M379" s="25"/>
      <c r="N379" s="25"/>
      <c r="O379" s="25"/>
      <c r="P379" s="25"/>
      <c r="Q379" s="25"/>
      <c r="R379" s="25"/>
      <c r="S379" s="25"/>
      <c r="T379" s="25"/>
    </row>
    <row r="380" spans="1:20" x14ac:dyDescent="0.3">
      <c r="A380" s="123" t="s">
        <v>27</v>
      </c>
      <c r="B380" s="123" t="s">
        <v>49</v>
      </c>
      <c r="C380" s="150">
        <v>1143</v>
      </c>
      <c r="D380" s="25"/>
      <c r="E380" s="25"/>
      <c r="F380" s="25"/>
      <c r="G380" s="25"/>
      <c r="H380" s="25"/>
      <c r="I380" s="25"/>
      <c r="J380" s="25"/>
      <c r="K380" s="25"/>
      <c r="L380" s="25"/>
      <c r="M380" s="25"/>
      <c r="N380" s="25"/>
      <c r="O380" s="25"/>
      <c r="P380" s="25"/>
      <c r="Q380" s="25"/>
      <c r="R380" s="25"/>
      <c r="S380" s="25"/>
      <c r="T380" s="25"/>
    </row>
    <row r="381" spans="1:20" x14ac:dyDescent="0.3">
      <c r="A381" s="123" t="s">
        <v>27</v>
      </c>
      <c r="B381" s="123" t="s">
        <v>49</v>
      </c>
      <c r="C381" s="150">
        <v>827</v>
      </c>
      <c r="D381" s="25"/>
      <c r="E381" s="25"/>
      <c r="F381" s="25"/>
      <c r="G381" s="25"/>
      <c r="H381" s="25"/>
      <c r="I381" s="25"/>
      <c r="J381" s="25"/>
      <c r="K381" s="25"/>
      <c r="L381" s="25"/>
      <c r="M381" s="25"/>
      <c r="N381" s="25"/>
      <c r="O381" s="25"/>
      <c r="P381" s="25"/>
      <c r="Q381" s="25"/>
      <c r="R381" s="25"/>
      <c r="S381" s="25"/>
      <c r="T381" s="25"/>
    </row>
    <row r="382" spans="1:20" x14ac:dyDescent="0.3">
      <c r="A382" s="123" t="s">
        <v>27</v>
      </c>
      <c r="B382" s="123" t="s">
        <v>49</v>
      </c>
      <c r="C382" s="150">
        <v>298</v>
      </c>
      <c r="D382" s="25"/>
      <c r="E382" s="25"/>
      <c r="F382" s="25"/>
      <c r="G382" s="25"/>
      <c r="H382" s="25"/>
      <c r="I382" s="25"/>
      <c r="J382" s="25"/>
      <c r="K382" s="25"/>
      <c r="L382" s="25"/>
      <c r="M382" s="25"/>
      <c r="N382" s="25"/>
      <c r="O382" s="25"/>
      <c r="P382" s="25"/>
      <c r="Q382" s="25"/>
      <c r="R382" s="25"/>
      <c r="S382" s="25"/>
      <c r="T382" s="25"/>
    </row>
    <row r="383" spans="1:20" x14ac:dyDescent="0.3">
      <c r="A383" s="123" t="s">
        <v>27</v>
      </c>
      <c r="B383" s="123" t="s">
        <v>49</v>
      </c>
      <c r="C383" s="150">
        <v>361</v>
      </c>
      <c r="D383" s="25"/>
      <c r="E383" s="25"/>
      <c r="F383" s="25"/>
      <c r="G383" s="25"/>
      <c r="H383" s="25"/>
      <c r="I383" s="25"/>
      <c r="J383" s="25"/>
      <c r="K383" s="25"/>
      <c r="L383" s="25"/>
      <c r="M383" s="25"/>
      <c r="N383" s="25"/>
      <c r="O383" s="25"/>
      <c r="P383" s="25"/>
      <c r="Q383" s="25"/>
      <c r="R383" s="25"/>
      <c r="S383" s="25"/>
      <c r="T383" s="25"/>
    </row>
    <row r="384" spans="1:20" x14ac:dyDescent="0.3">
      <c r="A384" s="123" t="s">
        <v>27</v>
      </c>
      <c r="B384" s="123" t="s">
        <v>49</v>
      </c>
      <c r="C384" s="150">
        <v>384</v>
      </c>
      <c r="D384" s="25"/>
      <c r="E384" s="25"/>
      <c r="F384" s="25"/>
      <c r="G384" s="25"/>
      <c r="H384" s="25"/>
      <c r="I384" s="25"/>
      <c r="J384" s="25"/>
      <c r="K384" s="25"/>
      <c r="L384" s="25"/>
      <c r="M384" s="25"/>
      <c r="N384" s="25"/>
      <c r="O384" s="25"/>
      <c r="P384" s="25"/>
      <c r="Q384" s="25"/>
      <c r="R384" s="25"/>
      <c r="S384" s="25"/>
      <c r="T384" s="25"/>
    </row>
    <row r="385" spans="1:20" x14ac:dyDescent="0.3">
      <c r="A385" s="123" t="s">
        <v>27</v>
      </c>
      <c r="B385" s="123" t="s">
        <v>49</v>
      </c>
      <c r="C385" s="150">
        <v>1799</v>
      </c>
      <c r="D385" s="25"/>
      <c r="E385" s="25"/>
      <c r="F385" s="25"/>
      <c r="G385" s="25"/>
      <c r="H385" s="25"/>
      <c r="I385" s="25"/>
      <c r="J385" s="25"/>
      <c r="K385" s="25"/>
      <c r="L385" s="25"/>
      <c r="M385" s="25"/>
      <c r="N385" s="25"/>
      <c r="O385" s="25"/>
      <c r="P385" s="25"/>
      <c r="Q385" s="25"/>
      <c r="R385" s="25"/>
      <c r="S385" s="25"/>
      <c r="T385" s="25"/>
    </row>
    <row r="386" spans="1:20" x14ac:dyDescent="0.3">
      <c r="A386" s="123" t="s">
        <v>27</v>
      </c>
      <c r="B386" s="123" t="s">
        <v>49</v>
      </c>
      <c r="C386" s="150">
        <v>680</v>
      </c>
      <c r="D386" s="25"/>
      <c r="E386" s="25"/>
      <c r="F386" s="25"/>
      <c r="G386" s="25"/>
      <c r="H386" s="25"/>
      <c r="I386" s="25"/>
      <c r="J386" s="25"/>
      <c r="K386" s="25"/>
      <c r="L386" s="25"/>
      <c r="M386" s="25"/>
      <c r="N386" s="25"/>
      <c r="O386" s="25"/>
      <c r="P386" s="25"/>
      <c r="Q386" s="25"/>
      <c r="R386" s="25"/>
      <c r="S386" s="25"/>
      <c r="T386" s="25"/>
    </row>
    <row r="387" spans="1:20" x14ac:dyDescent="0.3">
      <c r="A387" s="123" t="s">
        <v>27</v>
      </c>
      <c r="B387" s="123" t="s">
        <v>49</v>
      </c>
      <c r="C387" s="150">
        <v>373</v>
      </c>
      <c r="D387" s="25"/>
      <c r="E387" s="25"/>
      <c r="F387" s="25"/>
      <c r="G387" s="25"/>
      <c r="H387" s="25"/>
      <c r="I387" s="25"/>
      <c r="J387" s="25"/>
      <c r="K387" s="25"/>
      <c r="L387" s="25"/>
      <c r="M387" s="25"/>
      <c r="N387" s="25"/>
      <c r="O387" s="25"/>
      <c r="P387" s="25"/>
      <c r="Q387" s="25"/>
      <c r="R387" s="25"/>
      <c r="S387" s="25"/>
      <c r="T387" s="25"/>
    </row>
    <row r="388" spans="1:20" x14ac:dyDescent="0.3">
      <c r="A388" s="123" t="s">
        <v>27</v>
      </c>
      <c r="B388" s="123" t="s">
        <v>49</v>
      </c>
      <c r="C388" s="150">
        <v>442</v>
      </c>
      <c r="D388" s="25"/>
      <c r="E388" s="25"/>
      <c r="F388" s="25"/>
      <c r="G388" s="25"/>
      <c r="H388" s="25"/>
      <c r="I388" s="25"/>
      <c r="J388" s="25"/>
      <c r="K388" s="25"/>
      <c r="L388" s="25"/>
      <c r="M388" s="25"/>
      <c r="N388" s="25"/>
      <c r="O388" s="25"/>
      <c r="P388" s="25"/>
      <c r="Q388" s="25"/>
      <c r="R388" s="25"/>
      <c r="S388" s="25"/>
      <c r="T388" s="25"/>
    </row>
    <row r="389" spans="1:20" x14ac:dyDescent="0.3">
      <c r="A389" s="123" t="s">
        <v>27</v>
      </c>
      <c r="B389" s="123" t="s">
        <v>49</v>
      </c>
      <c r="C389" s="150">
        <v>914</v>
      </c>
      <c r="D389" s="25"/>
      <c r="E389" s="25"/>
      <c r="F389" s="25"/>
      <c r="G389" s="25"/>
      <c r="H389" s="25"/>
      <c r="I389" s="25"/>
      <c r="J389" s="25"/>
      <c r="K389" s="25"/>
      <c r="L389" s="25"/>
      <c r="M389" s="25"/>
      <c r="N389" s="25"/>
      <c r="O389" s="25"/>
      <c r="P389" s="25"/>
      <c r="Q389" s="25"/>
      <c r="R389" s="25"/>
      <c r="S389" s="25"/>
      <c r="T389" s="25"/>
    </row>
    <row r="390" spans="1:20" x14ac:dyDescent="0.3">
      <c r="A390" s="123" t="s">
        <v>27</v>
      </c>
      <c r="B390" s="123" t="s">
        <v>49</v>
      </c>
      <c r="C390" s="150">
        <v>728</v>
      </c>
      <c r="D390" s="25"/>
      <c r="E390" s="25"/>
      <c r="F390" s="25"/>
      <c r="G390" s="25"/>
      <c r="H390" s="25"/>
      <c r="I390" s="25"/>
      <c r="J390" s="25"/>
      <c r="K390" s="25"/>
      <c r="L390" s="25"/>
      <c r="M390" s="25"/>
      <c r="N390" s="25"/>
      <c r="O390" s="25"/>
      <c r="P390" s="25"/>
      <c r="Q390" s="25"/>
      <c r="R390" s="25"/>
      <c r="S390" s="25"/>
      <c r="T390" s="25"/>
    </row>
    <row r="391" spans="1:20" x14ac:dyDescent="0.3">
      <c r="A391" s="123" t="s">
        <v>27</v>
      </c>
      <c r="B391" s="123" t="s">
        <v>49</v>
      </c>
      <c r="C391" s="150">
        <v>283</v>
      </c>
      <c r="D391" s="25"/>
      <c r="E391" s="25"/>
      <c r="F391" s="25"/>
      <c r="G391" s="25"/>
      <c r="H391" s="25"/>
      <c r="I391" s="25"/>
      <c r="J391" s="25"/>
      <c r="K391" s="25"/>
      <c r="L391" s="25"/>
      <c r="M391" s="25"/>
      <c r="N391" s="25"/>
      <c r="O391" s="25"/>
      <c r="P391" s="25"/>
      <c r="Q391" s="25"/>
      <c r="R391" s="25"/>
      <c r="S391" s="25"/>
      <c r="T391" s="25"/>
    </row>
    <row r="392" spans="1:20" x14ac:dyDescent="0.3">
      <c r="A392" s="123" t="s">
        <v>27</v>
      </c>
      <c r="B392" s="123" t="s">
        <v>49</v>
      </c>
      <c r="C392" s="150">
        <v>355</v>
      </c>
      <c r="D392" s="25"/>
      <c r="E392" s="25"/>
      <c r="F392" s="25"/>
      <c r="G392" s="25"/>
      <c r="H392" s="25"/>
      <c r="I392" s="25"/>
      <c r="J392" s="25"/>
      <c r="K392" s="25"/>
      <c r="L392" s="25"/>
      <c r="M392" s="25"/>
      <c r="N392" s="25"/>
      <c r="O392" s="25"/>
      <c r="P392" s="25"/>
      <c r="Q392" s="25"/>
      <c r="R392" s="25"/>
      <c r="S392" s="25"/>
      <c r="T392" s="25"/>
    </row>
    <row r="393" spans="1:20" x14ac:dyDescent="0.3">
      <c r="A393" s="123" t="s">
        <v>27</v>
      </c>
      <c r="B393" s="123" t="s">
        <v>49</v>
      </c>
      <c r="C393" s="150">
        <v>294</v>
      </c>
      <c r="D393" s="25"/>
      <c r="E393" s="25"/>
      <c r="F393" s="25"/>
      <c r="G393" s="25"/>
      <c r="H393" s="25"/>
      <c r="I393" s="25"/>
      <c r="J393" s="25"/>
      <c r="K393" s="25"/>
      <c r="L393" s="25"/>
      <c r="M393" s="25"/>
      <c r="N393" s="25"/>
      <c r="O393" s="25"/>
      <c r="P393" s="25"/>
      <c r="Q393" s="25"/>
      <c r="R393" s="25"/>
      <c r="S393" s="25"/>
      <c r="T393" s="25"/>
    </row>
    <row r="394" spans="1:20" x14ac:dyDescent="0.3">
      <c r="A394" s="123" t="s">
        <v>27</v>
      </c>
      <c r="B394" s="123" t="s">
        <v>49</v>
      </c>
      <c r="C394" s="150">
        <v>413</v>
      </c>
      <c r="D394" s="25"/>
      <c r="T394" s="25"/>
    </row>
    <row r="395" spans="1:20" x14ac:dyDescent="0.3">
      <c r="A395" s="123" t="s">
        <v>27</v>
      </c>
      <c r="B395" s="123" t="s">
        <v>49</v>
      </c>
      <c r="C395" s="150">
        <v>1022</v>
      </c>
      <c r="D395" s="25"/>
      <c r="T395" s="25"/>
    </row>
    <row r="396" spans="1:20" x14ac:dyDescent="0.3">
      <c r="A396" s="123" t="s">
        <v>27</v>
      </c>
      <c r="B396" s="123" t="s">
        <v>49</v>
      </c>
      <c r="C396" s="150">
        <v>590</v>
      </c>
      <c r="D396" s="25"/>
      <c r="T396" s="25"/>
    </row>
    <row r="397" spans="1:20" x14ac:dyDescent="0.3">
      <c r="A397" s="123" t="s">
        <v>27</v>
      </c>
      <c r="B397" s="123" t="s">
        <v>49</v>
      </c>
      <c r="C397" s="150">
        <v>675</v>
      </c>
      <c r="D397" s="25"/>
      <c r="T397" s="25"/>
    </row>
    <row r="398" spans="1:20" x14ac:dyDescent="0.3">
      <c r="A398" s="123" t="s">
        <v>27</v>
      </c>
      <c r="B398" s="123" t="s">
        <v>49</v>
      </c>
      <c r="C398" s="150">
        <v>488</v>
      </c>
      <c r="D398" s="25"/>
      <c r="T398" s="25"/>
    </row>
    <row r="399" spans="1:20" x14ac:dyDescent="0.3">
      <c r="A399" s="123" t="s">
        <v>27</v>
      </c>
      <c r="B399" s="123" t="s">
        <v>49</v>
      </c>
      <c r="C399" s="150">
        <v>1271</v>
      </c>
      <c r="D399" s="25"/>
      <c r="T399" s="25"/>
    </row>
    <row r="400" spans="1:20" x14ac:dyDescent="0.3">
      <c r="A400" s="123" t="s">
        <v>27</v>
      </c>
      <c r="B400" s="123" t="s">
        <v>49</v>
      </c>
      <c r="C400" s="150">
        <v>690</v>
      </c>
      <c r="D400" s="25"/>
      <c r="T400" s="25"/>
    </row>
    <row r="401" spans="1:20" x14ac:dyDescent="0.3">
      <c r="A401" s="123" t="s">
        <v>27</v>
      </c>
      <c r="B401" s="123" t="s">
        <v>49</v>
      </c>
      <c r="C401" s="150">
        <v>704</v>
      </c>
      <c r="D401" s="25"/>
      <c r="T401" s="25"/>
    </row>
    <row r="402" spans="1:20" x14ac:dyDescent="0.3">
      <c r="A402" s="123" t="s">
        <v>27</v>
      </c>
      <c r="B402" s="123" t="s">
        <v>49</v>
      </c>
      <c r="C402" s="150">
        <v>676</v>
      </c>
      <c r="D402" s="25"/>
      <c r="T402" s="25"/>
    </row>
    <row r="403" spans="1:20" x14ac:dyDescent="0.3">
      <c r="A403" s="123" t="s">
        <v>27</v>
      </c>
      <c r="B403" s="123" t="s">
        <v>49</v>
      </c>
      <c r="C403" s="150">
        <v>320</v>
      </c>
      <c r="D403" s="25"/>
      <c r="T403" s="25"/>
    </row>
    <row r="404" spans="1:20" x14ac:dyDescent="0.3">
      <c r="A404" s="123" t="s">
        <v>27</v>
      </c>
      <c r="B404" s="123" t="s">
        <v>49</v>
      </c>
      <c r="C404" s="150">
        <v>377</v>
      </c>
      <c r="D404" s="25"/>
      <c r="T404" s="25"/>
    </row>
    <row r="405" spans="1:20" x14ac:dyDescent="0.3">
      <c r="A405" s="123" t="s">
        <v>27</v>
      </c>
      <c r="B405" s="123" t="s">
        <v>49</v>
      </c>
      <c r="C405" s="150">
        <v>1097</v>
      </c>
      <c r="D405" s="25"/>
      <c r="T405" s="25"/>
    </row>
    <row r="406" spans="1:20" x14ac:dyDescent="0.3">
      <c r="A406" s="123" t="s">
        <v>27</v>
      </c>
      <c r="B406" s="123" t="s">
        <v>49</v>
      </c>
      <c r="C406" s="150">
        <v>837</v>
      </c>
      <c r="D406" s="25"/>
      <c r="T406" s="25"/>
    </row>
  </sheetData>
  <mergeCells count="15">
    <mergeCell ref="E6:F6"/>
    <mergeCell ref="A3:R4"/>
    <mergeCell ref="F29:R30"/>
    <mergeCell ref="E49:S50"/>
    <mergeCell ref="E58:L58"/>
    <mergeCell ref="M60:S64"/>
    <mergeCell ref="E66:L66"/>
    <mergeCell ref="E108:L108"/>
    <mergeCell ref="M110:S119"/>
    <mergeCell ref="F67:M67"/>
    <mergeCell ref="H68:H69"/>
    <mergeCell ref="K68:L68"/>
    <mergeCell ref="I68:I69"/>
    <mergeCell ref="J68:J69"/>
    <mergeCell ref="M71:S8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CaseStudy</vt:lpstr>
      <vt:lpstr>Data Description</vt:lpstr>
      <vt:lpstr>Sheet2</vt:lpstr>
      <vt:lpstr>Descriptive analysis</vt:lpstr>
      <vt:lpstr>Descriptive analysis charts</vt:lpstr>
      <vt:lpstr>CustomerDataSet_Original</vt:lpstr>
      <vt:lpstr>Q1</vt:lpstr>
      <vt:lpstr>Q2</vt:lpstr>
      <vt:lpstr>Q3.a</vt:lpstr>
      <vt:lpstr>Q3.b</vt:lpstr>
      <vt:lpstr>Q3.c</vt:lpstr>
      <vt:lpstr>Q4.a</vt:lpstr>
      <vt:lpstr>Q4.b</vt:lpstr>
      <vt:lpstr>Q5</vt:lpstr>
      <vt:lpstr>Q6</vt:lpstr>
      <vt:lpstr>CustomerDataSet_Original!Age_Driver</vt:lpstr>
      <vt:lpstr>CustomerDataSet_Original!Approched_Insurer</vt:lpstr>
      <vt:lpstr>CustomerDataSet_Original!Area</vt:lpstr>
      <vt:lpstr>CustomerDataSet_Original!Broker</vt:lpstr>
      <vt:lpstr>CustomerDataSet_Original!Gender</vt:lpstr>
      <vt:lpstr>CustomerDataSet_Original!Insurer</vt:lpstr>
      <vt:lpstr>CustomerDataSet_Original!NCBR</vt:lpstr>
      <vt:lpstr>CaseStudy!page3</vt:lpstr>
      <vt:lpstr>CaseStudy!page4</vt:lpstr>
      <vt:lpstr>CustomerDataSet_Original!Savings</vt:lpstr>
      <vt:lpstr>CustomerDataSet_Original!State</vt:lpstr>
      <vt:lpstr>CustomerDataSet_Original!Val_Method</vt:lpstr>
      <vt:lpstr>CustomerDataSet_Original!Veh_Type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Insurance Brokers</dc:title>
  <dc:creator>Dr Dilal Saundage</dc:creator>
  <cp:keywords>MIS771 2016</cp:keywords>
  <cp:lastModifiedBy>vijay</cp:lastModifiedBy>
  <dcterms:created xsi:type="dcterms:W3CDTF">2011-08-01T14:22:18Z</dcterms:created>
  <dcterms:modified xsi:type="dcterms:W3CDTF">2021-06-26T12:40:19Z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9a66d446-1a40-46be-9c9f-09167b6b8910</vt:lpwstr>
  </property>
</Properties>
</file>