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/>
  <xr:revisionPtr revIDLastSave="0" documentId="13_ncr:1_{8686A53A-C56F-455E-94C7-2521528DF5B4}" xr6:coauthVersionLast="45" xr6:coauthVersionMax="45" xr10:uidLastSave="{00000000-0000-0000-0000-000000000000}"/>
  <bookViews>
    <workbookView xWindow="-108" yWindow="-108" windowWidth="23256" windowHeight="12576" tabRatio="805" firstSheet="1" activeTab="2" xr2:uid="{00000000-000D-0000-FFFF-FFFF00000000}"/>
  </bookViews>
  <sheets>
    <sheet name="Template" sheetId="2" state="hidden" r:id="rId1"/>
    <sheet name="Assumptions" sheetId="12" r:id="rId2"/>
    <sheet name="Sensitivity and scenario analy" sheetId="15" r:id="rId3"/>
    <sheet name="Summary Output" sheetId="13" r:id="rId4"/>
    <sheet name="IRR &amp; DSR Calculation" sheetId="19" r:id="rId5"/>
    <sheet name="Annual Sales" sheetId="4" r:id="rId6"/>
    <sheet name="Annual Expenses" sheetId="5" r:id="rId7"/>
    <sheet name="Tax Schedule" sheetId="9" r:id="rId8"/>
    <sheet name="Income Statement" sheetId="6" r:id="rId9"/>
    <sheet name="Cash Flow Statement" sheetId="8" r:id="rId10"/>
    <sheet name="Balance Sheet" sheetId="7" r:id="rId11"/>
    <sheet name="Imp Fin Parameters" sheetId="10" r:id="rId12"/>
    <sheet name="Notes" sheetId="11" state="hidden" r:id="rId13"/>
    <sheet name="Scenario calculation" sheetId="17" state="hidden" r:id="rId1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2" i="17" l="1"/>
  <c r="I16" i="15" l="1"/>
  <c r="D7" i="15"/>
  <c r="E7" i="15"/>
  <c r="F7" i="15"/>
  <c r="G7" i="15"/>
  <c r="D8" i="15"/>
  <c r="E8" i="15"/>
  <c r="F8" i="15"/>
  <c r="G8" i="15"/>
  <c r="D9" i="15"/>
  <c r="E9" i="15"/>
  <c r="F9" i="15"/>
  <c r="G9" i="15"/>
  <c r="D10" i="15"/>
  <c r="E10" i="15"/>
  <c r="F10" i="15"/>
  <c r="G10" i="15"/>
  <c r="D11" i="15"/>
  <c r="E11" i="15"/>
  <c r="F11" i="15"/>
  <c r="G11" i="15"/>
  <c r="C8" i="15"/>
  <c r="C9" i="15"/>
  <c r="C10" i="15"/>
  <c r="C11" i="15"/>
  <c r="C7" i="15"/>
  <c r="B8" i="15"/>
  <c r="B9" i="15"/>
  <c r="B10" i="15"/>
  <c r="B11" i="15"/>
  <c r="B7" i="15"/>
  <c r="D6" i="15"/>
  <c r="E6" i="15"/>
  <c r="F6" i="15"/>
  <c r="G6" i="15"/>
  <c r="C6" i="15"/>
  <c r="B35" i="19"/>
  <c r="E34" i="19"/>
  <c r="F34" i="19"/>
  <c r="G34" i="19"/>
  <c r="H34" i="19"/>
  <c r="I34" i="19"/>
  <c r="J34" i="19"/>
  <c r="K34" i="19"/>
  <c r="L34" i="19"/>
  <c r="M34" i="19"/>
  <c r="D34" i="19"/>
  <c r="E33" i="19"/>
  <c r="F33" i="19"/>
  <c r="G33" i="19"/>
  <c r="H33" i="19"/>
  <c r="I33" i="19"/>
  <c r="J33" i="19"/>
  <c r="K33" i="19"/>
  <c r="L33" i="19"/>
  <c r="M33" i="19"/>
  <c r="D33" i="19"/>
  <c r="E32" i="19"/>
  <c r="F32" i="19"/>
  <c r="G32" i="19"/>
  <c r="H32" i="19"/>
  <c r="I32" i="19"/>
  <c r="J32" i="19"/>
  <c r="K32" i="19"/>
  <c r="L32" i="19"/>
  <c r="M32" i="19"/>
  <c r="D32" i="19"/>
  <c r="E31" i="19"/>
  <c r="F31" i="19"/>
  <c r="G31" i="19"/>
  <c r="H31" i="19"/>
  <c r="I31" i="19"/>
  <c r="J31" i="19"/>
  <c r="K31" i="19"/>
  <c r="L31" i="19"/>
  <c r="M31" i="19"/>
  <c r="D31" i="19"/>
  <c r="E30" i="19"/>
  <c r="F30" i="19"/>
  <c r="G30" i="19"/>
  <c r="H30" i="19"/>
  <c r="I30" i="19"/>
  <c r="J30" i="19"/>
  <c r="K30" i="19"/>
  <c r="L30" i="19"/>
  <c r="M30" i="19"/>
  <c r="D30" i="19"/>
  <c r="D20" i="19"/>
  <c r="E20" i="19"/>
  <c r="F20" i="19"/>
  <c r="G20" i="19"/>
  <c r="H20" i="19"/>
  <c r="I20" i="19"/>
  <c r="J20" i="19"/>
  <c r="K20" i="19"/>
  <c r="L20" i="19"/>
  <c r="M20" i="19"/>
  <c r="C20" i="19"/>
  <c r="D16" i="19"/>
  <c r="E16" i="19"/>
  <c r="F16" i="19"/>
  <c r="G16" i="19"/>
  <c r="H16" i="19"/>
  <c r="I16" i="19"/>
  <c r="J16" i="19"/>
  <c r="K16" i="19"/>
  <c r="L16" i="19"/>
  <c r="M16" i="19"/>
  <c r="C16" i="19"/>
  <c r="D15" i="19"/>
  <c r="E15" i="19"/>
  <c r="F15" i="19"/>
  <c r="G15" i="19"/>
  <c r="H15" i="19"/>
  <c r="I15" i="19"/>
  <c r="J15" i="19"/>
  <c r="K15" i="19"/>
  <c r="L15" i="19"/>
  <c r="M15" i="19"/>
  <c r="C15" i="19"/>
  <c r="D14" i="19"/>
  <c r="E14" i="19"/>
  <c r="F14" i="19"/>
  <c r="G14" i="19"/>
  <c r="H14" i="19"/>
  <c r="I14" i="19"/>
  <c r="J14" i="19"/>
  <c r="K14" i="19"/>
  <c r="L14" i="19"/>
  <c r="M14" i="19"/>
  <c r="C14" i="19"/>
  <c r="D11" i="19"/>
  <c r="D21" i="19" s="1"/>
  <c r="E11" i="19"/>
  <c r="E21" i="19" s="1"/>
  <c r="F11" i="19"/>
  <c r="F21" i="19" s="1"/>
  <c r="G11" i="19"/>
  <c r="G21" i="19" s="1"/>
  <c r="H11" i="19"/>
  <c r="H21" i="19" s="1"/>
  <c r="I11" i="19"/>
  <c r="I21" i="19" s="1"/>
  <c r="J11" i="19"/>
  <c r="J21" i="19" s="1"/>
  <c r="K11" i="19"/>
  <c r="K21" i="19" s="1"/>
  <c r="L11" i="19"/>
  <c r="L21" i="19" s="1"/>
  <c r="C11" i="19"/>
  <c r="C21" i="19" s="1"/>
  <c r="M10" i="19"/>
  <c r="M9" i="19"/>
  <c r="M8" i="19"/>
  <c r="M7" i="19"/>
  <c r="I17" i="19" l="1"/>
  <c r="G17" i="19"/>
  <c r="I22" i="19"/>
  <c r="I24" i="19" s="1"/>
  <c r="F22" i="19"/>
  <c r="E17" i="19"/>
  <c r="C22" i="19"/>
  <c r="E22" i="19"/>
  <c r="D22" i="19"/>
  <c r="L22" i="19"/>
  <c r="K22" i="19"/>
  <c r="J22" i="19"/>
  <c r="H22" i="19"/>
  <c r="G22" i="19"/>
  <c r="G24" i="19" s="1"/>
  <c r="C17" i="19"/>
  <c r="F17" i="19"/>
  <c r="L17" i="19"/>
  <c r="H17" i="19"/>
  <c r="M17" i="19"/>
  <c r="J17" i="19"/>
  <c r="D17" i="19"/>
  <c r="K17" i="19"/>
  <c r="M11" i="19"/>
  <c r="M21" i="19" s="1"/>
  <c r="M22" i="19" s="1"/>
  <c r="E24" i="19" l="1"/>
  <c r="H24" i="19"/>
  <c r="J24" i="19"/>
  <c r="M24" i="19"/>
  <c r="L24" i="19"/>
  <c r="K24" i="19"/>
  <c r="D24" i="19"/>
  <c r="C24" i="19"/>
  <c r="F24" i="19"/>
  <c r="M488" i="17"/>
  <c r="G488" i="17"/>
  <c r="C72" i="17"/>
  <c r="D34" i="13"/>
  <c r="D35" i="13"/>
  <c r="D36" i="13"/>
  <c r="D32" i="13"/>
  <c r="D28" i="13"/>
  <c r="D29" i="13"/>
  <c r="E29" i="13"/>
  <c r="F29" i="13"/>
  <c r="G29" i="13"/>
  <c r="H29" i="13"/>
  <c r="I29" i="13"/>
  <c r="J29" i="13"/>
  <c r="K29" i="13"/>
  <c r="L29" i="13"/>
  <c r="M29" i="13"/>
  <c r="N29" i="13"/>
  <c r="A27" i="13"/>
  <c r="A28" i="13"/>
  <c r="A29" i="13"/>
  <c r="A31" i="13"/>
  <c r="A32" i="13"/>
  <c r="A33" i="13"/>
  <c r="A34" i="13"/>
  <c r="A35" i="13"/>
  <c r="A36" i="13"/>
  <c r="A37" i="13"/>
  <c r="A26" i="13"/>
  <c r="B50" i="12"/>
  <c r="B25" i="19" l="1"/>
  <c r="D62" i="17"/>
  <c r="O27" i="15"/>
  <c r="G27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D65" i="17"/>
  <c r="H123" i="17" l="1"/>
  <c r="I123" i="17"/>
  <c r="J123" i="17"/>
  <c r="K123" i="17"/>
  <c r="L123" i="17"/>
  <c r="M123" i="17"/>
  <c r="G123" i="17"/>
  <c r="G253" i="17" s="1"/>
  <c r="F123" i="17"/>
  <c r="F253" i="17" s="1"/>
  <c r="E123" i="17"/>
  <c r="E157" i="17" s="1"/>
  <c r="D123" i="17"/>
  <c r="D157" i="17" s="1"/>
  <c r="C464" i="17"/>
  <c r="C463" i="17"/>
  <c r="A461" i="17"/>
  <c r="C460" i="17"/>
  <c r="A460" i="17"/>
  <c r="A458" i="17"/>
  <c r="C447" i="17"/>
  <c r="C450" i="17" s="1"/>
  <c r="A447" i="17"/>
  <c r="C441" i="17"/>
  <c r="M439" i="17"/>
  <c r="L439" i="17"/>
  <c r="K439" i="17"/>
  <c r="J439" i="17"/>
  <c r="I439" i="17"/>
  <c r="H439" i="17"/>
  <c r="G439" i="17"/>
  <c r="F439" i="17"/>
  <c r="E439" i="17"/>
  <c r="D439" i="17"/>
  <c r="C439" i="17"/>
  <c r="D431" i="17"/>
  <c r="E431" i="17" s="1"/>
  <c r="D430" i="17"/>
  <c r="E430" i="17" s="1"/>
  <c r="D429" i="17"/>
  <c r="E429" i="17" s="1"/>
  <c r="A419" i="17"/>
  <c r="C409" i="17"/>
  <c r="C408" i="17"/>
  <c r="C407" i="17"/>
  <c r="C406" i="17"/>
  <c r="C405" i="17"/>
  <c r="C404" i="17"/>
  <c r="C403" i="17"/>
  <c r="C402" i="17"/>
  <c r="C401" i="17"/>
  <c r="C400" i="17"/>
  <c r="C396" i="17"/>
  <c r="C395" i="17"/>
  <c r="C394" i="17"/>
  <c r="C393" i="17"/>
  <c r="C392" i="17"/>
  <c r="C391" i="17"/>
  <c r="C390" i="17"/>
  <c r="C389" i="17"/>
  <c r="C388" i="17"/>
  <c r="C387" i="17"/>
  <c r="C386" i="17"/>
  <c r="C369" i="17"/>
  <c r="C364" i="17"/>
  <c r="C355" i="17"/>
  <c r="C339" i="17"/>
  <c r="M338" i="17"/>
  <c r="L338" i="17"/>
  <c r="K338" i="17"/>
  <c r="J338" i="17"/>
  <c r="I338" i="17"/>
  <c r="H338" i="17"/>
  <c r="G338" i="17"/>
  <c r="F338" i="17"/>
  <c r="E338" i="17"/>
  <c r="D338" i="17"/>
  <c r="C338" i="17"/>
  <c r="C354" i="17" s="1"/>
  <c r="D354" i="17" s="1"/>
  <c r="M337" i="17"/>
  <c r="L337" i="17"/>
  <c r="K337" i="17"/>
  <c r="J337" i="17"/>
  <c r="I337" i="17"/>
  <c r="H337" i="17"/>
  <c r="G337" i="17"/>
  <c r="F337" i="17"/>
  <c r="E337" i="17"/>
  <c r="D337" i="17"/>
  <c r="C337" i="17"/>
  <c r="M336" i="17"/>
  <c r="L336" i="17"/>
  <c r="K336" i="17"/>
  <c r="J336" i="17"/>
  <c r="I336" i="17"/>
  <c r="H336" i="17"/>
  <c r="G336" i="17"/>
  <c r="F336" i="17"/>
  <c r="E336" i="17"/>
  <c r="D336" i="17"/>
  <c r="M335" i="17"/>
  <c r="L335" i="17"/>
  <c r="K335" i="17"/>
  <c r="J335" i="17"/>
  <c r="I335" i="17"/>
  <c r="H335" i="17"/>
  <c r="G335" i="17"/>
  <c r="F335" i="17"/>
  <c r="E335" i="17"/>
  <c r="D335" i="17"/>
  <c r="C335" i="17"/>
  <c r="M330" i="17"/>
  <c r="L330" i="17"/>
  <c r="K330" i="17"/>
  <c r="J330" i="17"/>
  <c r="I330" i="17"/>
  <c r="H330" i="17"/>
  <c r="G330" i="17"/>
  <c r="F330" i="17"/>
  <c r="E330" i="17"/>
  <c r="D330" i="17"/>
  <c r="C330" i="17"/>
  <c r="C368" i="17" s="1"/>
  <c r="M329" i="17"/>
  <c r="L329" i="17"/>
  <c r="K329" i="17"/>
  <c r="K331" i="17" s="1"/>
  <c r="J329" i="17"/>
  <c r="I329" i="17"/>
  <c r="H329" i="17"/>
  <c r="G329" i="17"/>
  <c r="F329" i="17"/>
  <c r="E329" i="17"/>
  <c r="E331" i="17" s="1"/>
  <c r="D329" i="17"/>
  <c r="C329" i="17"/>
  <c r="C363" i="17" s="1"/>
  <c r="C326" i="17"/>
  <c r="C325" i="17"/>
  <c r="C324" i="17"/>
  <c r="G320" i="17"/>
  <c r="F320" i="17"/>
  <c r="E320" i="17"/>
  <c r="D320" i="17"/>
  <c r="C320" i="17"/>
  <c r="C358" i="17" s="1"/>
  <c r="G319" i="17"/>
  <c r="F319" i="17"/>
  <c r="E319" i="17"/>
  <c r="D319" i="17"/>
  <c r="C319" i="17"/>
  <c r="C357" i="17" s="1"/>
  <c r="G318" i="17"/>
  <c r="F318" i="17"/>
  <c r="F440" i="17" s="1"/>
  <c r="E318" i="17"/>
  <c r="E440" i="17" s="1"/>
  <c r="E305" i="17"/>
  <c r="F305" i="17" s="1"/>
  <c r="G305" i="17" s="1"/>
  <c r="H305" i="17" s="1"/>
  <c r="I305" i="17" s="1"/>
  <c r="J305" i="17" s="1"/>
  <c r="K305" i="17" s="1"/>
  <c r="L305" i="17" s="1"/>
  <c r="M305" i="17" s="1"/>
  <c r="M290" i="17"/>
  <c r="L290" i="17"/>
  <c r="K290" i="17"/>
  <c r="J290" i="17"/>
  <c r="I290" i="17"/>
  <c r="H290" i="17"/>
  <c r="G290" i="17"/>
  <c r="F290" i="17"/>
  <c r="E290" i="17"/>
  <c r="D290" i="17"/>
  <c r="M289" i="17"/>
  <c r="L289" i="17"/>
  <c r="K289" i="17"/>
  <c r="J289" i="17"/>
  <c r="I289" i="17"/>
  <c r="H289" i="17"/>
  <c r="G289" i="17"/>
  <c r="F289" i="17"/>
  <c r="E289" i="17"/>
  <c r="D289" i="17"/>
  <c r="M288" i="17"/>
  <c r="L288" i="17"/>
  <c r="K288" i="17"/>
  <c r="J288" i="17"/>
  <c r="I288" i="17"/>
  <c r="H288" i="17"/>
  <c r="G288" i="17"/>
  <c r="F288" i="17"/>
  <c r="E288" i="17"/>
  <c r="D288" i="17"/>
  <c r="M284" i="17"/>
  <c r="L284" i="17"/>
  <c r="K284" i="17"/>
  <c r="J284" i="17"/>
  <c r="I284" i="17"/>
  <c r="H284" i="17"/>
  <c r="G284" i="17"/>
  <c r="F284" i="17"/>
  <c r="E284" i="17"/>
  <c r="D284" i="17"/>
  <c r="M281" i="17"/>
  <c r="M409" i="17" s="1"/>
  <c r="L281" i="17"/>
  <c r="L409" i="17" s="1"/>
  <c r="K281" i="17"/>
  <c r="K409" i="17" s="1"/>
  <c r="J281" i="17"/>
  <c r="J409" i="17" s="1"/>
  <c r="I281" i="17"/>
  <c r="I409" i="17" s="1"/>
  <c r="H281" i="17"/>
  <c r="H409" i="17" s="1"/>
  <c r="G281" i="17"/>
  <c r="G409" i="17" s="1"/>
  <c r="F281" i="17"/>
  <c r="F409" i="17" s="1"/>
  <c r="E281" i="17"/>
  <c r="E409" i="17" s="1"/>
  <c r="D281" i="17"/>
  <c r="D409" i="17" s="1"/>
  <c r="M278" i="17"/>
  <c r="M404" i="17" s="1"/>
  <c r="L278" i="17"/>
  <c r="L404" i="17" s="1"/>
  <c r="K278" i="17"/>
  <c r="K404" i="17" s="1"/>
  <c r="J278" i="17"/>
  <c r="J404" i="17" s="1"/>
  <c r="I278" i="17"/>
  <c r="I404" i="17" s="1"/>
  <c r="H278" i="17"/>
  <c r="H404" i="17" s="1"/>
  <c r="G278" i="17"/>
  <c r="G404" i="17" s="1"/>
  <c r="F278" i="17"/>
  <c r="F404" i="17" s="1"/>
  <c r="E278" i="17"/>
  <c r="E404" i="17" s="1"/>
  <c r="D278" i="17"/>
  <c r="D404" i="17" s="1"/>
  <c r="D272" i="17"/>
  <c r="M268" i="17"/>
  <c r="M400" i="17" s="1"/>
  <c r="L268" i="17"/>
  <c r="L400" i="17" s="1"/>
  <c r="K268" i="17"/>
  <c r="K400" i="17" s="1"/>
  <c r="J268" i="17"/>
  <c r="J400" i="17" s="1"/>
  <c r="I268" i="17"/>
  <c r="I400" i="17" s="1"/>
  <c r="H268" i="17"/>
  <c r="H400" i="17" s="1"/>
  <c r="G268" i="17"/>
  <c r="G400" i="17" s="1"/>
  <c r="F268" i="17"/>
  <c r="F400" i="17" s="1"/>
  <c r="E268" i="17"/>
  <c r="E400" i="17" s="1"/>
  <c r="D268" i="17"/>
  <c r="D400" i="17" s="1"/>
  <c r="M264" i="17"/>
  <c r="M388" i="17" s="1"/>
  <c r="L264" i="17"/>
  <c r="L388" i="17" s="1"/>
  <c r="K264" i="17"/>
  <c r="K388" i="17" s="1"/>
  <c r="J264" i="17"/>
  <c r="J388" i="17" s="1"/>
  <c r="I264" i="17"/>
  <c r="I388" i="17" s="1"/>
  <c r="H264" i="17"/>
  <c r="H388" i="17" s="1"/>
  <c r="G264" i="17"/>
  <c r="G388" i="17" s="1"/>
  <c r="F264" i="17"/>
  <c r="F388" i="17" s="1"/>
  <c r="E264" i="17"/>
  <c r="E388" i="17" s="1"/>
  <c r="D264" i="17"/>
  <c r="D388" i="17" s="1"/>
  <c r="M263" i="17"/>
  <c r="M387" i="17" s="1"/>
  <c r="L263" i="17"/>
  <c r="L387" i="17" s="1"/>
  <c r="K263" i="17"/>
  <c r="K387" i="17" s="1"/>
  <c r="J263" i="17"/>
  <c r="J387" i="17" s="1"/>
  <c r="I263" i="17"/>
  <c r="I387" i="17" s="1"/>
  <c r="H263" i="17"/>
  <c r="H387" i="17" s="1"/>
  <c r="G263" i="17"/>
  <c r="G387" i="17" s="1"/>
  <c r="F263" i="17"/>
  <c r="F387" i="17" s="1"/>
  <c r="E263" i="17"/>
  <c r="E387" i="17" s="1"/>
  <c r="D263" i="17"/>
  <c r="D387" i="17" s="1"/>
  <c r="M260" i="17"/>
  <c r="L260" i="17"/>
  <c r="K260" i="17"/>
  <c r="J260" i="17"/>
  <c r="I260" i="17"/>
  <c r="H260" i="17"/>
  <c r="G260" i="17"/>
  <c r="F260" i="17"/>
  <c r="E260" i="17"/>
  <c r="D260" i="17"/>
  <c r="M258" i="17"/>
  <c r="L258" i="17"/>
  <c r="K258" i="17"/>
  <c r="J258" i="17"/>
  <c r="I258" i="17"/>
  <c r="H258" i="17"/>
  <c r="G258" i="17"/>
  <c r="F258" i="17"/>
  <c r="E258" i="17"/>
  <c r="D258" i="17"/>
  <c r="M256" i="17"/>
  <c r="L256" i="17"/>
  <c r="K256" i="17"/>
  <c r="J256" i="17"/>
  <c r="I256" i="17"/>
  <c r="H256" i="17"/>
  <c r="G256" i="17"/>
  <c r="F256" i="17"/>
  <c r="E256" i="17"/>
  <c r="D256" i="17"/>
  <c r="M231" i="17"/>
  <c r="L231" i="17"/>
  <c r="K231" i="17"/>
  <c r="J231" i="17"/>
  <c r="I231" i="17"/>
  <c r="H231" i="17"/>
  <c r="G231" i="17"/>
  <c r="F231" i="17"/>
  <c r="E231" i="17"/>
  <c r="D231" i="17"/>
  <c r="M229" i="17"/>
  <c r="L229" i="17"/>
  <c r="K229" i="17"/>
  <c r="J229" i="17"/>
  <c r="I229" i="17"/>
  <c r="H229" i="17"/>
  <c r="G229" i="17"/>
  <c r="F229" i="17"/>
  <c r="E229" i="17"/>
  <c r="D229" i="17"/>
  <c r="D228" i="17"/>
  <c r="M222" i="17"/>
  <c r="L222" i="17"/>
  <c r="K222" i="17"/>
  <c r="J222" i="17"/>
  <c r="I222" i="17"/>
  <c r="H222" i="17"/>
  <c r="G222" i="17"/>
  <c r="F222" i="17"/>
  <c r="E222" i="17"/>
  <c r="D222" i="17"/>
  <c r="M220" i="17"/>
  <c r="L220" i="17"/>
  <c r="K220" i="17"/>
  <c r="J220" i="17"/>
  <c r="I220" i="17"/>
  <c r="H220" i="17"/>
  <c r="G220" i="17"/>
  <c r="F220" i="17"/>
  <c r="E220" i="17"/>
  <c r="D220" i="17"/>
  <c r="D219" i="17"/>
  <c r="M208" i="17"/>
  <c r="L208" i="17"/>
  <c r="K208" i="17"/>
  <c r="J208" i="17"/>
  <c r="I208" i="17"/>
  <c r="H208" i="17"/>
  <c r="G208" i="17"/>
  <c r="F208" i="17"/>
  <c r="E208" i="17"/>
  <c r="D208" i="17"/>
  <c r="M206" i="17"/>
  <c r="L206" i="17"/>
  <c r="K206" i="17"/>
  <c r="J206" i="17"/>
  <c r="I206" i="17"/>
  <c r="H206" i="17"/>
  <c r="G206" i="17"/>
  <c r="F206" i="17"/>
  <c r="E206" i="17"/>
  <c r="D206" i="17"/>
  <c r="D205" i="17"/>
  <c r="M200" i="17"/>
  <c r="L200" i="17"/>
  <c r="K200" i="17"/>
  <c r="J200" i="17"/>
  <c r="I200" i="17"/>
  <c r="H200" i="17"/>
  <c r="G200" i="17"/>
  <c r="F200" i="17"/>
  <c r="E200" i="17"/>
  <c r="D200" i="17"/>
  <c r="M198" i="17"/>
  <c r="L198" i="17"/>
  <c r="K198" i="17"/>
  <c r="J198" i="17"/>
  <c r="I198" i="17"/>
  <c r="H198" i="17"/>
  <c r="G198" i="17"/>
  <c r="F198" i="17"/>
  <c r="E198" i="17"/>
  <c r="D198" i="17"/>
  <c r="D197" i="17"/>
  <c r="G186" i="17"/>
  <c r="G187" i="17" s="1"/>
  <c r="G396" i="17" s="1"/>
  <c r="F186" i="17"/>
  <c r="F187" i="17" s="1"/>
  <c r="F396" i="17" s="1"/>
  <c r="E186" i="17"/>
  <c r="E187" i="17" s="1"/>
  <c r="E396" i="17" s="1"/>
  <c r="D186" i="17"/>
  <c r="D187" i="17" s="1"/>
  <c r="D396" i="17" s="1"/>
  <c r="D181" i="17"/>
  <c r="D324" i="17" s="1"/>
  <c r="D420" i="17" s="1"/>
  <c r="D180" i="17"/>
  <c r="M170" i="17"/>
  <c r="L170" i="17"/>
  <c r="K170" i="17"/>
  <c r="J170" i="17"/>
  <c r="I170" i="17"/>
  <c r="H170" i="17"/>
  <c r="G170" i="17"/>
  <c r="F170" i="17"/>
  <c r="E170" i="17"/>
  <c r="D170" i="17"/>
  <c r="C170" i="17"/>
  <c r="H151" i="17"/>
  <c r="H319" i="17" s="1"/>
  <c r="H149" i="17"/>
  <c r="H320" i="17" s="1"/>
  <c r="E146" i="17"/>
  <c r="E272" i="17" s="1"/>
  <c r="H145" i="17"/>
  <c r="I145" i="17" s="1"/>
  <c r="C145" i="17"/>
  <c r="H139" i="17"/>
  <c r="I139" i="17" s="1"/>
  <c r="J139" i="17" s="1"/>
  <c r="K139" i="17" s="1"/>
  <c r="L139" i="17" s="1"/>
  <c r="M139" i="17" s="1"/>
  <c r="E121" i="17"/>
  <c r="E181" i="17" s="1"/>
  <c r="E324" i="17" s="1"/>
  <c r="E420" i="17" s="1"/>
  <c r="C100" i="17"/>
  <c r="D168" i="17" s="1"/>
  <c r="C85" i="17"/>
  <c r="D172" i="17" s="1"/>
  <c r="C32" i="17"/>
  <c r="C336" i="17" s="1"/>
  <c r="C353" i="17" s="1"/>
  <c r="D353" i="17" s="1"/>
  <c r="C17" i="17"/>
  <c r="E6" i="17"/>
  <c r="F6" i="17" s="1"/>
  <c r="G6" i="17" s="1"/>
  <c r="H6" i="17" s="1"/>
  <c r="I6" i="17" s="1"/>
  <c r="J6" i="17" s="1"/>
  <c r="K6" i="17" s="1"/>
  <c r="L6" i="17" s="1"/>
  <c r="M6" i="17" s="1"/>
  <c r="E253" i="17" l="1"/>
  <c r="D358" i="17"/>
  <c r="E358" i="17" s="1"/>
  <c r="F358" i="17" s="1"/>
  <c r="G358" i="17" s="1"/>
  <c r="H358" i="17" s="1"/>
  <c r="G331" i="17"/>
  <c r="I331" i="17"/>
  <c r="E354" i="17"/>
  <c r="F354" i="17" s="1"/>
  <c r="G354" i="17" s="1"/>
  <c r="H354" i="17" s="1"/>
  <c r="I354" i="17" s="1"/>
  <c r="J354" i="17" s="1"/>
  <c r="K354" i="17" s="1"/>
  <c r="L354" i="17" s="1"/>
  <c r="M354" i="17" s="1"/>
  <c r="D230" i="17"/>
  <c r="C410" i="17"/>
  <c r="G440" i="17"/>
  <c r="M331" i="17"/>
  <c r="D207" i="17"/>
  <c r="C397" i="17"/>
  <c r="C411" i="17" s="1"/>
  <c r="E254" i="17"/>
  <c r="E158" i="17"/>
  <c r="E167" i="17" s="1"/>
  <c r="E277" i="17" s="1"/>
  <c r="E395" i="17" s="1"/>
  <c r="D254" i="17"/>
  <c r="D158" i="17"/>
  <c r="E159" i="17"/>
  <c r="D159" i="17"/>
  <c r="E353" i="17"/>
  <c r="F353" i="17" s="1"/>
  <c r="G353" i="17" s="1"/>
  <c r="H353" i="17" s="1"/>
  <c r="I353" i="17" s="1"/>
  <c r="J353" i="17" s="1"/>
  <c r="K353" i="17" s="1"/>
  <c r="L353" i="17" s="1"/>
  <c r="M353" i="17" s="1"/>
  <c r="D199" i="17"/>
  <c r="E197" i="17" s="1"/>
  <c r="E199" i="17" s="1"/>
  <c r="D221" i="17"/>
  <c r="D357" i="17"/>
  <c r="E357" i="17" s="1"/>
  <c r="F357" i="17" s="1"/>
  <c r="G357" i="17" s="1"/>
  <c r="D331" i="17"/>
  <c r="F331" i="17"/>
  <c r="H331" i="17"/>
  <c r="J331" i="17"/>
  <c r="L331" i="17"/>
  <c r="C356" i="17"/>
  <c r="D356" i="17" s="1"/>
  <c r="F157" i="17"/>
  <c r="F158" i="17" s="1"/>
  <c r="I253" i="17"/>
  <c r="G157" i="17"/>
  <c r="G158" i="17" s="1"/>
  <c r="D253" i="17"/>
  <c r="E168" i="17"/>
  <c r="D275" i="17"/>
  <c r="I157" i="17"/>
  <c r="E205" i="17"/>
  <c r="E207" i="17" s="1"/>
  <c r="D209" i="17"/>
  <c r="D232" i="17"/>
  <c r="D233" i="17" s="1"/>
  <c r="E228" i="17" s="1"/>
  <c r="E230" i="17" s="1"/>
  <c r="D280" i="17"/>
  <c r="E172" i="17"/>
  <c r="E280" i="17" s="1"/>
  <c r="D201" i="17"/>
  <c r="D223" i="17"/>
  <c r="D318" i="17"/>
  <c r="D440" i="17" s="1"/>
  <c r="C318" i="17"/>
  <c r="C73" i="17"/>
  <c r="D161" i="17" s="1"/>
  <c r="F121" i="17"/>
  <c r="F146" i="17"/>
  <c r="H157" i="17"/>
  <c r="D160" i="17"/>
  <c r="D267" i="17" s="1"/>
  <c r="D391" i="17" s="1"/>
  <c r="D163" i="17"/>
  <c r="D266" i="17" s="1"/>
  <c r="D390" i="17" s="1"/>
  <c r="D164" i="17"/>
  <c r="D265" i="17" s="1"/>
  <c r="D389" i="17" s="1"/>
  <c r="D165" i="17"/>
  <c r="D270" i="17" s="1"/>
  <c r="D393" i="17" s="1"/>
  <c r="D171" i="17"/>
  <c r="F171" i="17"/>
  <c r="H171" i="17"/>
  <c r="J171" i="17"/>
  <c r="L171" i="17"/>
  <c r="D182" i="17"/>
  <c r="E180" i="17" s="1"/>
  <c r="H186" i="17"/>
  <c r="H187" i="17" s="1"/>
  <c r="H396" i="17" s="1"/>
  <c r="H253" i="17"/>
  <c r="F272" i="17"/>
  <c r="H357" i="17"/>
  <c r="H318" i="17"/>
  <c r="H440" i="17" s="1"/>
  <c r="I318" i="17"/>
  <c r="D363" i="17"/>
  <c r="C365" i="17"/>
  <c r="C36" i="17"/>
  <c r="C381" i="17" s="1"/>
  <c r="C458" i="17" s="1"/>
  <c r="J145" i="17"/>
  <c r="I149" i="17"/>
  <c r="I151" i="17"/>
  <c r="E160" i="17"/>
  <c r="E267" i="17" s="1"/>
  <c r="E391" i="17" s="1"/>
  <c r="E163" i="17"/>
  <c r="E266" i="17" s="1"/>
  <c r="E390" i="17" s="1"/>
  <c r="E164" i="17"/>
  <c r="E265" i="17" s="1"/>
  <c r="E389" i="17" s="1"/>
  <c r="E165" i="17"/>
  <c r="E270" i="17" s="1"/>
  <c r="E393" i="17" s="1"/>
  <c r="C171" i="17"/>
  <c r="E171" i="17"/>
  <c r="G171" i="17"/>
  <c r="I171" i="17"/>
  <c r="K171" i="17"/>
  <c r="M171" i="17"/>
  <c r="C340" i="17"/>
  <c r="E419" i="17"/>
  <c r="E406" i="17"/>
  <c r="G419" i="17"/>
  <c r="G406" i="17"/>
  <c r="I419" i="17"/>
  <c r="I406" i="17"/>
  <c r="K419" i="17"/>
  <c r="K406" i="17"/>
  <c r="M419" i="17"/>
  <c r="M406" i="17"/>
  <c r="E326" i="17"/>
  <c r="G326" i="17"/>
  <c r="I326" i="17"/>
  <c r="K326" i="17"/>
  <c r="M326" i="17"/>
  <c r="C331" i="17"/>
  <c r="C352" i="17"/>
  <c r="D419" i="17"/>
  <c r="D406" i="17"/>
  <c r="F419" i="17"/>
  <c r="F406" i="17"/>
  <c r="H419" i="17"/>
  <c r="H406" i="17"/>
  <c r="J419" i="17"/>
  <c r="J406" i="17"/>
  <c r="L419" i="17"/>
  <c r="L406" i="17"/>
  <c r="D326" i="17"/>
  <c r="F326" i="17"/>
  <c r="H326" i="17"/>
  <c r="J326" i="17"/>
  <c r="L326" i="17"/>
  <c r="D211" i="17" l="1"/>
  <c r="D279" i="17" s="1"/>
  <c r="D235" i="17"/>
  <c r="D242" i="17" s="1"/>
  <c r="H158" i="17"/>
  <c r="I158" i="17"/>
  <c r="G254" i="17"/>
  <c r="F254" i="17"/>
  <c r="F159" i="17"/>
  <c r="F162" i="17" s="1"/>
  <c r="F271" i="17" s="1"/>
  <c r="F402" i="17" s="1"/>
  <c r="G165" i="17"/>
  <c r="G270" i="17" s="1"/>
  <c r="G393" i="17" s="1"/>
  <c r="F172" i="17"/>
  <c r="F280" i="17" s="1"/>
  <c r="F313" i="17" s="1"/>
  <c r="F165" i="17"/>
  <c r="F270" i="17" s="1"/>
  <c r="F393" i="17" s="1"/>
  <c r="F164" i="17"/>
  <c r="F265" i="17" s="1"/>
  <c r="F389" i="17" s="1"/>
  <c r="F163" i="17"/>
  <c r="F266" i="17" s="1"/>
  <c r="F390" i="17" s="1"/>
  <c r="F160" i="17"/>
  <c r="F267" i="17" s="1"/>
  <c r="F391" i="17" s="1"/>
  <c r="F167" i="17"/>
  <c r="F277" i="17" s="1"/>
  <c r="F395" i="17" s="1"/>
  <c r="G164" i="17"/>
  <c r="G265" i="17" s="1"/>
  <c r="G389" i="17" s="1"/>
  <c r="G163" i="17"/>
  <c r="G266" i="17" s="1"/>
  <c r="G390" i="17" s="1"/>
  <c r="G160" i="17"/>
  <c r="G267" i="17" s="1"/>
  <c r="G391" i="17" s="1"/>
  <c r="G255" i="17"/>
  <c r="G257" i="17" s="1"/>
  <c r="G259" i="17" s="1"/>
  <c r="G261" i="17" s="1"/>
  <c r="E161" i="17"/>
  <c r="D269" i="17"/>
  <c r="E262" i="17"/>
  <c r="E162" i="17"/>
  <c r="E271" i="17" s="1"/>
  <c r="E402" i="17" s="1"/>
  <c r="E255" i="17"/>
  <c r="E257" i="17" s="1"/>
  <c r="E259" i="17" s="1"/>
  <c r="E261" i="17" s="1"/>
  <c r="E166" i="17"/>
  <c r="E276" i="17" s="1"/>
  <c r="E394" i="17" s="1"/>
  <c r="I320" i="17"/>
  <c r="J149" i="17"/>
  <c r="E363" i="17"/>
  <c r="D262" i="17"/>
  <c r="D162" i="17"/>
  <c r="D271" i="17" s="1"/>
  <c r="D402" i="17" s="1"/>
  <c r="D255" i="17"/>
  <c r="D257" i="17" s="1"/>
  <c r="D259" i="17" s="1"/>
  <c r="D261" i="17" s="1"/>
  <c r="D167" i="17"/>
  <c r="D277" i="17" s="1"/>
  <c r="D395" i="17" s="1"/>
  <c r="D166" i="17"/>
  <c r="D276" i="17" s="1"/>
  <c r="D394" i="17" s="1"/>
  <c r="G146" i="17"/>
  <c r="G121" i="17"/>
  <c r="F181" i="17"/>
  <c r="F324" i="17" s="1"/>
  <c r="F420" i="17" s="1"/>
  <c r="E356" i="17"/>
  <c r="C440" i="17"/>
  <c r="C443" i="17" s="1"/>
  <c r="C451" i="17" s="1"/>
  <c r="C366" i="17"/>
  <c r="D366" i="17" s="1"/>
  <c r="C322" i="17"/>
  <c r="C327" i="17" s="1"/>
  <c r="C333" i="17" s="1"/>
  <c r="C343" i="17" s="1"/>
  <c r="C344" i="17" s="1"/>
  <c r="E201" i="17"/>
  <c r="F197" i="17"/>
  <c r="F199" i="17" s="1"/>
  <c r="D408" i="17"/>
  <c r="D313" i="17"/>
  <c r="D368" i="17" s="1"/>
  <c r="J253" i="17"/>
  <c r="J157" i="17"/>
  <c r="E275" i="17"/>
  <c r="F168" i="17"/>
  <c r="I358" i="17"/>
  <c r="D183" i="17"/>
  <c r="D224" i="17"/>
  <c r="E219" i="17" s="1"/>
  <c r="E221" i="17" s="1"/>
  <c r="C360" i="17"/>
  <c r="D352" i="17"/>
  <c r="I319" i="17"/>
  <c r="I357" i="17" s="1"/>
  <c r="I186" i="17"/>
  <c r="I187" i="17" s="1"/>
  <c r="I396" i="17" s="1"/>
  <c r="J151" i="17"/>
  <c r="K145" i="17"/>
  <c r="K318" i="17" s="1"/>
  <c r="C380" i="17"/>
  <c r="C461" i="17" s="1"/>
  <c r="E183" i="17"/>
  <c r="E182" i="17"/>
  <c r="F180" i="17" s="1"/>
  <c r="F166" i="17"/>
  <c r="F276" i="17" s="1"/>
  <c r="F394" i="17" s="1"/>
  <c r="H254" i="17"/>
  <c r="H165" i="17"/>
  <c r="H270" i="17" s="1"/>
  <c r="H393" i="17" s="1"/>
  <c r="H164" i="17"/>
  <c r="H265" i="17" s="1"/>
  <c r="H389" i="17" s="1"/>
  <c r="H163" i="17"/>
  <c r="H266" i="17" s="1"/>
  <c r="H390" i="17" s="1"/>
  <c r="H160" i="17"/>
  <c r="H267" i="17" s="1"/>
  <c r="H391" i="17" s="1"/>
  <c r="D407" i="17"/>
  <c r="D312" i="17"/>
  <c r="D364" i="17" s="1"/>
  <c r="D365" i="17" s="1"/>
  <c r="D241" i="17"/>
  <c r="F408" i="17"/>
  <c r="E408" i="17"/>
  <c r="E313" i="17"/>
  <c r="E233" i="17"/>
  <c r="F228" i="17" s="1"/>
  <c r="F230" i="17" s="1"/>
  <c r="E232" i="17"/>
  <c r="E209" i="17"/>
  <c r="F205" i="17"/>
  <c r="F207" i="17" s="1"/>
  <c r="I254" i="17"/>
  <c r="I165" i="17"/>
  <c r="I270" i="17" s="1"/>
  <c r="I393" i="17" s="1"/>
  <c r="I164" i="17"/>
  <c r="I265" i="17" s="1"/>
  <c r="I389" i="17" s="1"/>
  <c r="I163" i="17"/>
  <c r="I266" i="17" s="1"/>
  <c r="I390" i="17" s="1"/>
  <c r="I160" i="17"/>
  <c r="I267" i="17" s="1"/>
  <c r="I391" i="17" s="1"/>
  <c r="D403" i="17"/>
  <c r="I440" i="17"/>
  <c r="J318" i="17"/>
  <c r="C378" i="17"/>
  <c r="C459" i="17" s="1"/>
  <c r="G272" i="17" l="1"/>
  <c r="H146" i="17"/>
  <c r="I146" i="17" s="1"/>
  <c r="J146" i="17" s="1"/>
  <c r="K146" i="17" s="1"/>
  <c r="L146" i="17" s="1"/>
  <c r="M146" i="17" s="1"/>
  <c r="G172" i="17"/>
  <c r="G280" i="17" s="1"/>
  <c r="G408" i="17" s="1"/>
  <c r="F262" i="17"/>
  <c r="F386" i="17" s="1"/>
  <c r="G159" i="17"/>
  <c r="J158" i="17"/>
  <c r="F255" i="17"/>
  <c r="F257" i="17" s="1"/>
  <c r="F259" i="17" s="1"/>
  <c r="F261" i="17" s="1"/>
  <c r="F447" i="17" s="1"/>
  <c r="F450" i="17" s="1"/>
  <c r="G166" i="17"/>
  <c r="G276" i="17" s="1"/>
  <c r="G394" i="17" s="1"/>
  <c r="D285" i="17"/>
  <c r="D380" i="17"/>
  <c r="D461" i="17" s="1"/>
  <c r="I255" i="17"/>
  <c r="I257" i="17" s="1"/>
  <c r="I259" i="17" s="1"/>
  <c r="I261" i="17" s="1"/>
  <c r="I166" i="17"/>
  <c r="I276" i="17" s="1"/>
  <c r="I394" i="17" s="1"/>
  <c r="F232" i="17"/>
  <c r="F233" i="17" s="1"/>
  <c r="G228" i="17" s="1"/>
  <c r="G230" i="17" s="1"/>
  <c r="G205" i="17"/>
  <c r="G207" i="17" s="1"/>
  <c r="F209" i="17"/>
  <c r="F182" i="17"/>
  <c r="G180" i="17" s="1"/>
  <c r="L145" i="17"/>
  <c r="L318" i="17" s="1"/>
  <c r="J319" i="17"/>
  <c r="J357" i="17" s="1"/>
  <c r="K151" i="17"/>
  <c r="J186" i="17"/>
  <c r="J187" i="17" s="1"/>
  <c r="J396" i="17" s="1"/>
  <c r="G447" i="17"/>
  <c r="G450" i="17" s="1"/>
  <c r="D405" i="17"/>
  <c r="D189" i="17"/>
  <c r="D287" i="17" s="1"/>
  <c r="E403" i="17"/>
  <c r="G197" i="17"/>
  <c r="G199" i="17" s="1"/>
  <c r="F201" i="17"/>
  <c r="F211" i="17" s="1"/>
  <c r="F279" i="17" s="1"/>
  <c r="C367" i="17"/>
  <c r="C371" i="17" s="1"/>
  <c r="C373" i="17" s="1"/>
  <c r="D342" i="17"/>
  <c r="D447" i="17"/>
  <c r="D450" i="17" s="1"/>
  <c r="D386" i="17"/>
  <c r="D273" i="17"/>
  <c r="E447" i="17"/>
  <c r="E450" i="17" s="1"/>
  <c r="E386" i="17"/>
  <c r="E269" i="17"/>
  <c r="E273" i="17" s="1"/>
  <c r="E274" i="17" s="1"/>
  <c r="F161" i="17"/>
  <c r="H172" i="17"/>
  <c r="E368" i="17"/>
  <c r="F368" i="17" s="1"/>
  <c r="H255" i="17"/>
  <c r="H257" i="17" s="1"/>
  <c r="H259" i="17" s="1"/>
  <c r="H261" i="17" s="1"/>
  <c r="H166" i="17"/>
  <c r="H276" i="17" s="1"/>
  <c r="H394" i="17" s="1"/>
  <c r="E405" i="17"/>
  <c r="E189" i="17"/>
  <c r="E287" i="17" s="1"/>
  <c r="E352" i="17"/>
  <c r="E223" i="17"/>
  <c r="E235" i="17" s="1"/>
  <c r="E242" i="17" s="1"/>
  <c r="G168" i="17"/>
  <c r="F275" i="17"/>
  <c r="J254" i="17"/>
  <c r="J165" i="17"/>
  <c r="J270" i="17" s="1"/>
  <c r="J393" i="17" s="1"/>
  <c r="J164" i="17"/>
  <c r="J265" i="17" s="1"/>
  <c r="J389" i="17" s="1"/>
  <c r="J163" i="17"/>
  <c r="J266" i="17" s="1"/>
  <c r="J390" i="17" s="1"/>
  <c r="J160" i="17"/>
  <c r="J267" i="17" s="1"/>
  <c r="J391" i="17" s="1"/>
  <c r="K253" i="17"/>
  <c r="K157" i="17"/>
  <c r="E366" i="17"/>
  <c r="F356" i="17"/>
  <c r="G181" i="17"/>
  <c r="G324" i="17" s="1"/>
  <c r="G420" i="17" s="1"/>
  <c r="G167" i="17"/>
  <c r="G277" i="17" s="1"/>
  <c r="G395" i="17" s="1"/>
  <c r="H121" i="17"/>
  <c r="F363" i="17"/>
  <c r="J320" i="17"/>
  <c r="J440" i="17" s="1"/>
  <c r="K149" i="17"/>
  <c r="D392" i="17"/>
  <c r="D401" i="17"/>
  <c r="D410" i="17" s="1"/>
  <c r="E211" i="17"/>
  <c r="E279" i="17" s="1"/>
  <c r="G313" i="17" l="1"/>
  <c r="G368" i="17" s="1"/>
  <c r="H159" i="17"/>
  <c r="H272" i="17"/>
  <c r="F183" i="17"/>
  <c r="F405" i="17" s="1"/>
  <c r="K158" i="17"/>
  <c r="D441" i="17"/>
  <c r="D443" i="17" s="1"/>
  <c r="D451" i="17" s="1"/>
  <c r="G363" i="17"/>
  <c r="G356" i="17"/>
  <c r="L253" i="17"/>
  <c r="L157" i="17"/>
  <c r="F403" i="17"/>
  <c r="F285" i="17"/>
  <c r="F352" i="17"/>
  <c r="G161" i="17"/>
  <c r="F269" i="17"/>
  <c r="E407" i="17"/>
  <c r="E312" i="17"/>
  <c r="E364" i="17" s="1"/>
  <c r="E241" i="17"/>
  <c r="K320" i="17"/>
  <c r="K440" i="17" s="1"/>
  <c r="L149" i="17"/>
  <c r="I121" i="17"/>
  <c r="H181" i="17"/>
  <c r="H324" i="17" s="1"/>
  <c r="H420" i="17" s="1"/>
  <c r="H167" i="17"/>
  <c r="H277" i="17" s="1"/>
  <c r="H395" i="17" s="1"/>
  <c r="K254" i="17"/>
  <c r="K165" i="17"/>
  <c r="K270" i="17" s="1"/>
  <c r="K393" i="17" s="1"/>
  <c r="K164" i="17"/>
  <c r="K265" i="17" s="1"/>
  <c r="K389" i="17" s="1"/>
  <c r="K163" i="17"/>
  <c r="K266" i="17" s="1"/>
  <c r="K390" i="17" s="1"/>
  <c r="K160" i="17"/>
  <c r="K267" i="17" s="1"/>
  <c r="K391" i="17" s="1"/>
  <c r="J255" i="17"/>
  <c r="J257" i="17" s="1"/>
  <c r="J259" i="17" s="1"/>
  <c r="J261" i="17" s="1"/>
  <c r="J166" i="17"/>
  <c r="J276" i="17" s="1"/>
  <c r="J394" i="17" s="1"/>
  <c r="G275" i="17"/>
  <c r="H168" i="17"/>
  <c r="E401" i="17"/>
  <c r="E392" i="17"/>
  <c r="E397" i="17" s="1"/>
  <c r="E411" i="17" s="1"/>
  <c r="F407" i="17"/>
  <c r="F312" i="17"/>
  <c r="F241" i="17"/>
  <c r="D418" i="17"/>
  <c r="D325" i="17"/>
  <c r="K319" i="17"/>
  <c r="K357" i="17" s="1"/>
  <c r="K186" i="17"/>
  <c r="K187" i="17" s="1"/>
  <c r="K396" i="17" s="1"/>
  <c r="L151" i="17"/>
  <c r="M145" i="17"/>
  <c r="M318" i="17" s="1"/>
  <c r="G182" i="17"/>
  <c r="H180" i="17" s="1"/>
  <c r="E224" i="17"/>
  <c r="F219" i="17" s="1"/>
  <c r="F221" i="17" s="1"/>
  <c r="J358" i="17"/>
  <c r="K358" i="17" s="1"/>
  <c r="D274" i="17"/>
  <c r="D286" i="17" s="1"/>
  <c r="E285" i="17"/>
  <c r="E286" i="17" s="1"/>
  <c r="F366" i="17"/>
  <c r="E418" i="17"/>
  <c r="E325" i="17"/>
  <c r="H447" i="17"/>
  <c r="H450" i="17" s="1"/>
  <c r="H280" i="17"/>
  <c r="I172" i="17"/>
  <c r="I280" i="17" s="1"/>
  <c r="G262" i="17"/>
  <c r="G162" i="17"/>
  <c r="G271" i="17" s="1"/>
  <c r="G402" i="17" s="1"/>
  <c r="G201" i="17"/>
  <c r="H197" i="17"/>
  <c r="H199" i="17" s="1"/>
  <c r="F189" i="17"/>
  <c r="F287" i="17" s="1"/>
  <c r="G209" i="17"/>
  <c r="H205" i="17"/>
  <c r="H207" i="17" s="1"/>
  <c r="G232" i="17"/>
  <c r="G233" i="17" s="1"/>
  <c r="H228" i="17" s="1"/>
  <c r="H230" i="17" s="1"/>
  <c r="I447" i="17"/>
  <c r="I450" i="17" s="1"/>
  <c r="D397" i="17"/>
  <c r="D411" i="17" s="1"/>
  <c r="D412" i="17" s="1"/>
  <c r="D463" i="17" s="1"/>
  <c r="E441" i="17" l="1"/>
  <c r="E443" i="17" s="1"/>
  <c r="E451" i="17" s="1"/>
  <c r="J172" i="17"/>
  <c r="J280" i="17" s="1"/>
  <c r="J408" i="17" s="1"/>
  <c r="G183" i="17"/>
  <c r="G405" i="17" s="1"/>
  <c r="I272" i="17"/>
  <c r="I159" i="17"/>
  <c r="L158" i="17"/>
  <c r="H232" i="17"/>
  <c r="H233" i="17" s="1"/>
  <c r="I228" i="17" s="1"/>
  <c r="I230" i="17" s="1"/>
  <c r="E307" i="17"/>
  <c r="E293" i="17"/>
  <c r="I205" i="17"/>
  <c r="I207" i="17" s="1"/>
  <c r="H209" i="17"/>
  <c r="I197" i="17"/>
  <c r="I199" i="17" s="1"/>
  <c r="H201" i="17"/>
  <c r="J313" i="17"/>
  <c r="G386" i="17"/>
  <c r="I408" i="17"/>
  <c r="I313" i="17"/>
  <c r="H408" i="17"/>
  <c r="H313" i="17"/>
  <c r="H368" i="17" s="1"/>
  <c r="G366" i="17"/>
  <c r="F223" i="17"/>
  <c r="F235" i="17" s="1"/>
  <c r="F242" i="17" s="1"/>
  <c r="H182" i="17"/>
  <c r="I180" i="17" s="1"/>
  <c r="L319" i="17"/>
  <c r="M151" i="17"/>
  <c r="L186" i="17"/>
  <c r="L187" i="17" s="1"/>
  <c r="L396" i="17" s="1"/>
  <c r="H262" i="17"/>
  <c r="H162" i="17"/>
  <c r="H271" i="17" s="1"/>
  <c r="H402" i="17" s="1"/>
  <c r="G403" i="17"/>
  <c r="J447" i="17"/>
  <c r="J450" i="17" s="1"/>
  <c r="I181" i="17"/>
  <c r="I324" i="17" s="1"/>
  <c r="I420" i="17" s="1"/>
  <c r="I167" i="17"/>
  <c r="I277" i="17" s="1"/>
  <c r="I395" i="17" s="1"/>
  <c r="J121" i="17"/>
  <c r="F364" i="17"/>
  <c r="E365" i="17"/>
  <c r="F392" i="17"/>
  <c r="F397" i="17" s="1"/>
  <c r="F411" i="17" s="1"/>
  <c r="F401" i="17"/>
  <c r="F410" i="17" s="1"/>
  <c r="F273" i="17"/>
  <c r="G352" i="17"/>
  <c r="L254" i="17"/>
  <c r="L165" i="17"/>
  <c r="L270" i="17" s="1"/>
  <c r="L393" i="17" s="1"/>
  <c r="L164" i="17"/>
  <c r="L265" i="17" s="1"/>
  <c r="L389" i="17" s="1"/>
  <c r="L163" i="17"/>
  <c r="L266" i="17" s="1"/>
  <c r="L390" i="17" s="1"/>
  <c r="L160" i="17"/>
  <c r="L267" i="17" s="1"/>
  <c r="L391" i="17" s="1"/>
  <c r="M253" i="17"/>
  <c r="M157" i="17"/>
  <c r="L357" i="17"/>
  <c r="G211" i="17"/>
  <c r="G279" i="17" s="1"/>
  <c r="E410" i="17"/>
  <c r="E412" i="17" s="1"/>
  <c r="E463" i="17" s="1"/>
  <c r="F418" i="17"/>
  <c r="F325" i="17"/>
  <c r="D293" i="17"/>
  <c r="D307" i="17"/>
  <c r="I168" i="17"/>
  <c r="H275" i="17"/>
  <c r="K255" i="17"/>
  <c r="K257" i="17" s="1"/>
  <c r="K259" i="17" s="1"/>
  <c r="K261" i="17" s="1"/>
  <c r="K166" i="17"/>
  <c r="K276" i="17" s="1"/>
  <c r="K394" i="17" s="1"/>
  <c r="L320" i="17"/>
  <c r="L440" i="17" s="1"/>
  <c r="M149" i="17"/>
  <c r="M320" i="17" s="1"/>
  <c r="M440" i="17" s="1"/>
  <c r="G269" i="17"/>
  <c r="H161" i="17"/>
  <c r="H356" i="17"/>
  <c r="H363" i="17"/>
  <c r="G189" i="17" l="1"/>
  <c r="G287" i="17" s="1"/>
  <c r="G418" i="17" s="1"/>
  <c r="I368" i="17"/>
  <c r="J368" i="17" s="1"/>
  <c r="K172" i="17"/>
  <c r="K280" i="17" s="1"/>
  <c r="K408" i="17" s="1"/>
  <c r="H211" i="17"/>
  <c r="H279" i="17" s="1"/>
  <c r="J272" i="17"/>
  <c r="J159" i="17"/>
  <c r="M158" i="17"/>
  <c r="L358" i="17"/>
  <c r="I232" i="17"/>
  <c r="I233" i="17" s="1"/>
  <c r="J228" i="17" s="1"/>
  <c r="J230" i="17" s="1"/>
  <c r="I363" i="17"/>
  <c r="G401" i="17"/>
  <c r="G392" i="17"/>
  <c r="G397" i="17" s="1"/>
  <c r="G411" i="17" s="1"/>
  <c r="K447" i="17"/>
  <c r="K450" i="17" s="1"/>
  <c r="I275" i="17"/>
  <c r="J168" i="17"/>
  <c r="G407" i="17"/>
  <c r="G312" i="17"/>
  <c r="G364" i="17" s="1"/>
  <c r="G241" i="17"/>
  <c r="M254" i="17"/>
  <c r="M165" i="17"/>
  <c r="M270" i="17" s="1"/>
  <c r="M393" i="17" s="1"/>
  <c r="M164" i="17"/>
  <c r="M265" i="17" s="1"/>
  <c r="M389" i="17" s="1"/>
  <c r="M163" i="17"/>
  <c r="M266" i="17" s="1"/>
  <c r="M390" i="17" s="1"/>
  <c r="M160" i="17"/>
  <c r="M267" i="17" s="1"/>
  <c r="M391" i="17" s="1"/>
  <c r="L255" i="17"/>
  <c r="L257" i="17" s="1"/>
  <c r="L259" i="17" s="1"/>
  <c r="L261" i="17" s="1"/>
  <c r="L166" i="17"/>
  <c r="L276" i="17" s="1"/>
  <c r="L394" i="17" s="1"/>
  <c r="E380" i="17"/>
  <c r="E461" i="17" s="1"/>
  <c r="K121" i="17"/>
  <c r="J181" i="17"/>
  <c r="J324" i="17" s="1"/>
  <c r="J420" i="17" s="1"/>
  <c r="J167" i="17"/>
  <c r="J277" i="17" s="1"/>
  <c r="J395" i="17" s="1"/>
  <c r="I201" i="17"/>
  <c r="J197" i="17"/>
  <c r="J199" i="17" s="1"/>
  <c r="I209" i="17"/>
  <c r="J205" i="17"/>
  <c r="J207" i="17" s="1"/>
  <c r="F412" i="17"/>
  <c r="F463" i="17" s="1"/>
  <c r="G285" i="17"/>
  <c r="H183" i="17"/>
  <c r="F224" i="17"/>
  <c r="G219" i="17" s="1"/>
  <c r="G221" i="17" s="1"/>
  <c r="I356" i="17"/>
  <c r="I161" i="17"/>
  <c r="H269" i="17"/>
  <c r="H273" i="17" s="1"/>
  <c r="H403" i="17"/>
  <c r="H285" i="17"/>
  <c r="I262" i="17"/>
  <c r="I162" i="17"/>
  <c r="I271" i="17" s="1"/>
  <c r="I402" i="17" s="1"/>
  <c r="D240" i="17"/>
  <c r="D244" i="17" s="1"/>
  <c r="D245" i="17" s="1"/>
  <c r="H352" i="17"/>
  <c r="F441" i="17"/>
  <c r="F443" i="17" s="1"/>
  <c r="F451" i="17" s="1"/>
  <c r="F274" i="17"/>
  <c r="F286" i="17" s="1"/>
  <c r="F365" i="17"/>
  <c r="H386" i="17"/>
  <c r="M319" i="17"/>
  <c r="M357" i="17" s="1"/>
  <c r="M186" i="17"/>
  <c r="M187" i="17" s="1"/>
  <c r="M396" i="17" s="1"/>
  <c r="I182" i="17"/>
  <c r="J180" i="17" s="1"/>
  <c r="H366" i="17"/>
  <c r="H407" i="17"/>
  <c r="H312" i="17"/>
  <c r="H241" i="17"/>
  <c r="E240" i="17"/>
  <c r="E244" i="17" s="1"/>
  <c r="M358" i="17"/>
  <c r="G273" i="17"/>
  <c r="M172" i="17" l="1"/>
  <c r="M280" i="17" s="1"/>
  <c r="M408" i="17" s="1"/>
  <c r="L172" i="17"/>
  <c r="L280" i="17" s="1"/>
  <c r="G325" i="17"/>
  <c r="K313" i="17"/>
  <c r="K368" i="17" s="1"/>
  <c r="K272" i="17"/>
  <c r="K159" i="17"/>
  <c r="J232" i="17"/>
  <c r="J233" i="17" s="1"/>
  <c r="K228" i="17" s="1"/>
  <c r="K230" i="17" s="1"/>
  <c r="H364" i="17"/>
  <c r="G365" i="17"/>
  <c r="G441" i="17"/>
  <c r="G443" i="17" s="1"/>
  <c r="G451" i="17" s="1"/>
  <c r="G274" i="17"/>
  <c r="G286" i="17" s="1"/>
  <c r="I366" i="17"/>
  <c r="F293" i="17"/>
  <c r="F307" i="17"/>
  <c r="I386" i="17"/>
  <c r="I269" i="17"/>
  <c r="I273" i="17" s="1"/>
  <c r="J161" i="17"/>
  <c r="H405" i="17"/>
  <c r="H189" i="17"/>
  <c r="H287" i="17" s="1"/>
  <c r="K205" i="17"/>
  <c r="K207" i="17" s="1"/>
  <c r="J209" i="17"/>
  <c r="K197" i="17"/>
  <c r="K199" i="17" s="1"/>
  <c r="J201" i="17"/>
  <c r="K181" i="17"/>
  <c r="K324" i="17" s="1"/>
  <c r="K420" i="17" s="1"/>
  <c r="K167" i="17"/>
  <c r="K277" i="17" s="1"/>
  <c r="K395" i="17" s="1"/>
  <c r="L121" i="17"/>
  <c r="L447" i="17"/>
  <c r="L450" i="17" s="1"/>
  <c r="K168" i="17"/>
  <c r="J275" i="17"/>
  <c r="I183" i="17"/>
  <c r="G410" i="17"/>
  <c r="G412" i="17" s="1"/>
  <c r="G463" i="17" s="1"/>
  <c r="C465" i="17" s="1"/>
  <c r="J182" i="17"/>
  <c r="K180" i="17" s="1"/>
  <c r="H441" i="17"/>
  <c r="H443" i="17" s="1"/>
  <c r="H451" i="17" s="1"/>
  <c r="H274" i="17"/>
  <c r="H286" i="17" s="1"/>
  <c r="F380" i="17"/>
  <c r="F461" i="17" s="1"/>
  <c r="I352" i="17"/>
  <c r="E245" i="17"/>
  <c r="D246" i="17"/>
  <c r="H392" i="17"/>
  <c r="H397" i="17" s="1"/>
  <c r="H411" i="17" s="1"/>
  <c r="H401" i="17"/>
  <c r="J356" i="17"/>
  <c r="G223" i="17"/>
  <c r="G235" i="17" s="1"/>
  <c r="G242" i="17" s="1"/>
  <c r="M313" i="17"/>
  <c r="M255" i="17"/>
  <c r="M257" i="17" s="1"/>
  <c r="M259" i="17" s="1"/>
  <c r="M261" i="17" s="1"/>
  <c r="M166" i="17"/>
  <c r="M276" i="17" s="1"/>
  <c r="M394" i="17" s="1"/>
  <c r="J262" i="17"/>
  <c r="J162" i="17"/>
  <c r="J271" i="17" s="1"/>
  <c r="J402" i="17" s="1"/>
  <c r="I403" i="17"/>
  <c r="J363" i="17"/>
  <c r="I211" i="17"/>
  <c r="I279" i="17" s="1"/>
  <c r="I285" i="17" s="1"/>
  <c r="H410" i="17" l="1"/>
  <c r="H412" i="17" s="1"/>
  <c r="H463" i="17" s="1"/>
  <c r="G224" i="17"/>
  <c r="H219" i="17" s="1"/>
  <c r="H221" i="17" s="1"/>
  <c r="H223" i="17" s="1"/>
  <c r="H235" i="17" s="1"/>
  <c r="H242" i="17" s="1"/>
  <c r="J211" i="17"/>
  <c r="J279" i="17" s="1"/>
  <c r="J407" i="17" s="1"/>
  <c r="L408" i="17"/>
  <c r="L313" i="17"/>
  <c r="L368" i="17" s="1"/>
  <c r="M368" i="17" s="1"/>
  <c r="L272" i="17"/>
  <c r="L159" i="17"/>
  <c r="J183" i="17"/>
  <c r="J405" i="17" s="1"/>
  <c r="K232" i="17"/>
  <c r="K233" i="17" s="1"/>
  <c r="L228" i="17" s="1"/>
  <c r="L230" i="17" s="1"/>
  <c r="K356" i="17"/>
  <c r="D294" i="17"/>
  <c r="D247" i="17"/>
  <c r="J352" i="17"/>
  <c r="H293" i="17"/>
  <c r="H307" i="17"/>
  <c r="K182" i="17"/>
  <c r="L180" i="17" s="1"/>
  <c r="J403" i="17"/>
  <c r="J285" i="17"/>
  <c r="K262" i="17"/>
  <c r="K162" i="17"/>
  <c r="K271" i="17" s="1"/>
  <c r="K402" i="17" s="1"/>
  <c r="M121" i="17"/>
  <c r="L181" i="17"/>
  <c r="L324" i="17" s="1"/>
  <c r="L420" i="17" s="1"/>
  <c r="L167" i="17"/>
  <c r="L277" i="17" s="1"/>
  <c r="L395" i="17" s="1"/>
  <c r="K201" i="17"/>
  <c r="L197" i="17"/>
  <c r="L199" i="17" s="1"/>
  <c r="K209" i="17"/>
  <c r="L205" i="17"/>
  <c r="L207" i="17" s="1"/>
  <c r="I401" i="17"/>
  <c r="I392" i="17"/>
  <c r="F240" i="17"/>
  <c r="F244" i="17" s="1"/>
  <c r="F245" i="17" s="1"/>
  <c r="G380" i="17"/>
  <c r="G461" i="17" s="1"/>
  <c r="I397" i="17"/>
  <c r="I411" i="17" s="1"/>
  <c r="I407" i="17"/>
  <c r="I312" i="17"/>
  <c r="I364" i="17" s="1"/>
  <c r="I241" i="17"/>
  <c r="K363" i="17"/>
  <c r="J386" i="17"/>
  <c r="M447" i="17"/>
  <c r="E246" i="17"/>
  <c r="I405" i="17"/>
  <c r="I189" i="17"/>
  <c r="I287" i="17" s="1"/>
  <c r="K275" i="17"/>
  <c r="L168" i="17"/>
  <c r="M159" i="17"/>
  <c r="J312" i="17"/>
  <c r="J241" i="17"/>
  <c r="H418" i="17"/>
  <c r="H325" i="17"/>
  <c r="K161" i="17"/>
  <c r="J269" i="17"/>
  <c r="I441" i="17"/>
  <c r="I443" i="17" s="1"/>
  <c r="I451" i="17" s="1"/>
  <c r="I274" i="17"/>
  <c r="I286" i="17" s="1"/>
  <c r="J366" i="17"/>
  <c r="G307" i="17"/>
  <c r="G293" i="17"/>
  <c r="H365" i="17"/>
  <c r="J189" i="17" l="1"/>
  <c r="J287" i="17" s="1"/>
  <c r="H224" i="17"/>
  <c r="I219" i="17" s="1"/>
  <c r="I221" i="17" s="1"/>
  <c r="M272" i="17"/>
  <c r="L232" i="17"/>
  <c r="L233" i="17" s="1"/>
  <c r="M228" i="17" s="1"/>
  <c r="M230" i="17" s="1"/>
  <c r="H380" i="17"/>
  <c r="H461" i="17" s="1"/>
  <c r="G240" i="17"/>
  <c r="G244" i="17" s="1"/>
  <c r="G245" i="17" s="1"/>
  <c r="K366" i="17"/>
  <c r="I307" i="17"/>
  <c r="I293" i="17"/>
  <c r="J392" i="17"/>
  <c r="J397" i="17" s="1"/>
  <c r="J411" i="17" s="1"/>
  <c r="J401" i="17"/>
  <c r="J410" i="17" s="1"/>
  <c r="M262" i="17"/>
  <c r="M162" i="17"/>
  <c r="M271" i="17" s="1"/>
  <c r="M402" i="17" s="1"/>
  <c r="M168" i="17"/>
  <c r="M275" i="17" s="1"/>
  <c r="L275" i="17"/>
  <c r="I418" i="17"/>
  <c r="I325" i="17"/>
  <c r="J418" i="17"/>
  <c r="J325" i="17"/>
  <c r="F246" i="17"/>
  <c r="M205" i="17"/>
  <c r="M207" i="17" s="1"/>
  <c r="M209" i="17" s="1"/>
  <c r="L209" i="17"/>
  <c r="M197" i="17"/>
  <c r="M199" i="17" s="1"/>
  <c r="M201" i="17" s="1"/>
  <c r="L201" i="17"/>
  <c r="L211" i="17" s="1"/>
  <c r="L279" i="17" s="1"/>
  <c r="M181" i="17"/>
  <c r="M324" i="17" s="1"/>
  <c r="M420" i="17" s="1"/>
  <c r="M167" i="17"/>
  <c r="M277" i="17" s="1"/>
  <c r="M395" i="17" s="1"/>
  <c r="K386" i="17"/>
  <c r="H240" i="17"/>
  <c r="H244" i="17" s="1"/>
  <c r="D308" i="17"/>
  <c r="D309" i="17" s="1"/>
  <c r="D315" i="17" s="1"/>
  <c r="D322" i="17" s="1"/>
  <c r="D295" i="17"/>
  <c r="K183" i="17"/>
  <c r="J364" i="17"/>
  <c r="I365" i="17"/>
  <c r="K269" i="17"/>
  <c r="K273" i="17" s="1"/>
  <c r="L161" i="17"/>
  <c r="L262" i="17"/>
  <c r="L162" i="17"/>
  <c r="L271" i="17" s="1"/>
  <c r="L402" i="17" s="1"/>
  <c r="K403" i="17"/>
  <c r="E294" i="17"/>
  <c r="E247" i="17"/>
  <c r="I223" i="17"/>
  <c r="I235" i="17" s="1"/>
  <c r="I242" i="17" s="1"/>
  <c r="L363" i="17"/>
  <c r="L182" i="17"/>
  <c r="M180" i="17" s="1"/>
  <c r="K352" i="17"/>
  <c r="L356" i="17"/>
  <c r="J273" i="17"/>
  <c r="I410" i="17"/>
  <c r="I412" i="17" s="1"/>
  <c r="I463" i="17" s="1"/>
  <c r="K211" i="17"/>
  <c r="K279" i="17" s="1"/>
  <c r="K285" i="17" s="1"/>
  <c r="M211" i="17" l="1"/>
  <c r="M279" i="17" s="1"/>
  <c r="L183" i="17"/>
  <c r="I224" i="17"/>
  <c r="J219" i="17" s="1"/>
  <c r="J221" i="17" s="1"/>
  <c r="J224" i="17" s="1"/>
  <c r="K219" i="17" s="1"/>
  <c r="K221" i="17" s="1"/>
  <c r="K441" i="17"/>
  <c r="K443" i="17" s="1"/>
  <c r="K451" i="17" s="1"/>
  <c r="K274" i="17"/>
  <c r="K286" i="17" s="1"/>
  <c r="M232" i="17"/>
  <c r="M233" i="17" s="1"/>
  <c r="M356" i="17"/>
  <c r="L352" i="17"/>
  <c r="M182" i="17"/>
  <c r="M183" i="17" s="1"/>
  <c r="M161" i="17"/>
  <c r="M269" i="17" s="1"/>
  <c r="M273" i="17" s="1"/>
  <c r="L269" i="17"/>
  <c r="L273" i="17" s="1"/>
  <c r="I380" i="17"/>
  <c r="I461" i="17" s="1"/>
  <c r="K405" i="17"/>
  <c r="K189" i="17"/>
  <c r="K287" i="17" s="1"/>
  <c r="D298" i="17"/>
  <c r="D297" i="17"/>
  <c r="D296" i="17"/>
  <c r="L407" i="17"/>
  <c r="L312" i="17"/>
  <c r="L241" i="17"/>
  <c r="F294" i="17"/>
  <c r="F247" i="17"/>
  <c r="L403" i="17"/>
  <c r="L285" i="17"/>
  <c r="I240" i="17"/>
  <c r="I244" i="17" s="1"/>
  <c r="L366" i="17"/>
  <c r="J412" i="17"/>
  <c r="J463" i="17" s="1"/>
  <c r="K407" i="17"/>
  <c r="K312" i="17"/>
  <c r="K241" i="17"/>
  <c r="J441" i="17"/>
  <c r="J443" i="17" s="1"/>
  <c r="J451" i="17" s="1"/>
  <c r="J274" i="17"/>
  <c r="J286" i="17" s="1"/>
  <c r="L405" i="17"/>
  <c r="L189" i="17"/>
  <c r="L287" i="17" s="1"/>
  <c r="M363" i="17"/>
  <c r="J223" i="17"/>
  <c r="J235" i="17" s="1"/>
  <c r="J242" i="17" s="1"/>
  <c r="E308" i="17"/>
  <c r="E309" i="17" s="1"/>
  <c r="E315" i="17" s="1"/>
  <c r="E322" i="17" s="1"/>
  <c r="E295" i="17"/>
  <c r="L386" i="17"/>
  <c r="K401" i="17"/>
  <c r="K410" i="17" s="1"/>
  <c r="K392" i="17"/>
  <c r="K364" i="17"/>
  <c r="J365" i="17"/>
  <c r="D417" i="17"/>
  <c r="D421" i="17" s="1"/>
  <c r="D327" i="17"/>
  <c r="D333" i="17" s="1"/>
  <c r="M407" i="17"/>
  <c r="M312" i="17"/>
  <c r="M241" i="17"/>
  <c r="G246" i="17"/>
  <c r="H245" i="17"/>
  <c r="M403" i="17"/>
  <c r="M285" i="17"/>
  <c r="M386" i="17"/>
  <c r="K397" i="17"/>
  <c r="K411" i="17" s="1"/>
  <c r="M405" i="17" l="1"/>
  <c r="M189" i="17"/>
  <c r="M287" i="17" s="1"/>
  <c r="G294" i="17"/>
  <c r="G247" i="17"/>
  <c r="J380" i="17"/>
  <c r="J461" i="17" s="1"/>
  <c r="L441" i="17"/>
  <c r="L443" i="17" s="1"/>
  <c r="L451" i="17" s="1"/>
  <c r="L274" i="17"/>
  <c r="L286" i="17" s="1"/>
  <c r="E296" i="17"/>
  <c r="L418" i="17"/>
  <c r="L325" i="17"/>
  <c r="J293" i="17"/>
  <c r="J307" i="17"/>
  <c r="M366" i="17"/>
  <c r="M401" i="17"/>
  <c r="M410" i="17" s="1"/>
  <c r="M392" i="17"/>
  <c r="M397" i="17"/>
  <c r="M411" i="17" s="1"/>
  <c r="D339" i="17"/>
  <c r="D340" i="17" s="1"/>
  <c r="D343" i="17" s="1"/>
  <c r="D344" i="17" s="1"/>
  <c r="D299" i="17"/>
  <c r="D300" i="17" s="1"/>
  <c r="M441" i="17"/>
  <c r="M443" i="17" s="1"/>
  <c r="M274" i="17"/>
  <c r="M286" i="17" s="1"/>
  <c r="I245" i="17"/>
  <c r="H246" i="17"/>
  <c r="D464" i="17"/>
  <c r="L364" i="17"/>
  <c r="K365" i="17"/>
  <c r="E417" i="17"/>
  <c r="E421" i="17" s="1"/>
  <c r="E464" i="17" s="1"/>
  <c r="E327" i="17"/>
  <c r="E333" i="17" s="1"/>
  <c r="K223" i="17"/>
  <c r="K235" i="17" s="1"/>
  <c r="K242" i="17" s="1"/>
  <c r="F308" i="17"/>
  <c r="F309" i="17" s="1"/>
  <c r="F315" i="17" s="1"/>
  <c r="F322" i="17" s="1"/>
  <c r="F295" i="17"/>
  <c r="K418" i="17"/>
  <c r="K325" i="17"/>
  <c r="L392" i="17"/>
  <c r="L401" i="17"/>
  <c r="L410" i="17" s="1"/>
  <c r="M352" i="17"/>
  <c r="K307" i="17"/>
  <c r="K293" i="17"/>
  <c r="K412" i="17"/>
  <c r="K463" i="17" s="1"/>
  <c r="L397" i="17"/>
  <c r="L411" i="17" s="1"/>
  <c r="D367" i="17" l="1"/>
  <c r="E342" i="17"/>
  <c r="F417" i="17"/>
  <c r="F421" i="17" s="1"/>
  <c r="F464" i="17" s="1"/>
  <c r="F327" i="17"/>
  <c r="F333" i="17" s="1"/>
  <c r="M364" i="17"/>
  <c r="M365" i="17" s="1"/>
  <c r="L365" i="17"/>
  <c r="I246" i="17"/>
  <c r="D432" i="17"/>
  <c r="E432" i="17" s="1"/>
  <c r="E434" i="17" s="1"/>
  <c r="M448" i="17" s="1"/>
  <c r="M450" i="17" s="1"/>
  <c r="M451" i="17" s="1"/>
  <c r="C453" i="17" s="1"/>
  <c r="C467" i="17" s="1"/>
  <c r="L293" i="17"/>
  <c r="L307" i="17"/>
  <c r="M418" i="17"/>
  <c r="M325" i="17"/>
  <c r="K224" i="17"/>
  <c r="L219" i="17" s="1"/>
  <c r="L221" i="17" s="1"/>
  <c r="E298" i="17"/>
  <c r="K240" i="17"/>
  <c r="K244" i="17" s="1"/>
  <c r="F296" i="17"/>
  <c r="K380" i="17"/>
  <c r="K461" i="17" s="1"/>
  <c r="H294" i="17"/>
  <c r="H247" i="17"/>
  <c r="M307" i="17"/>
  <c r="M293" i="17"/>
  <c r="D369" i="17"/>
  <c r="D355" i="17"/>
  <c r="J240" i="17"/>
  <c r="J244" i="17" s="1"/>
  <c r="J245" i="17" s="1"/>
  <c r="G308" i="17"/>
  <c r="G309" i="17" s="1"/>
  <c r="G315" i="17" s="1"/>
  <c r="G322" i="17" s="1"/>
  <c r="G295" i="17"/>
  <c r="L412" i="17"/>
  <c r="L463" i="17" s="1"/>
  <c r="M412" i="17"/>
  <c r="M463" i="17" s="1"/>
  <c r="E297" i="17"/>
  <c r="J477" i="17" l="1"/>
  <c r="A15" i="15" s="1"/>
  <c r="C470" i="17"/>
  <c r="B6" i="15" s="1"/>
  <c r="K245" i="17"/>
  <c r="J246" i="17"/>
  <c r="E339" i="17"/>
  <c r="E340" i="17" s="1"/>
  <c r="E343" i="17" s="1"/>
  <c r="E344" i="17" s="1"/>
  <c r="E299" i="17"/>
  <c r="G417" i="17"/>
  <c r="G421" i="17" s="1"/>
  <c r="G327" i="17"/>
  <c r="G333" i="17" s="1"/>
  <c r="D378" i="17"/>
  <c r="D459" i="17" s="1"/>
  <c r="D360" i="17"/>
  <c r="M240" i="17"/>
  <c r="L240" i="17"/>
  <c r="I294" i="17"/>
  <c r="I247" i="17"/>
  <c r="M380" i="17"/>
  <c r="M461" i="17" s="1"/>
  <c r="G296" i="17"/>
  <c r="H308" i="17"/>
  <c r="H309" i="17" s="1"/>
  <c r="H315" i="17" s="1"/>
  <c r="H322" i="17" s="1"/>
  <c r="H295" i="17"/>
  <c r="L223" i="17"/>
  <c r="L235" i="17" s="1"/>
  <c r="L242" i="17" s="1"/>
  <c r="L380" i="17"/>
  <c r="L461" i="17" s="1"/>
  <c r="D371" i="17"/>
  <c r="D379" i="17"/>
  <c r="D460" i="17" s="1"/>
  <c r="M477" i="17" l="1"/>
  <c r="M478" i="17"/>
  <c r="M479" i="17"/>
  <c r="M480" i="17"/>
  <c r="M485" i="17"/>
  <c r="M487" i="17" s="1"/>
  <c r="M489" i="17" s="1"/>
  <c r="M486" i="17"/>
  <c r="G24" i="15"/>
  <c r="G25" i="15"/>
  <c r="G15" i="15"/>
  <c r="G16" i="15"/>
  <c r="G17" i="15"/>
  <c r="G18" i="15"/>
  <c r="D373" i="17"/>
  <c r="H296" i="17"/>
  <c r="F297" i="17"/>
  <c r="E300" i="17"/>
  <c r="F298" i="17"/>
  <c r="J294" i="17"/>
  <c r="J247" i="17"/>
  <c r="E367" i="17"/>
  <c r="F342" i="17"/>
  <c r="H417" i="17"/>
  <c r="H421" i="17" s="1"/>
  <c r="H464" i="17" s="1"/>
  <c r="H327" i="17"/>
  <c r="H333" i="17" s="1"/>
  <c r="I308" i="17"/>
  <c r="I309" i="17" s="1"/>
  <c r="I315" i="17" s="1"/>
  <c r="I322" i="17" s="1"/>
  <c r="I295" i="17"/>
  <c r="G464" i="17"/>
  <c r="K246" i="17"/>
  <c r="L244" i="17"/>
  <c r="L245" i="17" s="1"/>
  <c r="L224" i="17"/>
  <c r="M219" i="17" s="1"/>
  <c r="M221" i="17" s="1"/>
  <c r="B42" i="12"/>
  <c r="B23" i="13"/>
  <c r="C22" i="13"/>
  <c r="C21" i="13"/>
  <c r="B21" i="13"/>
  <c r="M482" i="17" l="1"/>
  <c r="M483" i="17" s="1"/>
  <c r="M484" i="17" s="1"/>
  <c r="M223" i="17"/>
  <c r="M235" i="17" s="1"/>
  <c r="M242" i="17" s="1"/>
  <c r="M244" i="17" s="1"/>
  <c r="M245" i="17" s="1"/>
  <c r="M246" i="17" s="1"/>
  <c r="L246" i="17"/>
  <c r="I296" i="17"/>
  <c r="F339" i="17"/>
  <c r="F340" i="17" s="1"/>
  <c r="F343" i="17" s="1"/>
  <c r="F344" i="17" s="1"/>
  <c r="F299" i="17"/>
  <c r="K294" i="17"/>
  <c r="K247" i="17"/>
  <c r="I417" i="17"/>
  <c r="I421" i="17" s="1"/>
  <c r="I327" i="17"/>
  <c r="I333" i="17" s="1"/>
  <c r="E379" i="17"/>
  <c r="E460" i="17" s="1"/>
  <c r="J308" i="17"/>
  <c r="J309" i="17" s="1"/>
  <c r="J315" i="17" s="1"/>
  <c r="J322" i="17" s="1"/>
  <c r="J295" i="17"/>
  <c r="E369" i="17"/>
  <c r="E371" i="17" s="1"/>
  <c r="E355" i="17"/>
  <c r="E17" i="8"/>
  <c r="F17" i="8"/>
  <c r="G17" i="8"/>
  <c r="H17" i="8"/>
  <c r="D17" i="8"/>
  <c r="M294" i="17" l="1"/>
  <c r="M247" i="17"/>
  <c r="J296" i="17"/>
  <c r="J417" i="17"/>
  <c r="J421" i="17" s="1"/>
  <c r="J464" i="17" s="1"/>
  <c r="J327" i="17"/>
  <c r="J333" i="17" s="1"/>
  <c r="I464" i="17"/>
  <c r="K308" i="17"/>
  <c r="K309" i="17" s="1"/>
  <c r="K315" i="17" s="1"/>
  <c r="K322" i="17" s="1"/>
  <c r="K295" i="17"/>
  <c r="F300" i="17"/>
  <c r="M224" i="17"/>
  <c r="E360" i="17"/>
  <c r="E373" i="17" s="1"/>
  <c r="E378" i="17"/>
  <c r="E459" i="17" s="1"/>
  <c r="F367" i="17"/>
  <c r="G342" i="17"/>
  <c r="G298" i="17"/>
  <c r="G297" i="17"/>
  <c r="L294" i="17"/>
  <c r="L247" i="17"/>
  <c r="G31" i="12"/>
  <c r="E16" i="5" s="1"/>
  <c r="F16" i="5" s="1"/>
  <c r="G16" i="5" s="1"/>
  <c r="H16" i="5" s="1"/>
  <c r="I16" i="5" s="1"/>
  <c r="J16" i="5" s="1"/>
  <c r="K16" i="5" s="1"/>
  <c r="L16" i="5" s="1"/>
  <c r="M16" i="5" s="1"/>
  <c r="N16" i="5" s="1"/>
  <c r="D36" i="8"/>
  <c r="D55" i="5"/>
  <c r="E43" i="5"/>
  <c r="D22" i="5"/>
  <c r="E6" i="4"/>
  <c r="E8" i="4" s="1"/>
  <c r="E9" i="4" s="1"/>
  <c r="E14" i="5" s="1"/>
  <c r="F6" i="4"/>
  <c r="F8" i="4" s="1"/>
  <c r="F7" i="4"/>
  <c r="G7" i="4"/>
  <c r="H7" i="4"/>
  <c r="K17" i="12"/>
  <c r="I7" i="4"/>
  <c r="L17" i="12"/>
  <c r="M17" i="12" s="1"/>
  <c r="J7" i="4"/>
  <c r="E7" i="4"/>
  <c r="H39" i="12"/>
  <c r="I39" i="12"/>
  <c r="J39" i="12"/>
  <c r="K39" i="12" s="1"/>
  <c r="L39" i="12" s="1"/>
  <c r="M39" i="12" s="1"/>
  <c r="N39" i="12" s="1"/>
  <c r="O39" i="12" s="1"/>
  <c r="P39" i="12" s="1"/>
  <c r="N35" i="12"/>
  <c r="O35" i="12"/>
  <c r="P35" i="12"/>
  <c r="B70" i="12"/>
  <c r="K7" i="4" l="1"/>
  <c r="N17" i="12"/>
  <c r="F9" i="4"/>
  <c r="F14" i="5" s="1"/>
  <c r="F6" i="5"/>
  <c r="F7" i="5" s="1"/>
  <c r="F10" i="5" s="1"/>
  <c r="E6" i="5"/>
  <c r="E7" i="5" s="1"/>
  <c r="E10" i="5" s="1"/>
  <c r="G6" i="4"/>
  <c r="D16" i="15"/>
  <c r="L308" i="17"/>
  <c r="L309" i="17" s="1"/>
  <c r="L315" i="17" s="1"/>
  <c r="L322" i="17" s="1"/>
  <c r="L295" i="17"/>
  <c r="G339" i="17"/>
  <c r="G340" i="17" s="1"/>
  <c r="G343" i="17" s="1"/>
  <c r="G344" i="17" s="1"/>
  <c r="G299" i="17"/>
  <c r="G300" i="17" s="1"/>
  <c r="F379" i="17"/>
  <c r="F460" i="17" s="1"/>
  <c r="F369" i="17"/>
  <c r="F371" i="17" s="1"/>
  <c r="F355" i="17"/>
  <c r="K296" i="17"/>
  <c r="M308" i="17"/>
  <c r="M309" i="17" s="1"/>
  <c r="M315" i="17" s="1"/>
  <c r="M322" i="17" s="1"/>
  <c r="M295" i="17"/>
  <c r="K417" i="17"/>
  <c r="K421" i="17" s="1"/>
  <c r="K464" i="17" s="1"/>
  <c r="K327" i="17"/>
  <c r="K333" i="17" s="1"/>
  <c r="F37" i="12"/>
  <c r="J35" i="12"/>
  <c r="K35" i="12"/>
  <c r="I41" i="5" s="1"/>
  <c r="I62" i="10" s="1"/>
  <c r="L35" i="12"/>
  <c r="J41" i="5" s="1"/>
  <c r="J62" i="10" s="1"/>
  <c r="K34" i="12"/>
  <c r="L34" i="12" s="1"/>
  <c r="M34" i="12" s="1"/>
  <c r="N34" i="12" s="1"/>
  <c r="O34" i="12" s="1"/>
  <c r="P34" i="12" s="1"/>
  <c r="H31" i="12"/>
  <c r="I31" i="12"/>
  <c r="J31" i="12" s="1"/>
  <c r="K31" i="12" s="1"/>
  <c r="L31" i="12" s="1"/>
  <c r="M31" i="12" s="1"/>
  <c r="N31" i="12" s="1"/>
  <c r="O31" i="12" s="1"/>
  <c r="P31" i="12" s="1"/>
  <c r="B51" i="12"/>
  <c r="D62" i="10"/>
  <c r="F38" i="12"/>
  <c r="D16" i="8"/>
  <c r="D63" i="10" s="1"/>
  <c r="D18" i="8"/>
  <c r="D13" i="7" s="1"/>
  <c r="E13" i="7" s="1"/>
  <c r="F13" i="7" s="1"/>
  <c r="G13" i="7" s="1"/>
  <c r="H13" i="7" s="1"/>
  <c r="I13" i="7" s="1"/>
  <c r="E6" i="6"/>
  <c r="E7" i="6"/>
  <c r="E8" i="6"/>
  <c r="E9" i="6"/>
  <c r="E10" i="6" s="1"/>
  <c r="E12" i="6" s="1"/>
  <c r="E68" i="10" s="1"/>
  <c r="E11" i="6"/>
  <c r="E41" i="5"/>
  <c r="E62" i="10"/>
  <c r="E16" i="8"/>
  <c r="E63" i="10" s="1"/>
  <c r="E18" i="8"/>
  <c r="E15" i="6"/>
  <c r="E16" i="6"/>
  <c r="E17" i="6"/>
  <c r="E11" i="5"/>
  <c r="E18" i="6" s="1"/>
  <c r="E12" i="5"/>
  <c r="E19" i="6" s="1"/>
  <c r="E8" i="5"/>
  <c r="E20" i="6" s="1"/>
  <c r="E21" i="6"/>
  <c r="E9" i="5"/>
  <c r="E22" i="6" s="1"/>
  <c r="E13" i="5"/>
  <c r="E23" i="6" s="1"/>
  <c r="E24" i="6"/>
  <c r="E25" i="6"/>
  <c r="E28" i="6"/>
  <c r="E29" i="6"/>
  <c r="E15" i="5"/>
  <c r="E30" i="6" s="1"/>
  <c r="E31" i="6"/>
  <c r="D35" i="5"/>
  <c r="E33" i="5" s="1"/>
  <c r="E35" i="5" s="1"/>
  <c r="E36" i="5"/>
  <c r="D42" i="5"/>
  <c r="D63" i="5" s="1"/>
  <c r="E58" i="5" s="1"/>
  <c r="E60" i="5" s="1"/>
  <c r="E62" i="5" s="1"/>
  <c r="E40" i="5"/>
  <c r="E42" i="5"/>
  <c r="E44" i="5" s="1"/>
  <c r="E17" i="5"/>
  <c r="E33" i="6" s="1"/>
  <c r="E12" i="8" s="1"/>
  <c r="E34" i="6"/>
  <c r="E35" i="6"/>
  <c r="F6" i="6"/>
  <c r="F7" i="6"/>
  <c r="F8" i="6"/>
  <c r="F9" i="6"/>
  <c r="F10" i="6"/>
  <c r="F12" i="6" s="1"/>
  <c r="F68" i="10" s="1"/>
  <c r="F11" i="6"/>
  <c r="F41" i="5"/>
  <c r="F62" i="10" s="1"/>
  <c r="F16" i="8"/>
  <c r="F18" i="8"/>
  <c r="F15" i="6"/>
  <c r="F16" i="6"/>
  <c r="F17" i="6"/>
  <c r="F11" i="5"/>
  <c r="F18" i="6"/>
  <c r="F12" i="5"/>
  <c r="F19" i="6" s="1"/>
  <c r="F8" i="5"/>
  <c r="F20" i="6" s="1"/>
  <c r="F21" i="6"/>
  <c r="B9" i="5"/>
  <c r="F13" i="5"/>
  <c r="F23" i="6" s="1"/>
  <c r="F25" i="6"/>
  <c r="F28" i="6"/>
  <c r="F29" i="6"/>
  <c r="F15" i="5"/>
  <c r="F30" i="6"/>
  <c r="F31" i="6"/>
  <c r="F36" i="5"/>
  <c r="F17" i="5"/>
  <c r="G17" i="5" s="1"/>
  <c r="F33" i="6"/>
  <c r="F34" i="6"/>
  <c r="F35" i="6"/>
  <c r="G7" i="6"/>
  <c r="G9" i="6"/>
  <c r="G11" i="6"/>
  <c r="G41" i="5"/>
  <c r="N57" i="10" s="1"/>
  <c r="G62" i="10"/>
  <c r="G16" i="8"/>
  <c r="G63" i="10" s="1"/>
  <c r="G18" i="8"/>
  <c r="G16" i="6"/>
  <c r="G17" i="6"/>
  <c r="G21" i="6"/>
  <c r="G25" i="6"/>
  <c r="G28" i="6"/>
  <c r="G31" i="6"/>
  <c r="G36" i="5"/>
  <c r="G34" i="6"/>
  <c r="G35" i="6"/>
  <c r="H7" i="6"/>
  <c r="H9" i="6"/>
  <c r="H11" i="6"/>
  <c r="H41" i="5"/>
  <c r="H62" i="10"/>
  <c r="H16" i="8"/>
  <c r="H18" i="8"/>
  <c r="H63" i="10" s="1"/>
  <c r="H16" i="6"/>
  <c r="H17" i="6"/>
  <c r="H21" i="6"/>
  <c r="H25" i="6"/>
  <c r="H28" i="6"/>
  <c r="H31" i="6"/>
  <c r="H36" i="5"/>
  <c r="H34" i="6"/>
  <c r="H35" i="6"/>
  <c r="I7" i="6"/>
  <c r="I9" i="6"/>
  <c r="I11" i="6"/>
  <c r="K38" i="12"/>
  <c r="J16" i="8" s="1"/>
  <c r="I16" i="8"/>
  <c r="K40" i="12"/>
  <c r="L40" i="12" s="1"/>
  <c r="I18" i="8"/>
  <c r="I63" i="10" s="1"/>
  <c r="I16" i="6"/>
  <c r="I17" i="6"/>
  <c r="I21" i="6"/>
  <c r="I25" i="6"/>
  <c r="I28" i="6"/>
  <c r="I31" i="6"/>
  <c r="I36" i="5"/>
  <c r="I34" i="6"/>
  <c r="I35" i="6"/>
  <c r="J7" i="6"/>
  <c r="J9" i="6"/>
  <c r="J11" i="6"/>
  <c r="L38" i="12"/>
  <c r="M38" i="12" s="1"/>
  <c r="J16" i="6"/>
  <c r="J17" i="6"/>
  <c r="J21" i="6"/>
  <c r="J25" i="6"/>
  <c r="J28" i="6"/>
  <c r="J15" i="5"/>
  <c r="J30" i="6"/>
  <c r="J31" i="6"/>
  <c r="J36" i="5"/>
  <c r="J34" i="6"/>
  <c r="J35" i="6"/>
  <c r="K7" i="6"/>
  <c r="K9" i="6"/>
  <c r="K11" i="6"/>
  <c r="K41" i="5"/>
  <c r="K62" i="10"/>
  <c r="K16" i="6"/>
  <c r="K17" i="6"/>
  <c r="K21" i="6"/>
  <c r="K25" i="6"/>
  <c r="K28" i="6"/>
  <c r="K15" i="5"/>
  <c r="K30" i="6"/>
  <c r="K31" i="6"/>
  <c r="K36" i="5"/>
  <c r="K34" i="6"/>
  <c r="K35" i="6"/>
  <c r="L7" i="6"/>
  <c r="L9" i="6"/>
  <c r="L11" i="6"/>
  <c r="L41" i="5"/>
  <c r="L62" i="10" s="1"/>
  <c r="L16" i="6"/>
  <c r="L17" i="6"/>
  <c r="L21" i="6"/>
  <c r="L28" i="6"/>
  <c r="L15" i="5"/>
  <c r="L30" i="6" s="1"/>
  <c r="L31" i="6"/>
  <c r="L36" i="5"/>
  <c r="L34" i="6"/>
  <c r="L35" i="6"/>
  <c r="M7" i="6"/>
  <c r="M9" i="6"/>
  <c r="M11" i="6"/>
  <c r="M41" i="5"/>
  <c r="M62" i="10"/>
  <c r="M16" i="6"/>
  <c r="M17" i="6"/>
  <c r="M21" i="6"/>
  <c r="M28" i="6"/>
  <c r="M15" i="5"/>
  <c r="M30" i="6"/>
  <c r="M31" i="6"/>
  <c r="M36" i="5"/>
  <c r="M34" i="6"/>
  <c r="M35" i="6"/>
  <c r="N7" i="6"/>
  <c r="N9" i="6"/>
  <c r="N11" i="6"/>
  <c r="N55" i="10"/>
  <c r="N56" i="10"/>
  <c r="N41" i="5"/>
  <c r="N62" i="10"/>
  <c r="N16" i="6"/>
  <c r="N17" i="6"/>
  <c r="N21" i="6"/>
  <c r="N28" i="6"/>
  <c r="N15" i="5"/>
  <c r="N30" i="6" s="1"/>
  <c r="N31" i="6"/>
  <c r="N36" i="5"/>
  <c r="N34" i="6"/>
  <c r="N35" i="6"/>
  <c r="D68" i="10"/>
  <c r="D59" i="10"/>
  <c r="D69" i="10" s="1"/>
  <c r="D64" i="10"/>
  <c r="E55" i="10"/>
  <c r="F55" i="10" s="1"/>
  <c r="E56" i="10"/>
  <c r="E57" i="10"/>
  <c r="F57" i="10" s="1"/>
  <c r="G57" i="10" s="1"/>
  <c r="H57" i="10" s="1"/>
  <c r="I57" i="10" s="1"/>
  <c r="J57" i="10" s="1"/>
  <c r="K57" i="10" s="1"/>
  <c r="L57" i="10" s="1"/>
  <c r="M57" i="10" s="1"/>
  <c r="E58" i="10"/>
  <c r="F58" i="10" s="1"/>
  <c r="G58" i="10" s="1"/>
  <c r="H58" i="10" s="1"/>
  <c r="I58" i="10" s="1"/>
  <c r="J58" i="10" s="1"/>
  <c r="K58" i="10" s="1"/>
  <c r="L58" i="10" s="1"/>
  <c r="M58" i="10" s="1"/>
  <c r="D47" i="10"/>
  <c r="D48" i="10"/>
  <c r="D21" i="8"/>
  <c r="D49" i="10" s="1"/>
  <c r="E40" i="6"/>
  <c r="E41" i="6"/>
  <c r="E21" i="5"/>
  <c r="E21" i="8" s="1"/>
  <c r="E49" i="10" s="1"/>
  <c r="E20" i="5"/>
  <c r="E22" i="5"/>
  <c r="E23" i="5" s="1"/>
  <c r="E26" i="5"/>
  <c r="E81" i="10" s="1"/>
  <c r="E39" i="6"/>
  <c r="E53" i="5"/>
  <c r="E50" i="5"/>
  <c r="E59" i="5"/>
  <c r="E61" i="5"/>
  <c r="E48" i="10"/>
  <c r="F40" i="6"/>
  <c r="F41" i="6"/>
  <c r="N38" i="12" l="1"/>
  <c r="L16" i="8"/>
  <c r="F33" i="5"/>
  <c r="F35" i="5" s="1"/>
  <c r="E37" i="5"/>
  <c r="E46" i="5" s="1"/>
  <c r="E32" i="6" s="1"/>
  <c r="M40" i="12"/>
  <c r="J18" i="8"/>
  <c r="J13" i="7" s="1"/>
  <c r="H17" i="5"/>
  <c r="G33" i="6"/>
  <c r="F63" i="10"/>
  <c r="H6" i="4"/>
  <c r="G8" i="4"/>
  <c r="F40" i="5"/>
  <c r="F42" i="5" s="1"/>
  <c r="D65" i="10"/>
  <c r="D22" i="7"/>
  <c r="E22" i="7" s="1"/>
  <c r="F22" i="7" s="1"/>
  <c r="G22" i="7" s="1"/>
  <c r="H22" i="7" s="1"/>
  <c r="I22" i="7" s="1"/>
  <c r="J22" i="7" s="1"/>
  <c r="K22" i="7" s="1"/>
  <c r="L22" i="7" s="1"/>
  <c r="E32" i="13"/>
  <c r="D19" i="8"/>
  <c r="D46" i="10" s="1"/>
  <c r="K16" i="8"/>
  <c r="E26" i="6"/>
  <c r="O17" i="12"/>
  <c r="L7" i="4"/>
  <c r="E27" i="5"/>
  <c r="E29" i="5" s="1"/>
  <c r="D17" i="15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F9" i="5"/>
  <c r="E59" i="10"/>
  <c r="E69" i="10" s="1"/>
  <c r="E70" i="10" s="1"/>
  <c r="F56" i="10"/>
  <c r="G56" i="10" s="1"/>
  <c r="H56" i="10" s="1"/>
  <c r="I56" i="10" s="1"/>
  <c r="J56" i="10" s="1"/>
  <c r="K56" i="10" s="1"/>
  <c r="L56" i="10" s="1"/>
  <c r="M56" i="10" s="1"/>
  <c r="G369" i="17"/>
  <c r="G355" i="17"/>
  <c r="M296" i="17"/>
  <c r="L417" i="17"/>
  <c r="L421" i="17" s="1"/>
  <c r="L464" i="17" s="1"/>
  <c r="L327" i="17"/>
  <c r="L333" i="17" s="1"/>
  <c r="G367" i="17"/>
  <c r="H342" i="17"/>
  <c r="M417" i="17"/>
  <c r="M421" i="17" s="1"/>
  <c r="M327" i="17"/>
  <c r="M333" i="17" s="1"/>
  <c r="F360" i="17"/>
  <c r="F373" i="17" s="1"/>
  <c r="F378" i="17"/>
  <c r="F459" i="17" s="1"/>
  <c r="H298" i="17"/>
  <c r="H297" i="17"/>
  <c r="L296" i="17"/>
  <c r="D70" i="10"/>
  <c r="F59" i="10"/>
  <c r="F69" i="10" s="1"/>
  <c r="F70" i="10" s="1"/>
  <c r="G55" i="10"/>
  <c r="D50" i="10"/>
  <c r="D9" i="13" s="1"/>
  <c r="F20" i="5"/>
  <c r="F22" i="5" s="1"/>
  <c r="F21" i="5"/>
  <c r="F26" i="5"/>
  <c r="F81" i="10" s="1"/>
  <c r="F27" i="5"/>
  <c r="F39" i="6"/>
  <c r="F53" i="5"/>
  <c r="E63" i="5"/>
  <c r="F58" i="5"/>
  <c r="F60" i="5" s="1"/>
  <c r="F59" i="5"/>
  <c r="F61" i="5"/>
  <c r="F12" i="8"/>
  <c r="F48" i="10"/>
  <c r="F21" i="8"/>
  <c r="F49" i="10" s="1"/>
  <c r="G40" i="6"/>
  <c r="G41" i="6"/>
  <c r="B11" i="12"/>
  <c r="G21" i="5"/>
  <c r="G21" i="8" s="1"/>
  <c r="G49" i="10" s="1"/>
  <c r="G26" i="5"/>
  <c r="G81" i="10" s="1"/>
  <c r="G27" i="5"/>
  <c r="G39" i="6"/>
  <c r="G48" i="10" s="1"/>
  <c r="G53" i="5"/>
  <c r="G59" i="5"/>
  <c r="G61" i="5"/>
  <c r="G12" i="8"/>
  <c r="H40" i="6"/>
  <c r="H41" i="6"/>
  <c r="H21" i="5"/>
  <c r="H26" i="5"/>
  <c r="H81" i="10" s="1"/>
  <c r="H39" i="6"/>
  <c r="H53" i="5"/>
  <c r="H59" i="5"/>
  <c r="H61" i="5"/>
  <c r="H48" i="10"/>
  <c r="H21" i="8"/>
  <c r="H49" i="10" s="1"/>
  <c r="I40" i="6"/>
  <c r="I41" i="6"/>
  <c r="I21" i="5"/>
  <c r="K41" i="12"/>
  <c r="I26" i="5"/>
  <c r="I81" i="10" s="1"/>
  <c r="I27" i="5"/>
  <c r="I39" i="6"/>
  <c r="I53" i="5"/>
  <c r="I59" i="5"/>
  <c r="I61" i="5"/>
  <c r="I48" i="10"/>
  <c r="I21" i="8"/>
  <c r="I49" i="10" s="1"/>
  <c r="J40" i="6"/>
  <c r="J41" i="6"/>
  <c r="J21" i="5"/>
  <c r="L41" i="12"/>
  <c r="J17" i="8" s="1"/>
  <c r="J26" i="5"/>
  <c r="J81" i="10" s="1"/>
  <c r="J39" i="6"/>
  <c r="J53" i="5"/>
  <c r="J59" i="5"/>
  <c r="J61" i="5"/>
  <c r="J48" i="10"/>
  <c r="J21" i="8"/>
  <c r="J49" i="10" s="1"/>
  <c r="K40" i="6"/>
  <c r="K41" i="6"/>
  <c r="K21" i="5"/>
  <c r="K39" i="6"/>
  <c r="K53" i="5"/>
  <c r="K59" i="5"/>
  <c r="K61" i="5"/>
  <c r="K48" i="10"/>
  <c r="K21" i="8"/>
  <c r="K49" i="10" s="1"/>
  <c r="L40" i="6"/>
  <c r="L41" i="6"/>
  <c r="L21" i="5"/>
  <c r="L39" i="6"/>
  <c r="L48" i="10" s="1"/>
  <c r="L53" i="5"/>
  <c r="L59" i="5"/>
  <c r="L61" i="5"/>
  <c r="L21" i="8"/>
  <c r="L49" i="10"/>
  <c r="M40" i="6"/>
  <c r="M41" i="6"/>
  <c r="M21" i="5"/>
  <c r="M39" i="6"/>
  <c r="M53" i="5"/>
  <c r="M59" i="5"/>
  <c r="M61" i="5"/>
  <c r="M48" i="10"/>
  <c r="M21" i="8"/>
  <c r="M49" i="10" s="1"/>
  <c r="N40" i="6"/>
  <c r="N41" i="6"/>
  <c r="N21" i="5"/>
  <c r="N39" i="6"/>
  <c r="N53" i="5"/>
  <c r="N59" i="5"/>
  <c r="N61" i="5"/>
  <c r="N48" i="10"/>
  <c r="N21" i="8"/>
  <c r="N49" i="10" s="1"/>
  <c r="H29" i="10"/>
  <c r="H32" i="10"/>
  <c r="H33" i="10"/>
  <c r="H35" i="10"/>
  <c r="H38" i="10"/>
  <c r="H16" i="10"/>
  <c r="H17" i="10"/>
  <c r="E29" i="10"/>
  <c r="E30" i="10"/>
  <c r="E31" i="10"/>
  <c r="E32" i="10"/>
  <c r="E33" i="10"/>
  <c r="E34" i="10"/>
  <c r="E35" i="10"/>
  <c r="E36" i="10"/>
  <c r="E37" i="10"/>
  <c r="E38" i="10"/>
  <c r="E16" i="10"/>
  <c r="E17" i="10"/>
  <c r="E21" i="10"/>
  <c r="E24" i="10"/>
  <c r="E25" i="10"/>
  <c r="F29" i="10"/>
  <c r="F32" i="10"/>
  <c r="F33" i="10"/>
  <c r="F35" i="10"/>
  <c r="F37" i="10"/>
  <c r="F38" i="10"/>
  <c r="F16" i="10"/>
  <c r="F17" i="10"/>
  <c r="F24" i="10"/>
  <c r="F25" i="10"/>
  <c r="G29" i="10"/>
  <c r="G32" i="10"/>
  <c r="G33" i="10"/>
  <c r="G35" i="10"/>
  <c r="G37" i="10"/>
  <c r="G38" i="10"/>
  <c r="G16" i="10"/>
  <c r="G17" i="10"/>
  <c r="G25" i="10"/>
  <c r="I29" i="10"/>
  <c r="I32" i="10"/>
  <c r="I33" i="10"/>
  <c r="I35" i="10"/>
  <c r="I38" i="10"/>
  <c r="I16" i="10"/>
  <c r="I17" i="10"/>
  <c r="I25" i="10"/>
  <c r="J29" i="10"/>
  <c r="J32" i="10"/>
  <c r="J33" i="10"/>
  <c r="J35" i="10"/>
  <c r="J38" i="10"/>
  <c r="J16" i="10"/>
  <c r="J17" i="10"/>
  <c r="J24" i="10"/>
  <c r="K29" i="10"/>
  <c r="K32" i="10"/>
  <c r="K33" i="10"/>
  <c r="K35" i="10"/>
  <c r="K38" i="10"/>
  <c r="K16" i="10"/>
  <c r="K17" i="10"/>
  <c r="K24" i="10"/>
  <c r="L29" i="10"/>
  <c r="L32" i="10"/>
  <c r="L33" i="10"/>
  <c r="L35" i="10"/>
  <c r="L38" i="10"/>
  <c r="L16" i="10"/>
  <c r="L17" i="10"/>
  <c r="L24" i="10"/>
  <c r="M29" i="10"/>
  <c r="M32" i="10"/>
  <c r="M33" i="10"/>
  <c r="M35" i="10"/>
  <c r="M38" i="10"/>
  <c r="M16" i="10"/>
  <c r="M17" i="10"/>
  <c r="M24" i="10"/>
  <c r="N29" i="10"/>
  <c r="N32" i="10"/>
  <c r="N33" i="10"/>
  <c r="N35" i="10"/>
  <c r="N38" i="10"/>
  <c r="N16" i="10"/>
  <c r="N17" i="10"/>
  <c r="N24" i="10"/>
  <c r="D11" i="13"/>
  <c r="D26" i="8"/>
  <c r="D17" i="7" s="1"/>
  <c r="E26" i="8"/>
  <c r="E28" i="8" s="1"/>
  <c r="F26" i="8"/>
  <c r="G26" i="8"/>
  <c r="H26" i="8"/>
  <c r="I26" i="8"/>
  <c r="I28" i="8" s="1"/>
  <c r="J26" i="8"/>
  <c r="K26" i="8"/>
  <c r="L26" i="8"/>
  <c r="M26" i="8"/>
  <c r="M28" i="8" s="1"/>
  <c r="N26" i="8"/>
  <c r="D18" i="7"/>
  <c r="D34" i="8"/>
  <c r="D11" i="7" s="1"/>
  <c r="E34" i="8"/>
  <c r="F34" i="8" s="1"/>
  <c r="G34" i="8" s="1"/>
  <c r="H34" i="8" s="1"/>
  <c r="I34" i="8" s="1"/>
  <c r="J34" i="8" s="1"/>
  <c r="K34" i="8" s="1"/>
  <c r="L34" i="8" s="1"/>
  <c r="M34" i="8" s="1"/>
  <c r="N34" i="8" s="1"/>
  <c r="D32" i="8"/>
  <c r="E33" i="8"/>
  <c r="F33" i="8"/>
  <c r="G33" i="8" s="1"/>
  <c r="H33" i="8" s="1"/>
  <c r="I33" i="8" s="1"/>
  <c r="J33" i="8" s="1"/>
  <c r="K33" i="8" s="1"/>
  <c r="L33" i="8" s="1"/>
  <c r="M33" i="8" s="1"/>
  <c r="N33" i="8" s="1"/>
  <c r="E35" i="8"/>
  <c r="F35" i="8"/>
  <c r="G35" i="8" s="1"/>
  <c r="H35" i="8" s="1"/>
  <c r="I35" i="8" s="1"/>
  <c r="J35" i="8" s="1"/>
  <c r="K35" i="8" s="1"/>
  <c r="L35" i="8" s="1"/>
  <c r="M35" i="8" s="1"/>
  <c r="N35" i="8" s="1"/>
  <c r="N23" i="8"/>
  <c r="N27" i="8"/>
  <c r="N28" i="8"/>
  <c r="M23" i="8"/>
  <c r="M27" i="8"/>
  <c r="L23" i="8"/>
  <c r="L27" i="8"/>
  <c r="L28" i="8"/>
  <c r="K23" i="8"/>
  <c r="K27" i="8"/>
  <c r="K28" i="8"/>
  <c r="J23" i="8"/>
  <c r="J27" i="8"/>
  <c r="J28" i="8"/>
  <c r="I23" i="8"/>
  <c r="I27" i="8"/>
  <c r="H23" i="8"/>
  <c r="H27" i="8"/>
  <c r="H28" i="8"/>
  <c r="G23" i="8"/>
  <c r="G27" i="8"/>
  <c r="G28" i="8"/>
  <c r="F23" i="8"/>
  <c r="F27" i="8"/>
  <c r="F28" i="8" s="1"/>
  <c r="E23" i="8"/>
  <c r="E27" i="8"/>
  <c r="D33" i="8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D35" i="8"/>
  <c r="D9" i="7" s="1"/>
  <c r="D22" i="8"/>
  <c r="D23" i="8"/>
  <c r="D24" i="8" s="1"/>
  <c r="D27" i="8"/>
  <c r="D12" i="7"/>
  <c r="E12" i="7" s="1"/>
  <c r="F12" i="7" s="1"/>
  <c r="G12" i="7" s="1"/>
  <c r="H12" i="7" s="1"/>
  <c r="D7" i="7"/>
  <c r="D10" i="7"/>
  <c r="B22" i="12"/>
  <c r="D10" i="10" s="1"/>
  <c r="E10" i="10" s="1"/>
  <c r="D5" i="12"/>
  <c r="F5" i="12"/>
  <c r="G5" i="12" s="1"/>
  <c r="H5" i="12" s="1"/>
  <c r="I5" i="12" s="1"/>
  <c r="J5" i="12" s="1"/>
  <c r="K5" i="12" s="1"/>
  <c r="L5" i="12" s="1"/>
  <c r="M5" i="12" s="1"/>
  <c r="D15" i="10"/>
  <c r="D16" i="10"/>
  <c r="D17" i="10"/>
  <c r="D18" i="10"/>
  <c r="D19" i="10"/>
  <c r="D20" i="10"/>
  <c r="D21" i="10"/>
  <c r="D22" i="10"/>
  <c r="D23" i="10"/>
  <c r="D24" i="10"/>
  <c r="D25" i="10"/>
  <c r="D29" i="10"/>
  <c r="D30" i="10"/>
  <c r="D31" i="10"/>
  <c r="D32" i="10"/>
  <c r="D33" i="10"/>
  <c r="D34" i="10"/>
  <c r="D35" i="10"/>
  <c r="D36" i="10"/>
  <c r="D37" i="10"/>
  <c r="D38" i="10"/>
  <c r="E51" i="5"/>
  <c r="E52" i="5" s="1"/>
  <c r="E54" i="5" s="1"/>
  <c r="E65" i="5" s="1"/>
  <c r="E8" i="9" s="1"/>
  <c r="F51" i="5"/>
  <c r="G51" i="5"/>
  <c r="H51" i="5"/>
  <c r="I51" i="5"/>
  <c r="J51" i="5"/>
  <c r="K51" i="5"/>
  <c r="L51" i="5"/>
  <c r="M51" i="5"/>
  <c r="N51" i="5"/>
  <c r="D25" i="7"/>
  <c r="F43" i="5"/>
  <c r="G43" i="5"/>
  <c r="H43" i="5"/>
  <c r="I43" i="5"/>
  <c r="J43" i="5"/>
  <c r="K43" i="5"/>
  <c r="L43" i="5"/>
  <c r="M43" i="5"/>
  <c r="N43" i="5"/>
  <c r="G16" i="12"/>
  <c r="H16" i="12"/>
  <c r="I16" i="12" s="1"/>
  <c r="J16" i="12" s="1"/>
  <c r="K16" i="12" s="1"/>
  <c r="L16" i="12" s="1"/>
  <c r="M16" i="12" s="1"/>
  <c r="N16" i="12" s="1"/>
  <c r="O16" i="12" s="1"/>
  <c r="P16" i="12" s="1"/>
  <c r="F23" i="5" l="1"/>
  <c r="G20" i="5"/>
  <c r="G22" i="5" s="1"/>
  <c r="E38" i="6"/>
  <c r="E47" i="10" s="1"/>
  <c r="E22" i="8"/>
  <c r="K13" i="7"/>
  <c r="F62" i="5"/>
  <c r="F63" i="5" s="1"/>
  <c r="G58" i="5" s="1"/>
  <c r="G60" i="5" s="1"/>
  <c r="J27" i="5"/>
  <c r="J25" i="10" s="1"/>
  <c r="I12" i="7"/>
  <c r="J12" i="7" s="1"/>
  <c r="D28" i="8"/>
  <c r="D30" i="8" s="1"/>
  <c r="J32" i="13"/>
  <c r="K18" i="8"/>
  <c r="N40" i="12"/>
  <c r="G32" i="13"/>
  <c r="E55" i="5"/>
  <c r="F50" i="5" s="1"/>
  <c r="F52" i="5" s="1"/>
  <c r="E7" i="9"/>
  <c r="E11" i="8"/>
  <c r="G40" i="5"/>
  <c r="G42" i="5" s="1"/>
  <c r="F44" i="5"/>
  <c r="F37" i="5"/>
  <c r="G33" i="5"/>
  <c r="G35" i="5" s="1"/>
  <c r="G9" i="4"/>
  <c r="G6" i="5"/>
  <c r="I6" i="4"/>
  <c r="H8" i="4"/>
  <c r="J63" i="10"/>
  <c r="E18" i="7"/>
  <c r="I32" i="13"/>
  <c r="D71" i="10"/>
  <c r="M7" i="4"/>
  <c r="P17" i="12"/>
  <c r="N7" i="4" s="1"/>
  <c r="I17" i="8"/>
  <c r="F32" i="13"/>
  <c r="K63" i="10"/>
  <c r="H33" i="6"/>
  <c r="I17" i="5"/>
  <c r="M41" i="12"/>
  <c r="D24" i="7"/>
  <c r="E24" i="7" s="1"/>
  <c r="F24" i="7" s="1"/>
  <c r="G24" i="7" s="1"/>
  <c r="H27" i="5"/>
  <c r="H25" i="10" s="1"/>
  <c r="E36" i="6"/>
  <c r="E64" i="10" s="1"/>
  <c r="E65" i="10" s="1"/>
  <c r="E71" i="10" s="1"/>
  <c r="O38" i="12"/>
  <c r="M16" i="8"/>
  <c r="H32" i="13"/>
  <c r="E16" i="15" a="1"/>
  <c r="L25" i="6"/>
  <c r="M25" i="6"/>
  <c r="G9" i="5"/>
  <c r="F22" i="6"/>
  <c r="E11" i="7"/>
  <c r="F11" i="7" s="1"/>
  <c r="G11" i="7" s="1"/>
  <c r="H11" i="7" s="1"/>
  <c r="I11" i="7" s="1"/>
  <c r="J11" i="7" s="1"/>
  <c r="K11" i="7" s="1"/>
  <c r="L11" i="7" s="1"/>
  <c r="M11" i="7" s="1"/>
  <c r="N11" i="7" s="1"/>
  <c r="D7" i="10"/>
  <c r="D6" i="13" s="1"/>
  <c r="E17" i="7"/>
  <c r="F17" i="7" s="1"/>
  <c r="G17" i="7" s="1"/>
  <c r="H17" i="7" s="1"/>
  <c r="I17" i="7" s="1"/>
  <c r="J17" i="7" s="1"/>
  <c r="K17" i="7" s="1"/>
  <c r="L17" i="7" s="1"/>
  <c r="M17" i="7" s="1"/>
  <c r="N17" i="7" s="1"/>
  <c r="D19" i="7"/>
  <c r="D9" i="10" s="1"/>
  <c r="D8" i="13" s="1"/>
  <c r="E9" i="7"/>
  <c r="F9" i="7" s="1"/>
  <c r="G9" i="7" s="1"/>
  <c r="H9" i="7" s="1"/>
  <c r="I9" i="7" s="1"/>
  <c r="J9" i="7" s="1"/>
  <c r="K9" i="7" s="1"/>
  <c r="L9" i="7" s="1"/>
  <c r="M9" i="7" s="1"/>
  <c r="N9" i="7" s="1"/>
  <c r="D14" i="7"/>
  <c r="D37" i="8"/>
  <c r="E32" i="8"/>
  <c r="H339" i="17"/>
  <c r="H340" i="17" s="1"/>
  <c r="H343" i="17" s="1"/>
  <c r="H344" i="17" s="1"/>
  <c r="H299" i="17"/>
  <c r="M464" i="17"/>
  <c r="C422" i="17"/>
  <c r="C466" i="17" s="1"/>
  <c r="G379" i="17"/>
  <c r="G460" i="17" s="1"/>
  <c r="G371" i="17"/>
  <c r="G378" i="17"/>
  <c r="G459" i="17" s="1"/>
  <c r="G360" i="17"/>
  <c r="H55" i="10"/>
  <c r="G59" i="10"/>
  <c r="G69" i="10" s="1"/>
  <c r="E5" i="13"/>
  <c r="F10" i="10"/>
  <c r="D5" i="13"/>
  <c r="F24" i="6"/>
  <c r="D39" i="10"/>
  <c r="D26" i="10"/>
  <c r="D41" i="10" s="1"/>
  <c r="E39" i="10"/>
  <c r="E3" i="2"/>
  <c r="F3" i="2" s="1"/>
  <c r="G3" i="2" s="1"/>
  <c r="H3" i="2" s="1"/>
  <c r="I3" i="2" s="1"/>
  <c r="J3" i="2" s="1"/>
  <c r="K3" i="2" s="1"/>
  <c r="L3" i="2" s="1"/>
  <c r="M3" i="2" s="1"/>
  <c r="N3" i="2" s="1"/>
  <c r="D477" i="17" l="1"/>
  <c r="I15" i="15" s="1"/>
  <c r="G62" i="5"/>
  <c r="G63" i="5" s="1"/>
  <c r="H58" i="5" s="1"/>
  <c r="H60" i="5" s="1"/>
  <c r="F46" i="5"/>
  <c r="F32" i="6" s="1"/>
  <c r="G44" i="5"/>
  <c r="H40" i="5"/>
  <c r="H42" i="5" s="1"/>
  <c r="H24" i="7"/>
  <c r="K17" i="8"/>
  <c r="K26" i="5"/>
  <c r="N41" i="12"/>
  <c r="K12" i="7"/>
  <c r="I33" i="6"/>
  <c r="J17" i="5"/>
  <c r="E19" i="7"/>
  <c r="E9" i="10" s="1"/>
  <c r="E8" i="13" s="1"/>
  <c r="H12" i="8"/>
  <c r="H37" i="10"/>
  <c r="H9" i="4"/>
  <c r="H6" i="5"/>
  <c r="F54" i="5"/>
  <c r="F65" i="5" s="1"/>
  <c r="F8" i="9" s="1"/>
  <c r="J6" i="4"/>
  <c r="I8" i="4"/>
  <c r="D40" i="8"/>
  <c r="D41" i="8" s="1"/>
  <c r="G7" i="5"/>
  <c r="G13" i="5"/>
  <c r="G23" i="6" s="1"/>
  <c r="G11" i="5"/>
  <c r="G18" i="6" s="1"/>
  <c r="G8" i="5"/>
  <c r="G20" i="6" s="1"/>
  <c r="G12" i="5"/>
  <c r="G19" i="6" s="1"/>
  <c r="L18" i="8"/>
  <c r="L63" i="10" s="1"/>
  <c r="O40" i="12"/>
  <c r="P38" i="12"/>
  <c r="N16" i="8"/>
  <c r="G14" i="5"/>
  <c r="G29" i="6" s="1"/>
  <c r="G6" i="6"/>
  <c r="G8" i="6" s="1"/>
  <c r="G10" i="6" s="1"/>
  <c r="G12" i="6" s="1"/>
  <c r="G68" i="10" s="1"/>
  <c r="G15" i="5"/>
  <c r="G30" i="6" s="1"/>
  <c r="G24" i="10" s="1"/>
  <c r="G23" i="5"/>
  <c r="H20" i="5"/>
  <c r="H22" i="5" s="1"/>
  <c r="G70" i="10"/>
  <c r="H33" i="5"/>
  <c r="H35" i="5" s="1"/>
  <c r="G37" i="5"/>
  <c r="G46" i="5" s="1"/>
  <c r="G32" i="6" s="1"/>
  <c r="M22" i="7"/>
  <c r="F29" i="5"/>
  <c r="F34" i="10"/>
  <c r="E16" i="15"/>
  <c r="E18" i="15"/>
  <c r="E20" i="15"/>
  <c r="E22" i="15"/>
  <c r="E24" i="15"/>
  <c r="E26" i="15"/>
  <c r="E28" i="15"/>
  <c r="E30" i="15"/>
  <c r="E32" i="15"/>
  <c r="E34" i="15"/>
  <c r="E36" i="15"/>
  <c r="E38" i="15"/>
  <c r="E17" i="15"/>
  <c r="E19" i="15"/>
  <c r="E21" i="15"/>
  <c r="E23" i="15"/>
  <c r="E25" i="15"/>
  <c r="E27" i="15"/>
  <c r="E29" i="15"/>
  <c r="E31" i="15"/>
  <c r="E33" i="15"/>
  <c r="E35" i="15"/>
  <c r="E37" i="15"/>
  <c r="N25" i="6"/>
  <c r="H9" i="5"/>
  <c r="G22" i="6"/>
  <c r="F30" i="10"/>
  <c r="F21" i="10"/>
  <c r="E39" i="8"/>
  <c r="D23" i="7"/>
  <c r="E7" i="7"/>
  <c r="F32" i="8"/>
  <c r="G32" i="8" s="1"/>
  <c r="H32" i="8" s="1"/>
  <c r="I32" i="8" s="1"/>
  <c r="J32" i="8" s="1"/>
  <c r="K32" i="8" s="1"/>
  <c r="L32" i="8" s="1"/>
  <c r="M32" i="8" s="1"/>
  <c r="N32" i="8" s="1"/>
  <c r="G373" i="17"/>
  <c r="H367" i="17"/>
  <c r="I342" i="17"/>
  <c r="I297" i="17"/>
  <c r="H300" i="17"/>
  <c r="I298" i="17"/>
  <c r="H59" i="10"/>
  <c r="H69" i="10" s="1"/>
  <c r="I55" i="10"/>
  <c r="G10" i="10"/>
  <c r="F5" i="13"/>
  <c r="D26" i="7"/>
  <c r="D28" i="7" s="1"/>
  <c r="D8" i="10"/>
  <c r="D7" i="13" s="1"/>
  <c r="F31" i="10"/>
  <c r="F26" i="6"/>
  <c r="B29" i="12"/>
  <c r="E27" i="6"/>
  <c r="E37" i="6" s="1"/>
  <c r="E15" i="10"/>
  <c r="F15" i="10"/>
  <c r="E18" i="10"/>
  <c r="F18" i="10"/>
  <c r="G18" i="10"/>
  <c r="E19" i="10"/>
  <c r="E26" i="10" s="1"/>
  <c r="E14" i="13" s="1"/>
  <c r="F19" i="10"/>
  <c r="F26" i="10" s="1"/>
  <c r="G19" i="10"/>
  <c r="E20" i="10"/>
  <c r="F20" i="10"/>
  <c r="G20" i="10"/>
  <c r="E22" i="10"/>
  <c r="F22" i="10"/>
  <c r="G22" i="10"/>
  <c r="E23" i="10"/>
  <c r="F23" i="10"/>
  <c r="G23" i="10"/>
  <c r="H62" i="5" l="1"/>
  <c r="H63" i="5"/>
  <c r="I58" i="5" s="1"/>
  <c r="I60" i="5" s="1"/>
  <c r="I6" i="5"/>
  <c r="I9" i="4"/>
  <c r="F38" i="6"/>
  <c r="F47" i="10" s="1"/>
  <c r="F22" i="8"/>
  <c r="K6" i="4"/>
  <c r="J8" i="4"/>
  <c r="L17" i="8"/>
  <c r="L12" i="7" s="1"/>
  <c r="O41" i="12"/>
  <c r="L26" i="5"/>
  <c r="N22" i="7"/>
  <c r="P40" i="12"/>
  <c r="N18" i="8" s="1"/>
  <c r="N63" i="10" s="1"/>
  <c r="M18" i="8"/>
  <c r="M63" i="10" s="1"/>
  <c r="F55" i="5"/>
  <c r="G50" i="5" s="1"/>
  <c r="G52" i="5" s="1"/>
  <c r="K81" i="10"/>
  <c r="K27" i="5"/>
  <c r="G7" i="9"/>
  <c r="G11" i="8"/>
  <c r="G36" i="10"/>
  <c r="I33" i="5"/>
  <c r="I35" i="5" s="1"/>
  <c r="H37" i="5"/>
  <c r="H7" i="5"/>
  <c r="H11" i="5"/>
  <c r="H18" i="6" s="1"/>
  <c r="H18" i="10" s="1"/>
  <c r="H12" i="5"/>
  <c r="H19" i="6" s="1"/>
  <c r="H19" i="10" s="1"/>
  <c r="H8" i="5"/>
  <c r="H20" i="6" s="1"/>
  <c r="H20" i="10" s="1"/>
  <c r="H13" i="5"/>
  <c r="H23" i="6" s="1"/>
  <c r="H22" i="10" s="1"/>
  <c r="H14" i="5"/>
  <c r="H29" i="6" s="1"/>
  <c r="H15" i="5"/>
  <c r="H30" i="6" s="1"/>
  <c r="H24" i="10" s="1"/>
  <c r="H6" i="6"/>
  <c r="H8" i="6" s="1"/>
  <c r="H10" i="6" s="1"/>
  <c r="H12" i="6" s="1"/>
  <c r="H68" i="10" s="1"/>
  <c r="H70" i="10" s="1"/>
  <c r="H44" i="5"/>
  <c r="I40" i="5"/>
  <c r="I42" i="5" s="1"/>
  <c r="I20" i="5"/>
  <c r="I22" i="5" s="1"/>
  <c r="H23" i="5"/>
  <c r="G34" i="10"/>
  <c r="G29" i="5"/>
  <c r="G10" i="5"/>
  <c r="G24" i="6" s="1"/>
  <c r="G15" i="6"/>
  <c r="G15" i="10" s="1"/>
  <c r="F36" i="6"/>
  <c r="F64" i="10" s="1"/>
  <c r="F65" i="10" s="1"/>
  <c r="F71" i="10" s="1"/>
  <c r="F7" i="9"/>
  <c r="F11" i="8"/>
  <c r="F18" i="7" s="1"/>
  <c r="F36" i="10"/>
  <c r="F39" i="10" s="1"/>
  <c r="F14" i="13" s="1"/>
  <c r="G36" i="6"/>
  <c r="J33" i="6"/>
  <c r="K17" i="5"/>
  <c r="L13" i="7"/>
  <c r="M13" i="7" s="1"/>
  <c r="N13" i="7" s="1"/>
  <c r="I37" i="10"/>
  <c r="I12" i="8"/>
  <c r="I24" i="7" s="1"/>
  <c r="I18" i="15"/>
  <c r="I20" i="15"/>
  <c r="I22" i="15"/>
  <c r="I24" i="15"/>
  <c r="I26" i="15"/>
  <c r="I28" i="15"/>
  <c r="I30" i="15"/>
  <c r="I32" i="15"/>
  <c r="I34" i="15"/>
  <c r="I36" i="15"/>
  <c r="I38" i="15"/>
  <c r="I40" i="15"/>
  <c r="I42" i="15"/>
  <c r="I44" i="15"/>
  <c r="I46" i="15"/>
  <c r="I48" i="15"/>
  <c r="I50" i="15"/>
  <c r="I52" i="15"/>
  <c r="I54" i="15"/>
  <c r="I56" i="15"/>
  <c r="I58" i="15"/>
  <c r="I60" i="15"/>
  <c r="I62" i="15"/>
  <c r="I64" i="15"/>
  <c r="I66" i="15"/>
  <c r="I68" i="15"/>
  <c r="I70" i="15"/>
  <c r="I72" i="15"/>
  <c r="I74" i="15"/>
  <c r="I76" i="15"/>
  <c r="I78" i="15"/>
  <c r="I80" i="15"/>
  <c r="I82" i="15"/>
  <c r="I84" i="15"/>
  <c r="I86" i="15"/>
  <c r="I88" i="15"/>
  <c r="I90" i="15"/>
  <c r="I92" i="15"/>
  <c r="I94" i="15"/>
  <c r="I96" i="15"/>
  <c r="I98" i="15"/>
  <c r="I100" i="15"/>
  <c r="I102" i="15"/>
  <c r="I104" i="15"/>
  <c r="I106" i="15"/>
  <c r="I108" i="15"/>
  <c r="I110" i="15"/>
  <c r="I112" i="15"/>
  <c r="I114" i="15"/>
  <c r="I17" i="15"/>
  <c r="I19" i="15"/>
  <c r="I21" i="15"/>
  <c r="I23" i="15"/>
  <c r="I25" i="15"/>
  <c r="I27" i="15"/>
  <c r="I29" i="15"/>
  <c r="I31" i="15"/>
  <c r="I33" i="15"/>
  <c r="I35" i="15"/>
  <c r="I37" i="15"/>
  <c r="I39" i="15"/>
  <c r="I41" i="15"/>
  <c r="I43" i="15"/>
  <c r="I45" i="15"/>
  <c r="I47" i="15"/>
  <c r="I49" i="15"/>
  <c r="I51" i="15"/>
  <c r="I53" i="15"/>
  <c r="I55" i="15"/>
  <c r="I57" i="15"/>
  <c r="I59" i="15"/>
  <c r="I61" i="15"/>
  <c r="I63" i="15"/>
  <c r="I65" i="15"/>
  <c r="I67" i="15"/>
  <c r="I69" i="15"/>
  <c r="I71" i="15"/>
  <c r="I73" i="15"/>
  <c r="I75" i="15"/>
  <c r="I77" i="15"/>
  <c r="I79" i="15"/>
  <c r="I81" i="15"/>
  <c r="I83" i="15"/>
  <c r="I85" i="15"/>
  <c r="I87" i="15"/>
  <c r="I89" i="15"/>
  <c r="I91" i="15"/>
  <c r="I93" i="15"/>
  <c r="I95" i="15"/>
  <c r="I97" i="15"/>
  <c r="I99" i="15"/>
  <c r="I101" i="15"/>
  <c r="I103" i="15"/>
  <c r="I105" i="15"/>
  <c r="I107" i="15"/>
  <c r="I109" i="15"/>
  <c r="I111" i="15"/>
  <c r="I113" i="15"/>
  <c r="I115" i="15"/>
  <c r="I9" i="5"/>
  <c r="H22" i="6"/>
  <c r="G30" i="10"/>
  <c r="G21" i="10"/>
  <c r="G26" i="10" s="1"/>
  <c r="G41" i="10" s="1"/>
  <c r="F7" i="7"/>
  <c r="G7" i="7" s="1"/>
  <c r="H7" i="7" s="1"/>
  <c r="I7" i="7" s="1"/>
  <c r="J7" i="7" s="1"/>
  <c r="K7" i="7" s="1"/>
  <c r="L7" i="7" s="1"/>
  <c r="M7" i="7" s="1"/>
  <c r="N7" i="7" s="1"/>
  <c r="F41" i="10"/>
  <c r="G26" i="15"/>
  <c r="H379" i="17"/>
  <c r="H460" i="17" s="1"/>
  <c r="H369" i="17"/>
  <c r="H371" i="17" s="1"/>
  <c r="H355" i="17"/>
  <c r="I339" i="17"/>
  <c r="I340" i="17" s="1"/>
  <c r="I343" i="17" s="1"/>
  <c r="I344" i="17" s="1"/>
  <c r="I299" i="17"/>
  <c r="J55" i="10"/>
  <c r="I59" i="10"/>
  <c r="I69" i="10" s="1"/>
  <c r="H10" i="10"/>
  <c r="G5" i="13"/>
  <c r="E41" i="10"/>
  <c r="F27" i="6"/>
  <c r="F37" i="6" s="1"/>
  <c r="F6" i="8" s="1"/>
  <c r="G26" i="6"/>
  <c r="G31" i="10"/>
  <c r="G39" i="10" s="1"/>
  <c r="G14" i="13" s="1"/>
  <c r="F42" i="6"/>
  <c r="E42" i="6"/>
  <c r="E6" i="8"/>
  <c r="J40" i="5" l="1"/>
  <c r="J42" i="5" s="1"/>
  <c r="I44" i="5"/>
  <c r="J33" i="5"/>
  <c r="J35" i="5" s="1"/>
  <c r="I37" i="5"/>
  <c r="I46" i="5" s="1"/>
  <c r="I32" i="6" s="1"/>
  <c r="F43" i="10"/>
  <c r="F13" i="13" s="1"/>
  <c r="G18" i="7"/>
  <c r="F19" i="7"/>
  <c r="F9" i="10" s="1"/>
  <c r="F8" i="13" s="1"/>
  <c r="J6" i="5"/>
  <c r="J9" i="4"/>
  <c r="L6" i="4"/>
  <c r="K8" i="4"/>
  <c r="H23" i="10"/>
  <c r="K25" i="10"/>
  <c r="K32" i="13"/>
  <c r="G38" i="6"/>
  <c r="G47" i="10" s="1"/>
  <c r="G22" i="8"/>
  <c r="G54" i="5"/>
  <c r="G65" i="5" s="1"/>
  <c r="G8" i="9" s="1"/>
  <c r="I14" i="5"/>
  <c r="I29" i="6" s="1"/>
  <c r="I6" i="6"/>
  <c r="I8" i="6" s="1"/>
  <c r="I10" i="6" s="1"/>
  <c r="I12" i="6" s="1"/>
  <c r="I68" i="10" s="1"/>
  <c r="I15" i="5"/>
  <c r="I30" i="6" s="1"/>
  <c r="I24" i="10" s="1"/>
  <c r="I7" i="5"/>
  <c r="I11" i="5"/>
  <c r="I18" i="6" s="1"/>
  <c r="I18" i="10" s="1"/>
  <c r="I12" i="5"/>
  <c r="I19" i="6" s="1"/>
  <c r="I19" i="10" s="1"/>
  <c r="I8" i="5"/>
  <c r="I20" i="6" s="1"/>
  <c r="I20" i="10" s="1"/>
  <c r="I13" i="5"/>
  <c r="I23" i="6" s="1"/>
  <c r="I22" i="10" s="1"/>
  <c r="L17" i="5"/>
  <c r="K33" i="6"/>
  <c r="H34" i="10"/>
  <c r="H29" i="5"/>
  <c r="N58" i="10"/>
  <c r="N59" i="10" s="1"/>
  <c r="N69" i="10" s="1"/>
  <c r="I70" i="10"/>
  <c r="J12" i="8"/>
  <c r="J24" i="7" s="1"/>
  <c r="J37" i="10"/>
  <c r="I23" i="5"/>
  <c r="J20" i="5"/>
  <c r="J22" i="5" s="1"/>
  <c r="H10" i="5"/>
  <c r="H24" i="6" s="1"/>
  <c r="H15" i="6"/>
  <c r="H15" i="10" s="1"/>
  <c r="L81" i="10"/>
  <c r="L27" i="5"/>
  <c r="L25" i="10" s="1"/>
  <c r="I62" i="5"/>
  <c r="I63" i="5"/>
  <c r="J58" i="5" s="1"/>
  <c r="J60" i="5" s="1"/>
  <c r="H46" i="5"/>
  <c r="H32" i="6" s="1"/>
  <c r="H36" i="6" s="1"/>
  <c r="M17" i="8"/>
  <c r="M12" i="7" s="1"/>
  <c r="M26" i="5"/>
  <c r="P41" i="12"/>
  <c r="G478" i="17"/>
  <c r="G486" i="17"/>
  <c r="G480" i="17"/>
  <c r="G477" i="17"/>
  <c r="G479" i="17"/>
  <c r="G485" i="17"/>
  <c r="G487" i="17" s="1"/>
  <c r="H30" i="10"/>
  <c r="H21" i="10"/>
  <c r="J9" i="5"/>
  <c r="I22" i="6"/>
  <c r="F42" i="10"/>
  <c r="F11" i="13" s="1"/>
  <c r="G42" i="10"/>
  <c r="G11" i="13" s="1"/>
  <c r="G43" i="10"/>
  <c r="G13" i="13" s="1"/>
  <c r="G28" i="15"/>
  <c r="I367" i="17"/>
  <c r="J342" i="17"/>
  <c r="H360" i="17"/>
  <c r="H373" i="17" s="1"/>
  <c r="H378" i="17"/>
  <c r="H459" i="17" s="1"/>
  <c r="J298" i="17"/>
  <c r="J297" i="17"/>
  <c r="I300" i="17"/>
  <c r="E43" i="10"/>
  <c r="E13" i="13" s="1"/>
  <c r="J59" i="10"/>
  <c r="J69" i="10" s="1"/>
  <c r="K55" i="10"/>
  <c r="I10" i="10"/>
  <c r="H5" i="13"/>
  <c r="E42" i="10"/>
  <c r="E11" i="13" s="1"/>
  <c r="H31" i="10"/>
  <c r="G64" i="10"/>
  <c r="G65" i="10" s="1"/>
  <c r="G71" i="10" s="1"/>
  <c r="G27" i="6"/>
  <c r="G37" i="6" s="1"/>
  <c r="E6" i="9"/>
  <c r="F6" i="9"/>
  <c r="G55" i="5" l="1"/>
  <c r="H50" i="5" s="1"/>
  <c r="H52" i="5" s="1"/>
  <c r="J7" i="5"/>
  <c r="J12" i="5"/>
  <c r="J19" i="6" s="1"/>
  <c r="J19" i="10" s="1"/>
  <c r="J8" i="5"/>
  <c r="J20" i="6" s="1"/>
  <c r="J20" i="10" s="1"/>
  <c r="J11" i="5"/>
  <c r="J18" i="6" s="1"/>
  <c r="J18" i="10" s="1"/>
  <c r="J13" i="5"/>
  <c r="J23" i="6" s="1"/>
  <c r="J22" i="10" s="1"/>
  <c r="K12" i="8"/>
  <c r="K24" i="7" s="1"/>
  <c r="K37" i="10"/>
  <c r="L32" i="13"/>
  <c r="L82" i="10"/>
  <c r="L33" i="13" s="1"/>
  <c r="L33" i="6"/>
  <c r="M17" i="5"/>
  <c r="G19" i="7"/>
  <c r="G9" i="10" s="1"/>
  <c r="G8" i="13" s="1"/>
  <c r="J62" i="5"/>
  <c r="J63" i="5"/>
  <c r="K58" i="5" s="1"/>
  <c r="K60" i="5" s="1"/>
  <c r="I7" i="9"/>
  <c r="I11" i="8"/>
  <c r="I36" i="10"/>
  <c r="J23" i="5"/>
  <c r="K20" i="5"/>
  <c r="K22" i="5" s="1"/>
  <c r="J37" i="5"/>
  <c r="K33" i="5"/>
  <c r="K35" i="5" s="1"/>
  <c r="H22" i="8"/>
  <c r="H38" i="6"/>
  <c r="H47" i="10" s="1"/>
  <c r="G76" i="10"/>
  <c r="I34" i="10"/>
  <c r="I29" i="5"/>
  <c r="H39" i="10"/>
  <c r="H43" i="10" s="1"/>
  <c r="H13" i="13" s="1"/>
  <c r="I10" i="5"/>
  <c r="I24" i="6" s="1"/>
  <c r="I15" i="6"/>
  <c r="I15" i="10" s="1"/>
  <c r="K40" i="5"/>
  <c r="K42" i="5" s="1"/>
  <c r="J44" i="5"/>
  <c r="N17" i="8"/>
  <c r="N12" i="7" s="1"/>
  <c r="N26" i="5"/>
  <c r="B22" i="13"/>
  <c r="B24" i="13" s="1"/>
  <c r="J14" i="5"/>
  <c r="J29" i="6" s="1"/>
  <c r="J6" i="6"/>
  <c r="J8" i="6" s="1"/>
  <c r="J10" i="6" s="1"/>
  <c r="J12" i="6" s="1"/>
  <c r="J68" i="10" s="1"/>
  <c r="J70" i="10"/>
  <c r="H26" i="6"/>
  <c r="M81" i="10"/>
  <c r="M27" i="5"/>
  <c r="M25" i="10" s="1"/>
  <c r="K6" i="5"/>
  <c r="K9" i="4"/>
  <c r="H26" i="10"/>
  <c r="H41" i="10" s="1"/>
  <c r="H7" i="9"/>
  <c r="H11" i="8"/>
  <c r="H18" i="7" s="1"/>
  <c r="H36" i="10"/>
  <c r="I36" i="6"/>
  <c r="I23" i="10"/>
  <c r="M6" i="4"/>
  <c r="L8" i="4"/>
  <c r="O24" i="15"/>
  <c r="O25" i="15"/>
  <c r="O15" i="15"/>
  <c r="O16" i="15"/>
  <c r="O17" i="15"/>
  <c r="O18" i="15"/>
  <c r="L16" i="15" s="1"/>
  <c r="G489" i="17"/>
  <c r="O19" i="15"/>
  <c r="G482" i="17"/>
  <c r="G483" i="17" s="1"/>
  <c r="G484" i="17" s="1"/>
  <c r="G27" i="13"/>
  <c r="K9" i="5"/>
  <c r="J22" i="6"/>
  <c r="I30" i="10"/>
  <c r="I21" i="10"/>
  <c r="I26" i="10" s="1"/>
  <c r="I41" i="10" s="1"/>
  <c r="I369" i="17"/>
  <c r="I371" i="17" s="1"/>
  <c r="I355" i="17"/>
  <c r="J339" i="17"/>
  <c r="J340" i="17" s="1"/>
  <c r="J343" i="17" s="1"/>
  <c r="J344" i="17" s="1"/>
  <c r="J299" i="17"/>
  <c r="I379" i="17"/>
  <c r="I460" i="17" s="1"/>
  <c r="L55" i="10"/>
  <c r="K59" i="10"/>
  <c r="K69" i="10" s="1"/>
  <c r="J10" i="10"/>
  <c r="I5" i="13"/>
  <c r="G6" i="8"/>
  <c r="G42" i="6"/>
  <c r="G6" i="9" s="1"/>
  <c r="I26" i="6"/>
  <c r="I31" i="10"/>
  <c r="H64" i="10"/>
  <c r="H65" i="10" s="1"/>
  <c r="H71" i="10" s="1"/>
  <c r="H76" i="10" s="1"/>
  <c r="H27" i="6"/>
  <c r="H37" i="6" s="1"/>
  <c r="F9" i="9"/>
  <c r="E9" i="9"/>
  <c r="H19" i="7" l="1"/>
  <c r="H9" i="10" s="1"/>
  <c r="H8" i="13" s="1"/>
  <c r="I18" i="7"/>
  <c r="J46" i="5"/>
  <c r="J32" i="6" s="1"/>
  <c r="K14" i="5"/>
  <c r="K29" i="6" s="1"/>
  <c r="K6" i="6"/>
  <c r="K8" i="6" s="1"/>
  <c r="K10" i="6" s="1"/>
  <c r="K12" i="6" s="1"/>
  <c r="K68" i="10" s="1"/>
  <c r="K70" i="10" s="1"/>
  <c r="K44" i="5"/>
  <c r="L40" i="5"/>
  <c r="L42" i="5" s="1"/>
  <c r="J34" i="10"/>
  <c r="J29" i="5"/>
  <c r="K8" i="5"/>
  <c r="K20" i="6" s="1"/>
  <c r="K20" i="10" s="1"/>
  <c r="K13" i="5"/>
  <c r="K23" i="6" s="1"/>
  <c r="K22" i="10" s="1"/>
  <c r="K11" i="5"/>
  <c r="K18" i="6" s="1"/>
  <c r="K18" i="10" s="1"/>
  <c r="K12" i="5"/>
  <c r="K19" i="6" s="1"/>
  <c r="K19" i="10" s="1"/>
  <c r="K7" i="5"/>
  <c r="K23" i="5"/>
  <c r="L20" i="5"/>
  <c r="L22" i="5" s="1"/>
  <c r="L6" i="5"/>
  <c r="L9" i="4"/>
  <c r="M32" i="13"/>
  <c r="M82" i="10"/>
  <c r="M33" i="13" s="1"/>
  <c r="H42" i="10"/>
  <c r="H11" i="13" s="1"/>
  <c r="B12" i="13" s="1"/>
  <c r="M8" i="4"/>
  <c r="N6" i="4"/>
  <c r="N8" i="4" s="1"/>
  <c r="I38" i="6"/>
  <c r="I47" i="10" s="1"/>
  <c r="I22" i="8"/>
  <c r="K62" i="5"/>
  <c r="K63" i="5"/>
  <c r="L58" i="5" s="1"/>
  <c r="L60" i="5" s="1"/>
  <c r="I39" i="10"/>
  <c r="I14" i="13" s="1"/>
  <c r="H14" i="13"/>
  <c r="J10" i="5"/>
  <c r="J24" i="6" s="1"/>
  <c r="J15" i="6"/>
  <c r="J15" i="10" s="1"/>
  <c r="J36" i="6"/>
  <c r="J23" i="10"/>
  <c r="H54" i="5"/>
  <c r="H65" i="5" s="1"/>
  <c r="H8" i="9" s="1"/>
  <c r="B109" i="15"/>
  <c r="B61" i="15"/>
  <c r="B92" i="15"/>
  <c r="B44" i="15"/>
  <c r="B71" i="15"/>
  <c r="B102" i="15"/>
  <c r="B99" i="15"/>
  <c r="B34" i="15"/>
  <c r="B105" i="15"/>
  <c r="B57" i="15"/>
  <c r="B88" i="15"/>
  <c r="B40" i="15"/>
  <c r="B63" i="15"/>
  <c r="B94" i="15"/>
  <c r="B91" i="15"/>
  <c r="B101" i="15"/>
  <c r="B53" i="15"/>
  <c r="B84" i="15"/>
  <c r="B36" i="15"/>
  <c r="B55" i="15"/>
  <c r="B86" i="15"/>
  <c r="B83" i="15"/>
  <c r="D82" i="10"/>
  <c r="B97" i="15"/>
  <c r="B49" i="15"/>
  <c r="B80" i="15"/>
  <c r="B32" i="15"/>
  <c r="B47" i="15"/>
  <c r="B78" i="15"/>
  <c r="B75" i="15"/>
  <c r="B106" i="15"/>
  <c r="B15" i="15"/>
  <c r="B93" i="15"/>
  <c r="B45" i="15"/>
  <c r="B76" i="15"/>
  <c r="B28" i="15"/>
  <c r="B39" i="15"/>
  <c r="B70" i="15"/>
  <c r="B67" i="15"/>
  <c r="B89" i="15"/>
  <c r="B41" i="15"/>
  <c r="B72" i="15"/>
  <c r="B24" i="15"/>
  <c r="B31" i="15"/>
  <c r="B62" i="15"/>
  <c r="B59" i="15"/>
  <c r="B85" i="15"/>
  <c r="B37" i="15"/>
  <c r="B68" i="15"/>
  <c r="B20" i="15"/>
  <c r="B81" i="15"/>
  <c r="B33" i="15"/>
  <c r="B112" i="15"/>
  <c r="B64" i="15"/>
  <c r="B16" i="15"/>
  <c r="B77" i="15"/>
  <c r="B29" i="15"/>
  <c r="B108" i="15"/>
  <c r="B60" i="15"/>
  <c r="B73" i="15"/>
  <c r="B25" i="15"/>
  <c r="B104" i="15"/>
  <c r="B56" i="15"/>
  <c r="B69" i="15"/>
  <c r="B103" i="15"/>
  <c r="B38" i="15"/>
  <c r="B74" i="15"/>
  <c r="B54" i="15"/>
  <c r="B82" i="15"/>
  <c r="B65" i="15"/>
  <c r="B95" i="15"/>
  <c r="B30" i="15"/>
  <c r="B66" i="15"/>
  <c r="B113" i="15"/>
  <c r="B111" i="15"/>
  <c r="B21" i="15"/>
  <c r="B87" i="15"/>
  <c r="B22" i="15"/>
  <c r="B115" i="15"/>
  <c r="B58" i="15"/>
  <c r="B17" i="15"/>
  <c r="B79" i="15"/>
  <c r="B107" i="15"/>
  <c r="B50" i="15"/>
  <c r="B23" i="15"/>
  <c r="B51" i="15"/>
  <c r="B42" i="15"/>
  <c r="B43" i="15"/>
  <c r="B26" i="15"/>
  <c r="G21" i="15"/>
  <c r="G22" i="15" s="1"/>
  <c r="B52" i="15"/>
  <c r="B46" i="15"/>
  <c r="B35" i="15"/>
  <c r="B18" i="15"/>
  <c r="B90" i="15"/>
  <c r="B27" i="15"/>
  <c r="B48" i="15"/>
  <c r="B100" i="15"/>
  <c r="B19" i="15"/>
  <c r="B114" i="15"/>
  <c r="B96" i="15"/>
  <c r="B110" i="15"/>
  <c r="B98" i="15"/>
  <c r="E82" i="10"/>
  <c r="E33" i="13" s="1"/>
  <c r="G82" i="10"/>
  <c r="G33" i="13" s="1"/>
  <c r="F82" i="10"/>
  <c r="F33" i="13" s="1"/>
  <c r="H82" i="10"/>
  <c r="H33" i="13" s="1"/>
  <c r="I82" i="10"/>
  <c r="I33" i="13" s="1"/>
  <c r="J82" i="10"/>
  <c r="J33" i="13" s="1"/>
  <c r="E76" i="10"/>
  <c r="D76" i="10"/>
  <c r="D27" i="13" s="1"/>
  <c r="F76" i="10"/>
  <c r="F27" i="13" s="1"/>
  <c r="K82" i="10"/>
  <c r="K33" i="13" s="1"/>
  <c r="N17" i="5"/>
  <c r="N33" i="6" s="1"/>
  <c r="M33" i="6"/>
  <c r="N81" i="10"/>
  <c r="N27" i="5"/>
  <c r="K37" i="5"/>
  <c r="K46" i="5" s="1"/>
  <c r="K32" i="6" s="1"/>
  <c r="L33" i="5"/>
  <c r="L35" i="5" s="1"/>
  <c r="L12" i="8"/>
  <c r="L24" i="7" s="1"/>
  <c r="L37" i="10"/>
  <c r="O26" i="15"/>
  <c r="O28" i="15" s="1"/>
  <c r="O21" i="15"/>
  <c r="O22" i="15" s="1"/>
  <c r="O23" i="15" s="1"/>
  <c r="L17" i="15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H27" i="13"/>
  <c r="L9" i="5"/>
  <c r="K22" i="6"/>
  <c r="J30" i="10"/>
  <c r="J21" i="10"/>
  <c r="I42" i="10"/>
  <c r="I11" i="13" s="1"/>
  <c r="I43" i="10"/>
  <c r="I13" i="13" s="1"/>
  <c r="J367" i="17"/>
  <c r="K342" i="17"/>
  <c r="I378" i="17"/>
  <c r="I459" i="17" s="1"/>
  <c r="I360" i="17"/>
  <c r="I373" i="17" s="1"/>
  <c r="K298" i="17"/>
  <c r="K297" i="17"/>
  <c r="J300" i="17"/>
  <c r="M55" i="10"/>
  <c r="M59" i="10" s="1"/>
  <c r="M69" i="10" s="1"/>
  <c r="L59" i="10"/>
  <c r="L69" i="10" s="1"/>
  <c r="K10" i="10"/>
  <c r="J5" i="13"/>
  <c r="I64" i="10"/>
  <c r="I65" i="10" s="1"/>
  <c r="I71" i="10" s="1"/>
  <c r="I76" i="10" s="1"/>
  <c r="I27" i="6"/>
  <c r="I37" i="6" s="1"/>
  <c r="J26" i="6"/>
  <c r="J31" i="10"/>
  <c r="H6" i="8"/>
  <c r="H42" i="6"/>
  <c r="H6" i="9" s="1"/>
  <c r="G9" i="9"/>
  <c r="E10" i="9"/>
  <c r="O29" i="15" l="1"/>
  <c r="G23" i="15"/>
  <c r="G29" i="15"/>
  <c r="G19" i="15"/>
  <c r="J26" i="10"/>
  <c r="J41" i="10" s="1"/>
  <c r="N6" i="5"/>
  <c r="N9" i="4"/>
  <c r="M33" i="5"/>
  <c r="M35" i="5" s="1"/>
  <c r="L37" i="5"/>
  <c r="L46" i="5" s="1"/>
  <c r="L32" i="6" s="1"/>
  <c r="J22" i="8"/>
  <c r="J38" i="6"/>
  <c r="J47" i="10" s="1"/>
  <c r="K7" i="9"/>
  <c r="K11" i="8"/>
  <c r="K36" i="10"/>
  <c r="M6" i="5"/>
  <c r="M9" i="4"/>
  <c r="N25" i="10"/>
  <c r="L44" i="5"/>
  <c r="M40" i="5"/>
  <c r="M42" i="5" s="1"/>
  <c r="L14" i="5"/>
  <c r="L29" i="6" s="1"/>
  <c r="L6" i="6"/>
  <c r="L8" i="6" s="1"/>
  <c r="L10" i="6" s="1"/>
  <c r="L12" i="6" s="1"/>
  <c r="L68" i="10" s="1"/>
  <c r="L70" i="10" s="1"/>
  <c r="N32" i="13"/>
  <c r="N82" i="10"/>
  <c r="N33" i="13" s="1"/>
  <c r="M12" i="8"/>
  <c r="M24" i="7" s="1"/>
  <c r="N24" i="7" s="1"/>
  <c r="M37" i="10"/>
  <c r="L12" i="5"/>
  <c r="L19" i="6" s="1"/>
  <c r="L19" i="10" s="1"/>
  <c r="L8" i="5"/>
  <c r="L20" i="6" s="1"/>
  <c r="L20" i="10" s="1"/>
  <c r="L11" i="5"/>
  <c r="L18" i="6" s="1"/>
  <c r="L18" i="10" s="1"/>
  <c r="L13" i="5"/>
  <c r="L23" i="6" s="1"/>
  <c r="L22" i="10" s="1"/>
  <c r="L7" i="5"/>
  <c r="D33" i="13"/>
  <c r="L23" i="5"/>
  <c r="M20" i="5"/>
  <c r="M22" i="5" s="1"/>
  <c r="K36" i="6"/>
  <c r="K23" i="10"/>
  <c r="L62" i="5"/>
  <c r="L63" i="5" s="1"/>
  <c r="M58" i="5" s="1"/>
  <c r="M60" i="5" s="1"/>
  <c r="K34" i="10"/>
  <c r="K29" i="5"/>
  <c r="J7" i="9"/>
  <c r="J11" i="8"/>
  <c r="J36" i="10"/>
  <c r="J39" i="10" s="1"/>
  <c r="K10" i="5"/>
  <c r="K24" i="6" s="1"/>
  <c r="K31" i="10" s="1"/>
  <c r="K39" i="10" s="1"/>
  <c r="K14" i="13" s="1"/>
  <c r="K15" i="6"/>
  <c r="K15" i="10" s="1"/>
  <c r="I19" i="7"/>
  <c r="I9" i="10" s="1"/>
  <c r="I8" i="13" s="1"/>
  <c r="J18" i="7"/>
  <c r="N37" i="10"/>
  <c r="N12" i="8"/>
  <c r="E77" i="10"/>
  <c r="E27" i="13"/>
  <c r="H55" i="5"/>
  <c r="I50" i="5" s="1"/>
  <c r="I52" i="5" s="1"/>
  <c r="M16" i="15" a="1"/>
  <c r="I27" i="13"/>
  <c r="M9" i="5"/>
  <c r="L22" i="6"/>
  <c r="K30" i="10"/>
  <c r="K21" i="10"/>
  <c r="K26" i="10" s="1"/>
  <c r="K41" i="10" s="1"/>
  <c r="K339" i="17"/>
  <c r="K340" i="17" s="1"/>
  <c r="K343" i="17" s="1"/>
  <c r="K344" i="17" s="1"/>
  <c r="K299" i="17"/>
  <c r="J369" i="17"/>
  <c r="J371" i="17" s="1"/>
  <c r="J355" i="17"/>
  <c r="J379" i="17"/>
  <c r="J460" i="17" s="1"/>
  <c r="L10" i="10"/>
  <c r="K5" i="13"/>
  <c r="H9" i="9"/>
  <c r="I6" i="8"/>
  <c r="I42" i="6"/>
  <c r="I6" i="9" s="1"/>
  <c r="J64" i="10"/>
  <c r="J65" i="10" s="1"/>
  <c r="J71" i="10" s="1"/>
  <c r="J76" i="10" s="1"/>
  <c r="J27" i="6"/>
  <c r="J37" i="6" s="1"/>
  <c r="E11" i="9"/>
  <c r="F10" i="9"/>
  <c r="M63" i="5" l="1"/>
  <c r="N58" i="5" s="1"/>
  <c r="N60" i="5" s="1"/>
  <c r="M62" i="5"/>
  <c r="J14" i="13"/>
  <c r="J42" i="10"/>
  <c r="J11" i="13" s="1"/>
  <c r="J43" i="10"/>
  <c r="J13" i="13" s="1"/>
  <c r="N20" i="5"/>
  <c r="N22" i="5" s="1"/>
  <c r="N23" i="5" s="1"/>
  <c r="M23" i="5"/>
  <c r="L34" i="10"/>
  <c r="L29" i="5"/>
  <c r="M11" i="5"/>
  <c r="M18" i="6" s="1"/>
  <c r="M18" i="10" s="1"/>
  <c r="M13" i="5"/>
  <c r="M23" i="6" s="1"/>
  <c r="M22" i="10" s="1"/>
  <c r="M12" i="5"/>
  <c r="M19" i="6" s="1"/>
  <c r="M19" i="10" s="1"/>
  <c r="M8" i="5"/>
  <c r="M20" i="6" s="1"/>
  <c r="M20" i="10" s="1"/>
  <c r="M7" i="5"/>
  <c r="B82" i="10"/>
  <c r="L36" i="6"/>
  <c r="L23" i="10"/>
  <c r="B33" i="13"/>
  <c r="L10" i="5"/>
  <c r="L24" i="6" s="1"/>
  <c r="L15" i="6"/>
  <c r="L15" i="10" s="1"/>
  <c r="N40" i="5"/>
  <c r="N42" i="5" s="1"/>
  <c r="N44" i="5" s="1"/>
  <c r="M44" i="5"/>
  <c r="L11" i="8"/>
  <c r="L36" i="10"/>
  <c r="L7" i="9"/>
  <c r="J19" i="7"/>
  <c r="J9" i="10" s="1"/>
  <c r="J8" i="13" s="1"/>
  <c r="K18" i="7"/>
  <c r="I54" i="5"/>
  <c r="I65" i="5" s="1"/>
  <c r="I8" i="9" s="1"/>
  <c r="I55" i="5"/>
  <c r="J50" i="5" s="1"/>
  <c r="J52" i="5" s="1"/>
  <c r="N33" i="5"/>
  <c r="N35" i="5" s="1"/>
  <c r="N37" i="5" s="1"/>
  <c r="M37" i="5"/>
  <c r="K38" i="6"/>
  <c r="K47" i="10" s="1"/>
  <c r="K22" i="8"/>
  <c r="N14" i="5"/>
  <c r="N29" i="6" s="1"/>
  <c r="N6" i="6"/>
  <c r="N8" i="6" s="1"/>
  <c r="N10" i="6" s="1"/>
  <c r="N12" i="6" s="1"/>
  <c r="N68" i="10" s="1"/>
  <c r="N70" i="10" s="1"/>
  <c r="K26" i="6"/>
  <c r="K64" i="10" s="1"/>
  <c r="K65" i="10" s="1"/>
  <c r="K71" i="10" s="1"/>
  <c r="K76" i="10" s="1"/>
  <c r="E28" i="13"/>
  <c r="F77" i="10"/>
  <c r="N11" i="5"/>
  <c r="N18" i="6" s="1"/>
  <c r="N18" i="10" s="1"/>
  <c r="N12" i="5"/>
  <c r="N19" i="6" s="1"/>
  <c r="N19" i="10" s="1"/>
  <c r="N8" i="5"/>
  <c r="N20" i="6" s="1"/>
  <c r="N20" i="10" s="1"/>
  <c r="N13" i="5"/>
  <c r="N23" i="6" s="1"/>
  <c r="N22" i="10" s="1"/>
  <c r="N7" i="5"/>
  <c r="M14" i="5"/>
  <c r="M29" i="6" s="1"/>
  <c r="M6" i="6"/>
  <c r="M8" i="6" s="1"/>
  <c r="M10" i="6" s="1"/>
  <c r="M12" i="6" s="1"/>
  <c r="M68" i="10" s="1"/>
  <c r="M70" i="10" s="1"/>
  <c r="M16" i="15"/>
  <c r="M18" i="15"/>
  <c r="M20" i="15"/>
  <c r="M22" i="15"/>
  <c r="M24" i="15"/>
  <c r="M26" i="15"/>
  <c r="M28" i="15"/>
  <c r="M17" i="15"/>
  <c r="M19" i="15"/>
  <c r="M21" i="15"/>
  <c r="M23" i="15"/>
  <c r="M25" i="15"/>
  <c r="M27" i="15"/>
  <c r="M29" i="15"/>
  <c r="J27" i="13"/>
  <c r="L30" i="10"/>
  <c r="L21" i="10"/>
  <c r="N9" i="5"/>
  <c r="N22" i="6" s="1"/>
  <c r="M22" i="6"/>
  <c r="K42" i="10"/>
  <c r="K11" i="13" s="1"/>
  <c r="K43" i="10"/>
  <c r="K13" i="13" s="1"/>
  <c r="K367" i="17"/>
  <c r="L342" i="17"/>
  <c r="J360" i="17"/>
  <c r="J373" i="17" s="1"/>
  <c r="J378" i="17"/>
  <c r="J459" i="17" s="1"/>
  <c r="L297" i="17"/>
  <c r="L298" i="17"/>
  <c r="K300" i="17"/>
  <c r="M10" i="10"/>
  <c r="L5" i="13"/>
  <c r="J6" i="8"/>
  <c r="J42" i="6"/>
  <c r="J6" i="9" s="1"/>
  <c r="I9" i="9"/>
  <c r="L26" i="6"/>
  <c r="L31" i="10"/>
  <c r="F11" i="9"/>
  <c r="G10" i="9"/>
  <c r="E7" i="8"/>
  <c r="E43" i="6"/>
  <c r="E44" i="6" s="1"/>
  <c r="E49" i="6" s="1"/>
  <c r="E12" i="9"/>
  <c r="L22" i="8" l="1"/>
  <c r="L38" i="6"/>
  <c r="L47" i="10" s="1"/>
  <c r="N10" i="5"/>
  <c r="N24" i="6" s="1"/>
  <c r="N15" i="6"/>
  <c r="N15" i="10" s="1"/>
  <c r="M46" i="5"/>
  <c r="M32" i="6" s="1"/>
  <c r="M34" i="10"/>
  <c r="M29" i="5"/>
  <c r="N46" i="5"/>
  <c r="N32" i="6" s="1"/>
  <c r="N34" i="10"/>
  <c r="N29" i="5"/>
  <c r="L39" i="10"/>
  <c r="L14" i="13" s="1"/>
  <c r="J54" i="5"/>
  <c r="J65" i="5" s="1"/>
  <c r="J8" i="9" s="1"/>
  <c r="J9" i="9" s="1"/>
  <c r="J55" i="5"/>
  <c r="K50" i="5" s="1"/>
  <c r="K52" i="5" s="1"/>
  <c r="K27" i="6"/>
  <c r="K37" i="6" s="1"/>
  <c r="N62" i="5"/>
  <c r="N63" i="5" s="1"/>
  <c r="N23" i="10"/>
  <c r="M36" i="6"/>
  <c r="M23" i="10"/>
  <c r="L26" i="10"/>
  <c r="L41" i="10" s="1"/>
  <c r="L18" i="7"/>
  <c r="K19" i="7"/>
  <c r="K9" i="10" s="1"/>
  <c r="K8" i="13" s="1"/>
  <c r="F28" i="13"/>
  <c r="G77" i="10"/>
  <c r="M15" i="6"/>
  <c r="M15" i="10" s="1"/>
  <c r="M10" i="5"/>
  <c r="M24" i="6" s="1"/>
  <c r="K27" i="13"/>
  <c r="M30" i="10"/>
  <c r="M21" i="10"/>
  <c r="M26" i="10" s="1"/>
  <c r="M41" i="10" s="1"/>
  <c r="N30" i="10"/>
  <c r="N21" i="10"/>
  <c r="N26" i="10" s="1"/>
  <c r="N41" i="10" s="1"/>
  <c r="L339" i="17"/>
  <c r="L340" i="17" s="1"/>
  <c r="L343" i="17" s="1"/>
  <c r="L344" i="17" s="1"/>
  <c r="L299" i="17"/>
  <c r="K369" i="17"/>
  <c r="K371" i="17" s="1"/>
  <c r="K355" i="17"/>
  <c r="K379" i="17"/>
  <c r="K460" i="17" s="1"/>
  <c r="N10" i="10"/>
  <c r="N5" i="13" s="1"/>
  <c r="M5" i="13"/>
  <c r="L64" i="10"/>
  <c r="L65" i="10" s="1"/>
  <c r="L71" i="10" s="1"/>
  <c r="L76" i="10" s="1"/>
  <c r="L27" i="6"/>
  <c r="L37" i="6" s="1"/>
  <c r="M26" i="6"/>
  <c r="M31" i="10"/>
  <c r="N26" i="6"/>
  <c r="N31" i="10"/>
  <c r="K6" i="8"/>
  <c r="K42" i="6"/>
  <c r="K6" i="9" s="1"/>
  <c r="E45" i="6"/>
  <c r="E48" i="6"/>
  <c r="H10" i="9"/>
  <c r="G11" i="9"/>
  <c r="E8" i="8"/>
  <c r="E13" i="8" s="1"/>
  <c r="E19" i="8" s="1"/>
  <c r="F7" i="8"/>
  <c r="F12" i="9"/>
  <c r="F43" i="6"/>
  <c r="F44" i="6" s="1"/>
  <c r="K55" i="5" l="1"/>
  <c r="L50" i="5" s="1"/>
  <c r="L52" i="5" s="1"/>
  <c r="K54" i="5"/>
  <c r="K65" i="5" s="1"/>
  <c r="K8" i="9" s="1"/>
  <c r="L19" i="7"/>
  <c r="L9" i="10" s="1"/>
  <c r="L8" i="13" s="1"/>
  <c r="N38" i="6"/>
  <c r="N47" i="10" s="1"/>
  <c r="N22" i="8"/>
  <c r="M38" i="6"/>
  <c r="M47" i="10" s="1"/>
  <c r="M22" i="8"/>
  <c r="N7" i="9"/>
  <c r="N11" i="8"/>
  <c r="N36" i="10"/>
  <c r="N39" i="10" s="1"/>
  <c r="G28" i="13"/>
  <c r="H77" i="10"/>
  <c r="N36" i="6"/>
  <c r="M7" i="9"/>
  <c r="M11" i="8"/>
  <c r="M18" i="7" s="1"/>
  <c r="M36" i="10"/>
  <c r="L43" i="10"/>
  <c r="L13" i="13" s="1"/>
  <c r="L42" i="10"/>
  <c r="L11" i="13" s="1"/>
  <c r="M39" i="10"/>
  <c r="M14" i="13" s="1"/>
  <c r="L27" i="13"/>
  <c r="E36" i="8"/>
  <c r="E37" i="8" s="1"/>
  <c r="E83" i="10"/>
  <c r="L367" i="17"/>
  <c r="M342" i="17"/>
  <c r="K378" i="17"/>
  <c r="K459" i="17" s="1"/>
  <c r="K360" i="17"/>
  <c r="K373" i="17" s="1"/>
  <c r="M297" i="17"/>
  <c r="M298" i="17"/>
  <c r="L300" i="17"/>
  <c r="N64" i="10"/>
  <c r="N65" i="10" s="1"/>
  <c r="N71" i="10" s="1"/>
  <c r="N76" i="10" s="1"/>
  <c r="N27" i="13" s="1"/>
  <c r="N27" i="6"/>
  <c r="N37" i="6" s="1"/>
  <c r="M64" i="10"/>
  <c r="M65" i="10" s="1"/>
  <c r="M71" i="10" s="1"/>
  <c r="M76" i="10" s="1"/>
  <c r="M27" i="6"/>
  <c r="M37" i="6" s="1"/>
  <c r="K9" i="9"/>
  <c r="L6" i="8"/>
  <c r="L42" i="6"/>
  <c r="L6" i="9" s="1"/>
  <c r="E50" i="6"/>
  <c r="F49" i="6" s="1"/>
  <c r="F45" i="6"/>
  <c r="F83" i="10" s="1"/>
  <c r="F8" i="8"/>
  <c r="F13" i="8" s="1"/>
  <c r="F19" i="8" s="1"/>
  <c r="I10" i="9"/>
  <c r="H11" i="9"/>
  <c r="E24" i="8"/>
  <c r="E46" i="10"/>
  <c r="E50" i="10" s="1"/>
  <c r="G43" i="6"/>
  <c r="G44" i="6" s="1"/>
  <c r="G7" i="8"/>
  <c r="G12" i="9"/>
  <c r="N43" i="10" l="1"/>
  <c r="N13" i="13" s="1"/>
  <c r="N42" i="10"/>
  <c r="N11" i="13" s="1"/>
  <c r="N14" i="13"/>
  <c r="N18" i="7"/>
  <c r="N19" i="7" s="1"/>
  <c r="N9" i="10" s="1"/>
  <c r="N8" i="13" s="1"/>
  <c r="M19" i="7"/>
  <c r="M9" i="10" s="1"/>
  <c r="M8" i="13" s="1"/>
  <c r="H28" i="13"/>
  <c r="B29" i="13" s="1"/>
  <c r="I77" i="10"/>
  <c r="M43" i="10"/>
  <c r="M13" i="13" s="1"/>
  <c r="M42" i="10"/>
  <c r="M11" i="13" s="1"/>
  <c r="L54" i="5"/>
  <c r="L65" i="5" s="1"/>
  <c r="L8" i="9" s="1"/>
  <c r="L9" i="9" s="1"/>
  <c r="L55" i="5"/>
  <c r="M50" i="5" s="1"/>
  <c r="M52" i="5" s="1"/>
  <c r="B78" i="10"/>
  <c r="F84" i="10"/>
  <c r="F35" i="13" s="1"/>
  <c r="F34" i="13"/>
  <c r="M27" i="13"/>
  <c r="E84" i="10"/>
  <c r="E34" i="13"/>
  <c r="L369" i="17"/>
  <c r="L371" i="17" s="1"/>
  <c r="L355" i="17"/>
  <c r="M339" i="17"/>
  <c r="M340" i="17" s="1"/>
  <c r="M343" i="17" s="1"/>
  <c r="M344" i="17" s="1"/>
  <c r="M367" i="17" s="1"/>
  <c r="M299" i="17"/>
  <c r="M300" i="17" s="1"/>
  <c r="L379" i="17"/>
  <c r="L460" i="17" s="1"/>
  <c r="B17" i="13"/>
  <c r="E51" i="6"/>
  <c r="B73" i="10"/>
  <c r="M6" i="8"/>
  <c r="M42" i="6"/>
  <c r="M6" i="9" s="1"/>
  <c r="N6" i="8"/>
  <c r="N42" i="6"/>
  <c r="N6" i="9" s="1"/>
  <c r="F48" i="6"/>
  <c r="F36" i="8"/>
  <c r="F37" i="8" s="1"/>
  <c r="G45" i="6"/>
  <c r="G83" i="10" s="1"/>
  <c r="E30" i="8"/>
  <c r="E40" i="8" s="1"/>
  <c r="E41" i="8" s="1"/>
  <c r="J10" i="9"/>
  <c r="I11" i="9"/>
  <c r="F24" i="8"/>
  <c r="F30" i="8" s="1"/>
  <c r="F46" i="10"/>
  <c r="F50" i="10" s="1"/>
  <c r="F9" i="13" s="1"/>
  <c r="E25" i="7"/>
  <c r="E10" i="7"/>
  <c r="G8" i="8"/>
  <c r="G13" i="8" s="1"/>
  <c r="G19" i="8" s="1"/>
  <c r="E9" i="13"/>
  <c r="H43" i="6"/>
  <c r="H44" i="6" s="1"/>
  <c r="H7" i="8"/>
  <c r="H12" i="9"/>
  <c r="M54" i="5" l="1"/>
  <c r="M65" i="5" s="1"/>
  <c r="M8" i="9" s="1"/>
  <c r="M55" i="5"/>
  <c r="N50" i="5" s="1"/>
  <c r="N52" i="5" s="1"/>
  <c r="I28" i="13"/>
  <c r="J77" i="10"/>
  <c r="G84" i="10"/>
  <c r="G35" i="13" s="1"/>
  <c r="G34" i="13"/>
  <c r="E85" i="10"/>
  <c r="E35" i="13"/>
  <c r="M369" i="17"/>
  <c r="M371" i="17" s="1"/>
  <c r="M355" i="17"/>
  <c r="M379" i="17"/>
  <c r="M460" i="17" s="1"/>
  <c r="L378" i="17"/>
  <c r="L459" i="17" s="1"/>
  <c r="L360" i="17"/>
  <c r="L373" i="17" s="1"/>
  <c r="F40" i="8"/>
  <c r="M9" i="9"/>
  <c r="F50" i="6"/>
  <c r="G49" i="6" s="1"/>
  <c r="H8" i="8"/>
  <c r="H13" i="8" s="1"/>
  <c r="H19" i="8" s="1"/>
  <c r="G24" i="8"/>
  <c r="G30" i="8" s="1"/>
  <c r="G46" i="10"/>
  <c r="G50" i="10" s="1"/>
  <c r="K10" i="9"/>
  <c r="J11" i="9"/>
  <c r="F39" i="8"/>
  <c r="E23" i="7"/>
  <c r="H45" i="6"/>
  <c r="H83" i="10" s="1"/>
  <c r="E14" i="7"/>
  <c r="E7" i="10"/>
  <c r="E6" i="13" s="1"/>
  <c r="I43" i="6"/>
  <c r="I44" i="6" s="1"/>
  <c r="I7" i="8"/>
  <c r="I12" i="9"/>
  <c r="J28" i="13" l="1"/>
  <c r="K77" i="10"/>
  <c r="N54" i="5"/>
  <c r="N65" i="5" s="1"/>
  <c r="N8" i="9" s="1"/>
  <c r="N9" i="9" s="1"/>
  <c r="N55" i="5"/>
  <c r="H84" i="10"/>
  <c r="H35" i="13" s="1"/>
  <c r="H34" i="13"/>
  <c r="E36" i="13"/>
  <c r="F85" i="10"/>
  <c r="M378" i="17"/>
  <c r="M459" i="17" s="1"/>
  <c r="M360" i="17"/>
  <c r="M373" i="17" s="1"/>
  <c r="F41" i="8"/>
  <c r="F23" i="7" s="1"/>
  <c r="G36" i="8"/>
  <c r="G37" i="8" s="1"/>
  <c r="G40" i="8" s="1"/>
  <c r="F51" i="6"/>
  <c r="G48" i="6"/>
  <c r="G50" i="6" s="1"/>
  <c r="H49" i="6" s="1"/>
  <c r="G39" i="8"/>
  <c r="I45" i="6"/>
  <c r="I83" i="10" s="1"/>
  <c r="E26" i="7"/>
  <c r="E28" i="7" s="1"/>
  <c r="E8" i="10"/>
  <c r="E7" i="13" s="1"/>
  <c r="J43" i="6"/>
  <c r="J44" i="6" s="1"/>
  <c r="J7" i="8"/>
  <c r="J12" i="9"/>
  <c r="H24" i="8"/>
  <c r="H30" i="8" s="1"/>
  <c r="H46" i="10"/>
  <c r="H50" i="10" s="1"/>
  <c r="H9" i="13" s="1"/>
  <c r="I8" i="8"/>
  <c r="I13" i="8" s="1"/>
  <c r="I19" i="8" s="1"/>
  <c r="L10" i="9"/>
  <c r="K11" i="9"/>
  <c r="G9" i="13"/>
  <c r="K28" i="13" l="1"/>
  <c r="L77" i="10"/>
  <c r="I84" i="10"/>
  <c r="I35" i="13" s="1"/>
  <c r="I34" i="13"/>
  <c r="F36" i="13"/>
  <c r="G85" i="10"/>
  <c r="H48" i="6"/>
  <c r="H50" i="6" s="1"/>
  <c r="I49" i="6" s="1"/>
  <c r="G41" i="8"/>
  <c r="F10" i="7"/>
  <c r="F25" i="7"/>
  <c r="F26" i="7" s="1"/>
  <c r="G51" i="6"/>
  <c r="K43" i="6"/>
  <c r="K44" i="6" s="1"/>
  <c r="K7" i="8"/>
  <c r="K12" i="9"/>
  <c r="I24" i="8"/>
  <c r="I30" i="8" s="1"/>
  <c r="I46" i="10"/>
  <c r="I50" i="10" s="1"/>
  <c r="I9" i="13" s="1"/>
  <c r="J45" i="6"/>
  <c r="J83" i="10" s="1"/>
  <c r="F8" i="10"/>
  <c r="F7" i="13" s="1"/>
  <c r="H36" i="8"/>
  <c r="M10" i="9"/>
  <c r="L11" i="9"/>
  <c r="J8" i="8"/>
  <c r="J13" i="8" s="1"/>
  <c r="J19" i="8" s="1"/>
  <c r="L28" i="13" l="1"/>
  <c r="M77" i="10"/>
  <c r="J84" i="10"/>
  <c r="J35" i="13" s="1"/>
  <c r="J34" i="13"/>
  <c r="G36" i="13"/>
  <c r="H85" i="10"/>
  <c r="G23" i="7"/>
  <c r="G8" i="10" s="1"/>
  <c r="G7" i="13" s="1"/>
  <c r="H39" i="8"/>
  <c r="G25" i="7"/>
  <c r="G26" i="7" s="1"/>
  <c r="G10" i="7"/>
  <c r="F7" i="10"/>
  <c r="F6" i="13" s="1"/>
  <c r="F14" i="7"/>
  <c r="F28" i="7" s="1"/>
  <c r="L43" i="6"/>
  <c r="L44" i="6" s="1"/>
  <c r="L7" i="8"/>
  <c r="L12" i="9"/>
  <c r="I36" i="8"/>
  <c r="I37" i="8" s="1"/>
  <c r="I40" i="8" s="1"/>
  <c r="H51" i="6"/>
  <c r="I48" i="6"/>
  <c r="I50" i="6" s="1"/>
  <c r="J49" i="6" s="1"/>
  <c r="K8" i="8"/>
  <c r="K13" i="8" s="1"/>
  <c r="K19" i="8" s="1"/>
  <c r="J24" i="8"/>
  <c r="J46" i="10"/>
  <c r="J50" i="10" s="1"/>
  <c r="N10" i="9"/>
  <c r="N11" i="9" s="1"/>
  <c r="M11" i="9"/>
  <c r="H37" i="8"/>
  <c r="H40" i="8" s="1"/>
  <c r="H41" i="8" s="1"/>
  <c r="K45" i="6"/>
  <c r="K83" i="10" s="1"/>
  <c r="M28" i="13" l="1"/>
  <c r="N77" i="10"/>
  <c r="N28" i="13" s="1"/>
  <c r="K84" i="10"/>
  <c r="K35" i="13" s="1"/>
  <c r="K34" i="13"/>
  <c r="H36" i="13"/>
  <c r="I85" i="10"/>
  <c r="J36" i="8"/>
  <c r="J37" i="8" s="1"/>
  <c r="G7" i="10"/>
  <c r="G6" i="13" s="1"/>
  <c r="G14" i="7"/>
  <c r="G28" i="7" s="1"/>
  <c r="M43" i="6"/>
  <c r="M44" i="6" s="1"/>
  <c r="M7" i="8"/>
  <c r="M12" i="9"/>
  <c r="J9" i="13"/>
  <c r="K24" i="8"/>
  <c r="K30" i="8" s="1"/>
  <c r="K46" i="10"/>
  <c r="K50" i="10" s="1"/>
  <c r="K9" i="13" s="1"/>
  <c r="L8" i="8"/>
  <c r="L13" i="8" s="1"/>
  <c r="L19" i="8" s="1"/>
  <c r="I39" i="8"/>
  <c r="H23" i="7"/>
  <c r="N43" i="6"/>
  <c r="N44" i="6" s="1"/>
  <c r="N7" i="8"/>
  <c r="N12" i="9"/>
  <c r="J30" i="8"/>
  <c r="H10" i="7"/>
  <c r="I51" i="6"/>
  <c r="H25" i="7"/>
  <c r="L45" i="6"/>
  <c r="L83" i="10" s="1"/>
  <c r="J48" i="6"/>
  <c r="J50" i="6" s="1"/>
  <c r="K49" i="6" s="1"/>
  <c r="I36" i="13" l="1"/>
  <c r="J85" i="10"/>
  <c r="L84" i="10"/>
  <c r="L35" i="13" s="1"/>
  <c r="L34" i="13"/>
  <c r="J40" i="8"/>
  <c r="I10" i="7"/>
  <c r="I25" i="7"/>
  <c r="J51" i="6"/>
  <c r="N45" i="6"/>
  <c r="N83" i="10" s="1"/>
  <c r="L24" i="8"/>
  <c r="L30" i="8" s="1"/>
  <c r="L46" i="10"/>
  <c r="L50" i="10" s="1"/>
  <c r="L9" i="13" s="1"/>
  <c r="M8" i="8"/>
  <c r="M13" i="8" s="1"/>
  <c r="M19" i="8" s="1"/>
  <c r="K36" i="8"/>
  <c r="K48" i="6"/>
  <c r="H14" i="7"/>
  <c r="H7" i="10"/>
  <c r="H6" i="13" s="1"/>
  <c r="N8" i="8"/>
  <c r="N13" i="8" s="1"/>
  <c r="N19" i="8" s="1"/>
  <c r="H8" i="10"/>
  <c r="H7" i="13" s="1"/>
  <c r="H26" i="7"/>
  <c r="M45" i="6"/>
  <c r="M83" i="10" s="1"/>
  <c r="I41" i="8"/>
  <c r="M84" i="10" l="1"/>
  <c r="M34" i="13"/>
  <c r="N84" i="10"/>
  <c r="N35" i="13" s="1"/>
  <c r="N34" i="13"/>
  <c r="J36" i="13"/>
  <c r="K85" i="10"/>
  <c r="K50" i="6"/>
  <c r="L49" i="6" s="1"/>
  <c r="L36" i="8" s="1"/>
  <c r="J39" i="8"/>
  <c r="I23" i="7"/>
  <c r="N24" i="8"/>
  <c r="N46" i="10"/>
  <c r="N50" i="10" s="1"/>
  <c r="K37" i="8"/>
  <c r="K40" i="8" s="1"/>
  <c r="M24" i="8"/>
  <c r="M46" i="10"/>
  <c r="M50" i="10" s="1"/>
  <c r="M9" i="13" s="1"/>
  <c r="J10" i="7"/>
  <c r="J25" i="7"/>
  <c r="I14" i="7"/>
  <c r="I7" i="10"/>
  <c r="I6" i="13" s="1"/>
  <c r="H28" i="7"/>
  <c r="M35" i="13" l="1"/>
  <c r="K36" i="13"/>
  <c r="B37" i="13" s="1"/>
  <c r="L85" i="10"/>
  <c r="L36" i="13" s="1"/>
  <c r="B86" i="10"/>
  <c r="K51" i="6"/>
  <c r="L48" i="6"/>
  <c r="L50" i="6" s="1"/>
  <c r="M49" i="6" s="1"/>
  <c r="K10" i="7"/>
  <c r="K25" i="7"/>
  <c r="N9" i="13"/>
  <c r="B16" i="13" s="1"/>
  <c r="B51" i="10"/>
  <c r="I26" i="7"/>
  <c r="I28" i="7" s="1"/>
  <c r="I8" i="10"/>
  <c r="I7" i="13" s="1"/>
  <c r="J14" i="7"/>
  <c r="J7" i="10"/>
  <c r="J6" i="13" s="1"/>
  <c r="M30" i="8"/>
  <c r="N30" i="8"/>
  <c r="J41" i="8"/>
  <c r="L37" i="8"/>
  <c r="L40" i="8" s="1"/>
  <c r="M85" i="10" l="1"/>
  <c r="L51" i="6"/>
  <c r="L10" i="7" s="1"/>
  <c r="M36" i="8"/>
  <c r="M37" i="8" s="1"/>
  <c r="M40" i="8" s="1"/>
  <c r="M48" i="6"/>
  <c r="M50" i="6" s="1"/>
  <c r="N49" i="6" s="1"/>
  <c r="K39" i="8"/>
  <c r="J23" i="7"/>
  <c r="K14" i="7"/>
  <c r="K7" i="10"/>
  <c r="K6" i="13" s="1"/>
  <c r="M36" i="13" l="1"/>
  <c r="N85" i="10"/>
  <c r="N36" i="13" s="1"/>
  <c r="L25" i="7"/>
  <c r="N36" i="8"/>
  <c r="N48" i="6"/>
  <c r="J8" i="10"/>
  <c r="J7" i="13" s="1"/>
  <c r="J26" i="7"/>
  <c r="J28" i="7" s="1"/>
  <c r="L14" i="7"/>
  <c r="L7" i="10"/>
  <c r="L6" i="13" s="1"/>
  <c r="K41" i="8"/>
  <c r="M51" i="6"/>
  <c r="N50" i="6" l="1"/>
  <c r="N51" i="6" s="1"/>
  <c r="M10" i="7"/>
  <c r="M25" i="7"/>
  <c r="K23" i="7"/>
  <c r="L39" i="8"/>
  <c r="N37" i="8"/>
  <c r="N40" i="8" s="1"/>
  <c r="K26" i="7" l="1"/>
  <c r="K28" i="7" s="1"/>
  <c r="K8" i="10"/>
  <c r="K7" i="13" s="1"/>
  <c r="L41" i="8"/>
  <c r="N10" i="7"/>
  <c r="N25" i="7"/>
  <c r="M14" i="7"/>
  <c r="M7" i="10"/>
  <c r="M6" i="13" s="1"/>
  <c r="N14" i="7" l="1"/>
  <c r="N7" i="10"/>
  <c r="N6" i="13" s="1"/>
  <c r="M39" i="8"/>
  <c r="L23" i="7"/>
  <c r="L8" i="10" l="1"/>
  <c r="L7" i="13" s="1"/>
  <c r="L26" i="7"/>
  <c r="L28" i="7" s="1"/>
  <c r="M41" i="8"/>
  <c r="M23" i="7" l="1"/>
  <c r="N39" i="8"/>
  <c r="N41" i="8" s="1"/>
  <c r="N23" i="7" l="1"/>
  <c r="M26" i="7"/>
  <c r="M28" i="7" s="1"/>
  <c r="M8" i="10"/>
  <c r="M7" i="13" s="1"/>
  <c r="N8" i="10" l="1"/>
  <c r="N7" i="13" s="1"/>
  <c r="N26" i="7"/>
  <c r="N28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8" authorId="0" shapeId="0" xr:uid="{F00735E1-E6D4-4AFB-8F98-1834CF17449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CPLTD = Current portion of long term debt</t>
        </r>
      </text>
    </comment>
  </commentList>
</comments>
</file>

<file path=xl/sharedStrings.xml><?xml version="1.0" encoding="utf-8"?>
<sst xmlns="http://schemas.openxmlformats.org/spreadsheetml/2006/main" count="849" uniqueCount="446">
  <si>
    <t>Equity</t>
  </si>
  <si>
    <t xml:space="preserve">Capacity utilisation   </t>
  </si>
  <si>
    <t>Repairs and Maintenance</t>
  </si>
  <si>
    <t>All Numbers in INR Million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</si>
  <si>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</si>
  <si>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</si>
  <si>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</si>
  <si>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</si>
  <si>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</si>
  <si>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</si>
  <si>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</si>
  <si>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</si>
  <si>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Year-9</t>
  </si>
  <si>
    <t>Year-10</t>
  </si>
  <si>
    <t>Dates - Annual</t>
  </si>
  <si>
    <t>Year</t>
  </si>
  <si>
    <t>Debt Opening</t>
  </si>
  <si>
    <t>Closing</t>
  </si>
  <si>
    <t>Interest Expense</t>
  </si>
  <si>
    <t>Depreciation Expense</t>
  </si>
  <si>
    <t>Depreciation</t>
  </si>
  <si>
    <t>Sales</t>
  </si>
  <si>
    <t>Gross Profit</t>
  </si>
  <si>
    <t>PBT</t>
  </si>
  <si>
    <t>Add: SLM Depreciation</t>
  </si>
  <si>
    <t>Less: WDV Depreciation</t>
  </si>
  <si>
    <t>Total Assets</t>
  </si>
  <si>
    <t>Checksum</t>
  </si>
  <si>
    <t>Internal Rate of Return</t>
  </si>
  <si>
    <t>IRR</t>
  </si>
  <si>
    <t>Template</t>
  </si>
  <si>
    <t>Income Statement</t>
  </si>
  <si>
    <t>Debt service coverage ratio</t>
  </si>
  <si>
    <t>Interest+principal is the debt. DSR is the ratio of available cash to payable (inflow/outflow))</t>
  </si>
  <si>
    <t>Where debt is involved, DSR becomes decision criteria and for equity IRR becomes decision criteria</t>
  </si>
  <si>
    <t>Project cost</t>
  </si>
  <si>
    <t>Particulars</t>
  </si>
  <si>
    <t>Land</t>
  </si>
  <si>
    <t>Building</t>
  </si>
  <si>
    <t>Plant &amp; Machinery</t>
  </si>
  <si>
    <t>Margin money for working capital</t>
  </si>
  <si>
    <t>Total</t>
  </si>
  <si>
    <t>* Interest capitalized during const.period</t>
  </si>
  <si>
    <t>Preliminary &amp; Preoperative exp*</t>
  </si>
  <si>
    <t>Means of finance</t>
  </si>
  <si>
    <t>Source</t>
  </si>
  <si>
    <t>Amount (Millions)</t>
  </si>
  <si>
    <t>Promoters</t>
  </si>
  <si>
    <t>Public</t>
  </si>
  <si>
    <t>Term Loan</t>
  </si>
  <si>
    <t>Government incentive</t>
  </si>
  <si>
    <t>Assumptions Underlying Profitability Estimates</t>
  </si>
  <si>
    <t>Number of operating days in one year</t>
  </si>
  <si>
    <t>Number of shifts per day</t>
  </si>
  <si>
    <t>Data</t>
  </si>
  <si>
    <t>Raw material cost</t>
  </si>
  <si>
    <t>Power consumption</t>
  </si>
  <si>
    <t>Salaries, wages &amp; fringe benefits</t>
  </si>
  <si>
    <t>Salaries &amp; wages (first year)</t>
  </si>
  <si>
    <t>Fringe benefits</t>
  </si>
  <si>
    <t>Increase every year (%)</t>
  </si>
  <si>
    <t>Capacity used</t>
  </si>
  <si>
    <t>Trading sales (mill)</t>
  </si>
  <si>
    <t>Other income (operational)</t>
  </si>
  <si>
    <t>Excise duty (mill)</t>
  </si>
  <si>
    <t>Outside Purchase</t>
  </si>
  <si>
    <t>Purchase of goods for resale</t>
  </si>
  <si>
    <t>Consumable stores</t>
  </si>
  <si>
    <t xml:space="preserve">Repairs &amp; maintenance(included in factory OH) </t>
  </si>
  <si>
    <t>Research &amp; devep. expenses</t>
  </si>
  <si>
    <t>Other operating expenses</t>
  </si>
  <si>
    <t>Capitalized expenses</t>
  </si>
  <si>
    <t>Interest income</t>
  </si>
  <si>
    <t>Lease rentals</t>
  </si>
  <si>
    <t>Dividends</t>
  </si>
  <si>
    <t>Preference</t>
  </si>
  <si>
    <t>Addition to buildings</t>
  </si>
  <si>
    <t>Normal capex for machinery (mill)</t>
  </si>
  <si>
    <t>Level of current assets (Millions)</t>
  </si>
  <si>
    <t>Work in progress (Millions)</t>
  </si>
  <si>
    <t>Level of current liabilities (Millions)</t>
  </si>
  <si>
    <t>Bank borrowing for WC</t>
  </si>
  <si>
    <t>Interest calculation</t>
  </si>
  <si>
    <t>Term loan</t>
  </si>
  <si>
    <t>Principal repayment during year</t>
  </si>
  <si>
    <t>Repayment schedule</t>
  </si>
  <si>
    <t>Moratorium(years)</t>
  </si>
  <si>
    <t>Total number of installments</t>
  </si>
  <si>
    <t>Number of installments in one year</t>
  </si>
  <si>
    <t>Income tax(% of taxable profit of year)</t>
  </si>
  <si>
    <t>Admin overheads</t>
  </si>
  <si>
    <t>Interest rates p.a.</t>
  </si>
  <si>
    <t>Working capital</t>
  </si>
  <si>
    <t>%</t>
  </si>
  <si>
    <t>Depreciation (SLM)</t>
  </si>
  <si>
    <t>Number of shifts</t>
  </si>
  <si>
    <t>Building (%)</t>
  </si>
  <si>
    <t>Plant &amp; machinery (%)</t>
  </si>
  <si>
    <t>Depreciation (WDV)-for Income Tax</t>
  </si>
  <si>
    <t>Raw materials</t>
  </si>
  <si>
    <t>Cost of power</t>
  </si>
  <si>
    <t>Salaries &amp; wages</t>
  </si>
  <si>
    <t>Misc. factory overheads</t>
  </si>
  <si>
    <t xml:space="preserve">Misc. Factory Overheads (mill) </t>
  </si>
  <si>
    <t>Stores &amp; Spares (per tonne)</t>
  </si>
  <si>
    <t>Packing expenses per tonne</t>
  </si>
  <si>
    <t>Freight charges per tonne</t>
  </si>
  <si>
    <t>Dearlers' Commission (per tonne)</t>
  </si>
  <si>
    <t>Other cost</t>
  </si>
  <si>
    <t>Amount</t>
  </si>
  <si>
    <t>Preliminary expenses written off (mill p.a.)</t>
  </si>
  <si>
    <t>Stores &amp; Spares</t>
  </si>
  <si>
    <t>Freight charges</t>
  </si>
  <si>
    <t>Royalty</t>
  </si>
  <si>
    <t>Administrative overheads</t>
  </si>
  <si>
    <t>Royalty (% of sales) for first 5 years</t>
  </si>
  <si>
    <t>Royalty for number of years</t>
  </si>
  <si>
    <t>Preliminary expenses written off</t>
  </si>
  <si>
    <t>Working capital borrowings</t>
  </si>
  <si>
    <t>Amount of WC borrowings</t>
  </si>
  <si>
    <t>Interest on WC borrowings</t>
  </si>
  <si>
    <t>Total Interest</t>
  </si>
  <si>
    <t>Depreciation Schedule - SLM Depreciation</t>
  </si>
  <si>
    <t>Opening value</t>
  </si>
  <si>
    <t>Addition during the year</t>
  </si>
  <si>
    <t>Closing value</t>
  </si>
  <si>
    <t>Rate of depreciation</t>
  </si>
  <si>
    <t>Depreciation Schedule - WDV Depreciation</t>
  </si>
  <si>
    <t>Date of commercial Production</t>
  </si>
  <si>
    <t>Total value</t>
  </si>
  <si>
    <t>Total Depreciation - WDV</t>
  </si>
  <si>
    <t>Total depreciation  -SLM</t>
  </si>
  <si>
    <t>Excise duty</t>
  </si>
  <si>
    <t>Net Sales</t>
  </si>
  <si>
    <t>Trading sales</t>
  </si>
  <si>
    <t>Total Net Sales</t>
  </si>
  <si>
    <t>Other Income(Operatonal)</t>
  </si>
  <si>
    <t>Total operational income</t>
  </si>
  <si>
    <t>Expenses</t>
  </si>
  <si>
    <t>Raw materials consumed</t>
  </si>
  <si>
    <t>Packaging expenses</t>
  </si>
  <si>
    <t>Power,Fuel &amp; Water</t>
  </si>
  <si>
    <t>Salaries and Wages</t>
  </si>
  <si>
    <t>Factory Overheads</t>
  </si>
  <si>
    <t>(Increase)/decrease in WIP and Finished Goods</t>
  </si>
  <si>
    <t>Cost of goods sold</t>
  </si>
  <si>
    <t>Research &amp; Development exp.</t>
  </si>
  <si>
    <t>Prel. Exp written off</t>
  </si>
  <si>
    <t>Less: Capitalized expenses</t>
  </si>
  <si>
    <t>Total operating expenses</t>
  </si>
  <si>
    <t>Operating profit</t>
  </si>
  <si>
    <t>Interest expenses</t>
  </si>
  <si>
    <t>Non-operating income</t>
  </si>
  <si>
    <t>Profit Before Tax</t>
  </si>
  <si>
    <t>Taxation</t>
  </si>
  <si>
    <t>Net Profit/Loss</t>
  </si>
  <si>
    <t>Gross cash accruals</t>
  </si>
  <si>
    <t>Dividend</t>
  </si>
  <si>
    <t>Retained profit</t>
  </si>
  <si>
    <t>Accumulated Retained Profit</t>
  </si>
  <si>
    <t>Revised PBT</t>
  </si>
  <si>
    <t>Cumulative profit</t>
  </si>
  <si>
    <t>Income tax</t>
  </si>
  <si>
    <t>Effective Income Tax</t>
  </si>
  <si>
    <t>Operating Profit (A)</t>
  </si>
  <si>
    <t xml:space="preserve">Less: Tax  </t>
  </si>
  <si>
    <t>Operating Profit after Tax (B)</t>
  </si>
  <si>
    <t>Add: Non Cash Items</t>
  </si>
  <si>
    <t xml:space="preserve">       Depreciation</t>
  </si>
  <si>
    <t xml:space="preserve">       Preliminary Expenses</t>
  </si>
  <si>
    <t>Changes in working capital</t>
  </si>
  <si>
    <t>(Increase)/decrease in C.A.</t>
  </si>
  <si>
    <t>Increase/(decrease) in bank borrow.for WC</t>
  </si>
  <si>
    <t>Increase/(decrease) in other C.L.</t>
  </si>
  <si>
    <t>Gross Operating CFs ( C )</t>
  </si>
  <si>
    <t>Net Operating CFs (D)</t>
  </si>
  <si>
    <t>Less:Current Portion of LT Debt</t>
  </si>
  <si>
    <t>Less:Interest expenses</t>
  </si>
  <si>
    <t>Less:Lease rentals</t>
  </si>
  <si>
    <t>Net Operating CFs after financial payments (E)</t>
  </si>
  <si>
    <t>CAPEX</t>
  </si>
  <si>
    <t xml:space="preserve">Preliminary Expenses </t>
  </si>
  <si>
    <t>Investing CFs (F)</t>
  </si>
  <si>
    <t>Cash Before Financing (G)</t>
  </si>
  <si>
    <t>Equity capital raised</t>
  </si>
  <si>
    <t>Subsidy</t>
  </si>
  <si>
    <t xml:space="preserve">      Dividends paid</t>
  </si>
  <si>
    <t>Total Financing CFs (H)</t>
  </si>
  <si>
    <t xml:space="preserve">Preference capital raised </t>
  </si>
  <si>
    <t xml:space="preserve">Debt Raised </t>
  </si>
  <si>
    <t xml:space="preserve">Opening Balance of Cash </t>
  </si>
  <si>
    <t>Surplus/ Deficit</t>
  </si>
  <si>
    <t xml:space="preserve">Closing Balance of Cash </t>
  </si>
  <si>
    <t xml:space="preserve">Liabilities </t>
  </si>
  <si>
    <t>Share Capital</t>
  </si>
  <si>
    <t>Subsidies</t>
  </si>
  <si>
    <t>Retained Earnings</t>
  </si>
  <si>
    <t xml:space="preserve">Long Term Loans </t>
  </si>
  <si>
    <t>Loans from Banks for W.C</t>
  </si>
  <si>
    <t>Other current liabilities</t>
  </si>
  <si>
    <t>Total Liabilities</t>
  </si>
  <si>
    <t>Assets</t>
  </si>
  <si>
    <t>Gross Fixed Assets</t>
  </si>
  <si>
    <t>Less: Accumulated Depreciation</t>
  </si>
  <si>
    <t>Net Fixed Assets</t>
  </si>
  <si>
    <t>Current Assets</t>
  </si>
  <si>
    <t xml:space="preserve">Current Assets </t>
  </si>
  <si>
    <t xml:space="preserve">Cash &amp; Bank balance </t>
  </si>
  <si>
    <t>Preliminary Expenses</t>
  </si>
  <si>
    <t xml:space="preserve">Accumulated loss </t>
  </si>
  <si>
    <t>Debt to Equity ratio</t>
  </si>
  <si>
    <t>Current ratio</t>
  </si>
  <si>
    <t>Asset coverage ratio (%)</t>
  </si>
  <si>
    <t>Promoters contribution (%)</t>
  </si>
  <si>
    <t>Financial ratios</t>
  </si>
  <si>
    <t>Break-even point</t>
  </si>
  <si>
    <t>Break-even point calculation</t>
  </si>
  <si>
    <t>Variable cost</t>
  </si>
  <si>
    <t>Interest on WC</t>
  </si>
  <si>
    <t>Total Variable cost</t>
  </si>
  <si>
    <t>Fixed Cost</t>
  </si>
  <si>
    <t>Interest on term loans</t>
  </si>
  <si>
    <t>Total Fixed Cost</t>
  </si>
  <si>
    <t>Contribution</t>
  </si>
  <si>
    <t>Debt service ratio</t>
  </si>
  <si>
    <t>Net Operating CF</t>
  </si>
  <si>
    <t>Interest</t>
  </si>
  <si>
    <t>CPLTD</t>
  </si>
  <si>
    <t xml:space="preserve">Debt Service Ratio </t>
  </si>
  <si>
    <t>Avg. Debt Service Ratio</t>
  </si>
  <si>
    <t>Salvage value</t>
  </si>
  <si>
    <t>Percentage</t>
  </si>
  <si>
    <t>Plant &amp; machinery</t>
  </si>
  <si>
    <t>Working  capital</t>
  </si>
  <si>
    <t>IRR calculation</t>
  </si>
  <si>
    <t>Total salvage value</t>
  </si>
  <si>
    <t>Cash outflows</t>
  </si>
  <si>
    <t xml:space="preserve">Capital cost(excl.interest during construction) </t>
  </si>
  <si>
    <t>Net working capital</t>
  </si>
  <si>
    <t>Operational cost</t>
  </si>
  <si>
    <t>Total cash outflows</t>
  </si>
  <si>
    <t>Cash inflows</t>
  </si>
  <si>
    <t>Net cashflow</t>
  </si>
  <si>
    <t>Total Cash inflows</t>
  </si>
  <si>
    <t>Internal rate of return</t>
  </si>
  <si>
    <t>Promoters' Contribution(%)</t>
  </si>
  <si>
    <t>Leverage Ratio</t>
  </si>
  <si>
    <t>Current Ratio</t>
  </si>
  <si>
    <t>Asset Coverage Ratio(%)</t>
  </si>
  <si>
    <t>BEP(% capacity utilization)</t>
  </si>
  <si>
    <t>Debt Service Coverage</t>
  </si>
  <si>
    <t>BEP for 4th year</t>
  </si>
  <si>
    <t>Average Debt Service Coverage ratio</t>
  </si>
  <si>
    <t>Installed Capacity CKM/day)</t>
  </si>
  <si>
    <t>CKM per annum</t>
  </si>
  <si>
    <t>Copper</t>
  </si>
  <si>
    <t>Petroleum Jelly</t>
  </si>
  <si>
    <t>Poly AI Tape</t>
  </si>
  <si>
    <t>Polyethylene</t>
  </si>
  <si>
    <t>Steel Tape</t>
  </si>
  <si>
    <t>Cotton Tape</t>
  </si>
  <si>
    <t>Wrapping Tape</t>
  </si>
  <si>
    <t>Polyester Tape</t>
  </si>
  <si>
    <t>Consumption of power per CKM</t>
  </si>
  <si>
    <t>Net sales price per CKM</t>
  </si>
  <si>
    <t>Production capacity (CKM per annum)</t>
  </si>
  <si>
    <t>Wires produced (CKM per annum)</t>
  </si>
  <si>
    <t>Manufacturing sales (Millions)</t>
  </si>
  <si>
    <t>Wire produced (CKM per annum)</t>
  </si>
  <si>
    <t>Total raw material cost per CKM</t>
  </si>
  <si>
    <t>Cost per CKM</t>
  </si>
  <si>
    <t>Selling expenses @ 2% of sales</t>
  </si>
  <si>
    <t>Amount per CKM</t>
  </si>
  <si>
    <t>Cost/MT</t>
  </si>
  <si>
    <t>WACC</t>
  </si>
  <si>
    <t>Rate</t>
  </si>
  <si>
    <t>Long term loan</t>
  </si>
  <si>
    <t>Short term loan (Working capital)</t>
  </si>
  <si>
    <t>IRR Sensitivity with Raw material cost and Initial sales price/CKM</t>
  </si>
  <si>
    <t>ABC Cement Ltd.</t>
  </si>
  <si>
    <t>Data Section</t>
  </si>
  <si>
    <t>Project Cost</t>
  </si>
  <si>
    <t>( Mill.)</t>
  </si>
  <si>
    <t>Means of Finance</t>
  </si>
  <si>
    <t>(Mill.)</t>
  </si>
  <si>
    <t xml:space="preserve"> Share Capital</t>
  </si>
  <si>
    <t xml:space="preserve">          Promoters</t>
  </si>
  <si>
    <t xml:space="preserve">          Public</t>
  </si>
  <si>
    <t>Total equity capital</t>
  </si>
  <si>
    <t>Term loans</t>
  </si>
  <si>
    <t>Date of commercail Production</t>
  </si>
  <si>
    <t>Installed Capacity</t>
  </si>
  <si>
    <t>Product Mix</t>
  </si>
  <si>
    <t>Raw material contents &amp; costs per MT</t>
  </si>
  <si>
    <t>Contents(MT)</t>
  </si>
  <si>
    <t>Cost per MT</t>
  </si>
  <si>
    <t>Petroleum jelly</t>
  </si>
  <si>
    <t>Total raw material cost per tonne</t>
  </si>
  <si>
    <t>Net sales price per tonne</t>
  </si>
  <si>
    <t>Cost of power per Unit</t>
  </si>
  <si>
    <t>Consumption of power per tonne (units)</t>
  </si>
  <si>
    <t>Cost of power per CKM</t>
  </si>
  <si>
    <t xml:space="preserve">Salaries &amp; wages (first year) -mill </t>
  </si>
  <si>
    <t xml:space="preserve">Fringe benefits </t>
  </si>
  <si>
    <t>Increase every year(%)</t>
  </si>
  <si>
    <t>Misc. Factory Overheads (% of cost of materials)</t>
  </si>
  <si>
    <t>Packing expenses per CKM</t>
  </si>
  <si>
    <t>Dearlers' Commission (2% of sales)</t>
  </si>
  <si>
    <t>Admn. Overheads (mill)</t>
  </si>
  <si>
    <t>Interest rates (% p.a.)</t>
  </si>
  <si>
    <t>Other Income( non-operational)</t>
  </si>
  <si>
    <t>Normal capital expenditure for machinery (mill)</t>
  </si>
  <si>
    <t>Level of current assets (mill.)</t>
  </si>
  <si>
    <t>Work in process(mill)</t>
  </si>
  <si>
    <t>(included in current assets)</t>
  </si>
  <si>
    <t>Level of current liabilities</t>
  </si>
  <si>
    <t>Calculations Section</t>
  </si>
  <si>
    <t>Production (CKM)</t>
  </si>
  <si>
    <t>Manufacturing sales (mill)</t>
  </si>
  <si>
    <t>Cost of raw materials</t>
  </si>
  <si>
    <t>Packing expenses</t>
  </si>
  <si>
    <t>Selling expenses</t>
  </si>
  <si>
    <t>Interest Calculations</t>
  </si>
  <si>
    <t>Term Loans</t>
  </si>
  <si>
    <t>Opening balance</t>
  </si>
  <si>
    <t>Repayment during the year</t>
  </si>
  <si>
    <t>Closing balance</t>
  </si>
  <si>
    <t xml:space="preserve">Interest </t>
  </si>
  <si>
    <t>Total interest</t>
  </si>
  <si>
    <t>Depreciation Calculations</t>
  </si>
  <si>
    <t>Straight Line Method (SLM)</t>
  </si>
  <si>
    <t>Opening Value</t>
  </si>
  <si>
    <t>Depreciation on building</t>
  </si>
  <si>
    <t>Depreciation on P&amp;M</t>
  </si>
  <si>
    <t>Total depreciation (SLM)</t>
  </si>
  <si>
    <t>Written Down Value Method (WDV)</t>
  </si>
  <si>
    <t>Depreciated value</t>
  </si>
  <si>
    <t>Depreciation on P &amp; M</t>
  </si>
  <si>
    <t>Total depreciation (WDV)</t>
  </si>
  <si>
    <t>Income tax Calculations</t>
  </si>
  <si>
    <t>Profit before tax</t>
  </si>
  <si>
    <t>add: Dep(SLM)</t>
  </si>
  <si>
    <t>deduct: Dep(WDV)</t>
  </si>
  <si>
    <t>Output</t>
  </si>
  <si>
    <t>Capacity utilization %</t>
  </si>
  <si>
    <t>Manufacturing sales</t>
  </si>
  <si>
    <t>Manufacturing Net Sales</t>
  </si>
  <si>
    <t>Total net sales</t>
  </si>
  <si>
    <t>Gross profit</t>
  </si>
  <si>
    <t>Net profit/loss</t>
  </si>
  <si>
    <t>Dividend - pref</t>
  </si>
  <si>
    <t>Dividend - Equity</t>
  </si>
  <si>
    <t>Cash Flow Statement (Indirect Method)</t>
  </si>
  <si>
    <t xml:space="preserve">Operating Year </t>
  </si>
  <si>
    <t>Gross Operating CFs ©</t>
  </si>
  <si>
    <t xml:space="preserve">      Preference capital raised </t>
  </si>
  <si>
    <t xml:space="preserve">      Debt Raised </t>
  </si>
  <si>
    <t xml:space="preserve">Balance Sheet </t>
  </si>
  <si>
    <t xml:space="preserve">Share Capital </t>
  </si>
  <si>
    <t xml:space="preserve"> Subsidies </t>
  </si>
  <si>
    <t xml:space="preserve">Total Liabilities </t>
  </si>
  <si>
    <t xml:space="preserve">Assets </t>
  </si>
  <si>
    <t xml:space="preserve">Gross F.A. </t>
  </si>
  <si>
    <t>Less acumulated dep:</t>
  </si>
  <si>
    <t xml:space="preserve">Net F.A. </t>
  </si>
  <si>
    <t xml:space="preserve">TOTAL ASSETS </t>
  </si>
  <si>
    <t>Total Assets - Total Liab</t>
  </si>
  <si>
    <t>Important Financial Parameters</t>
  </si>
  <si>
    <t>Debt to Equity Ratio</t>
  </si>
  <si>
    <t xml:space="preserve">Break-even Point </t>
  </si>
  <si>
    <t>Variable Cost</t>
  </si>
  <si>
    <t>Salaries and Wages(60%)</t>
  </si>
  <si>
    <t>Total Var. Cost</t>
  </si>
  <si>
    <t>Salaries and Wages(40%)</t>
  </si>
  <si>
    <t>Total fixed cost</t>
  </si>
  <si>
    <t>Debt Service Ratio</t>
  </si>
  <si>
    <t>Net Op. CF/(Interest+lease rentals+CPLTD)</t>
  </si>
  <si>
    <t>IRR Calculations</t>
  </si>
  <si>
    <t>Cash Outflows</t>
  </si>
  <si>
    <t>Cash Inflows</t>
  </si>
  <si>
    <t>Total cash inflows</t>
  </si>
  <si>
    <t>Net flow</t>
  </si>
  <si>
    <t>Output:</t>
  </si>
  <si>
    <t>Raw material cost/CKM</t>
  </si>
  <si>
    <t>Initial sales price/CKM</t>
  </si>
  <si>
    <t>Break-even point (Capacity Utilzation)</t>
  </si>
  <si>
    <t>Break-even point (Units-CKM)</t>
  </si>
  <si>
    <t>Mean</t>
  </si>
  <si>
    <t>Standard Deviation</t>
  </si>
  <si>
    <t>Max</t>
  </si>
  <si>
    <t>Min</t>
  </si>
  <si>
    <t>Z Value</t>
  </si>
  <si>
    <t>Rejection Prob</t>
  </si>
  <si>
    <t>Acceptance Prob</t>
  </si>
  <si>
    <t>Range</t>
  </si>
  <si>
    <t>Frequency</t>
  </si>
  <si>
    <t>Skewness</t>
  </si>
  <si>
    <t>Kurtosis</t>
  </si>
  <si>
    <t>JB</t>
  </si>
  <si>
    <t>Capacity utilization</t>
  </si>
  <si>
    <t>Initial sale price/CKM</t>
  </si>
  <si>
    <t>Random between 450 and 550 per CKM</t>
  </si>
  <si>
    <t>Acceptance Probability - Avg DSCR</t>
  </si>
  <si>
    <t>Acceptance Probability - IRR</t>
  </si>
  <si>
    <t>Prob %</t>
  </si>
  <si>
    <t>Skew</t>
  </si>
  <si>
    <t>JB Test</t>
  </si>
  <si>
    <t>Chi CV (95%,2 df)</t>
  </si>
  <si>
    <t>P value of JB Test</t>
  </si>
  <si>
    <t>Random between 15% less than expected capacity utilization. Eg. For 1st year between 30% and 45%</t>
  </si>
  <si>
    <t>Variable</t>
  </si>
  <si>
    <t>Condition of scenarios</t>
  </si>
  <si>
    <t>Simulated IRR</t>
  </si>
  <si>
    <t>Sim IRR - WACC</t>
  </si>
  <si>
    <t>BEP (Sales in million)</t>
  </si>
  <si>
    <t>BEP (Units - CKM)</t>
  </si>
  <si>
    <t>Discounted pay back period</t>
  </si>
  <si>
    <t>Discounted cash flows</t>
  </si>
  <si>
    <t>Cumulative DCF</t>
  </si>
  <si>
    <t>Pay back period</t>
  </si>
  <si>
    <t>Discounted pay back period - Principal</t>
  </si>
  <si>
    <t>PV of principal</t>
  </si>
  <si>
    <t>Principal amount</t>
  </si>
  <si>
    <t>Gross cash accruals (Income statement)</t>
  </si>
  <si>
    <t>PV of Gross cash accruals</t>
  </si>
  <si>
    <t>Payback period</t>
  </si>
  <si>
    <t>Random between 240 and 300</t>
  </si>
  <si>
    <t>Sensitivity analysis</t>
  </si>
  <si>
    <t>Scenario analysis - Simulated with below parameters</t>
  </si>
  <si>
    <t>DSCR</t>
  </si>
  <si>
    <t>Sensitivity and scenario analysis - Quality Cables</t>
  </si>
  <si>
    <t>Important financial paramters - Quality Cables</t>
  </si>
  <si>
    <t>Assumptions - Quality Cables</t>
  </si>
  <si>
    <t>Annual Sales - Quality Cables</t>
  </si>
  <si>
    <t>Annual Expenses - Quality Cables</t>
  </si>
  <si>
    <t>Tax Schedule - Quality Cables</t>
  </si>
  <si>
    <t>Income Statement - Quality Cables</t>
  </si>
  <si>
    <t>Cash Flow Statement - Indirect Method (Quality Cables)</t>
  </si>
  <si>
    <t>Balance Sheet - Quality Cables</t>
  </si>
  <si>
    <t>Total Salvage Value</t>
  </si>
  <si>
    <t>Net cash flow</t>
  </si>
  <si>
    <t>IRR Calculation</t>
  </si>
  <si>
    <t>Debt Service Ration Calculation</t>
  </si>
  <si>
    <t>Avg DSR</t>
  </si>
  <si>
    <t>Simulated DSCR</t>
  </si>
  <si>
    <t>Data normal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</si>
</sst>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_(* #,##0_);_(* \(#,##0\);_(* &quot;-&quot;??_);_(@_)"/>
    <numFmt numFmtId="166" formatCode="[$-409]mmm\-yy;@"/>
    <numFmt numFmtId="167" formatCode="0.0%"/>
    <numFmt numFmtId="168" formatCode="0.0"/>
    <numFmt numFmtId="169" formatCode="0.00000000000000000"/>
    <numFmt numFmtId="170" formatCode="0.000000"/>
    <numFmt numFmtId="171" formatCode="0.0000%"/>
    <numFmt numFmtId="172" formatCode="_(* #,##0.0000_);_(* \(#,##0.0000\);_(* &quot;-&quot;??_);_(@_)"/>
    <numFmt numFmtId="173" formatCode="0.000%"/>
    <numFmt numFmtId="174" formatCode="0.000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b/>
      <sz val="10"/>
      <color indexed="6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4" fillId="0" borderId="0" xfId="0" applyFont="1"/>
    <xf numFmtId="165" fontId="0" fillId="0" borderId="0" xfId="1" applyNumberFormat="1" applyFont="1"/>
    <xf numFmtId="0" fontId="0" fillId="0" borderId="1" xfId="0" applyBorder="1"/>
    <xf numFmtId="9" fontId="0" fillId="0" borderId="0" xfId="0" applyNumberFormat="1"/>
    <xf numFmtId="0" fontId="0" fillId="0" borderId="0" xfId="0" applyFont="1"/>
    <xf numFmtId="0" fontId="7" fillId="2" borderId="0" xfId="0" applyFont="1" applyFill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167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/>
    <xf numFmtId="9" fontId="0" fillId="0" borderId="2" xfId="2" applyFont="1" applyBorder="1"/>
    <xf numFmtId="164" fontId="0" fillId="0" borderId="0" xfId="0" applyNumberFormat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3" fillId="4" borderId="2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2" xfId="0" applyBorder="1" applyAlignment="1">
      <alignment horizontal="left" indent="4"/>
    </xf>
    <xf numFmtId="0" fontId="9" fillId="0" borderId="0" xfId="0" applyFont="1"/>
    <xf numFmtId="0" fontId="3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2" xfId="0" applyFont="1" applyFill="1" applyBorder="1" applyAlignment="1"/>
    <xf numFmtId="0" fontId="8" fillId="0" borderId="2" xfId="0" applyFont="1" applyBorder="1" applyAlignment="1"/>
    <xf numFmtId="0" fontId="0" fillId="0" borderId="2" xfId="0" applyBorder="1" applyAlignment="1"/>
    <xf numFmtId="0" fontId="9" fillId="0" borderId="2" xfId="0" applyFont="1" applyBorder="1" applyAlignment="1"/>
    <xf numFmtId="0" fontId="0" fillId="0" borderId="2" xfId="0" applyBorder="1" applyAlignment="1">
      <alignment horizontal="left" indent="6"/>
    </xf>
    <xf numFmtId="9" fontId="0" fillId="0" borderId="0" xfId="0" applyNumberFormat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2" xfId="0" applyFill="1" applyBorder="1" applyAlignment="1"/>
    <xf numFmtId="0" fontId="0" fillId="0" borderId="2" xfId="0" applyFont="1" applyBorder="1"/>
    <xf numFmtId="0" fontId="7" fillId="2" borderId="0" xfId="0" applyFont="1" applyFill="1" applyAlignment="1">
      <alignment horizontal="center"/>
    </xf>
    <xf numFmtId="1" fontId="0" fillId="0" borderId="2" xfId="0" applyNumberFormat="1" applyBorder="1" applyAlignment="1">
      <alignment horizontal="center"/>
    </xf>
    <xf numFmtId="0" fontId="6" fillId="0" borderId="0" xfId="0" applyFont="1" applyAlignment="1">
      <alignment horizontal="left" indent="2"/>
    </xf>
    <xf numFmtId="2" fontId="0" fillId="0" borderId="0" xfId="0" applyNumberFormat="1"/>
    <xf numFmtId="0" fontId="10" fillId="0" borderId="0" xfId="0" applyFont="1"/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1" fontId="8" fillId="6" borderId="2" xfId="0" applyNumberFormat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3" xfId="0" applyFont="1" applyBorder="1"/>
    <xf numFmtId="0" fontId="0" fillId="0" borderId="2" xfId="0" applyFill="1" applyBorder="1" applyAlignment="1">
      <alignment horizontal="center"/>
    </xf>
    <xf numFmtId="0" fontId="9" fillId="0" borderId="2" xfId="0" applyFont="1" applyBorder="1"/>
    <xf numFmtId="1" fontId="0" fillId="0" borderId="2" xfId="0" applyNumberFormat="1" applyFill="1" applyBorder="1" applyAlignment="1">
      <alignment horizontal="center"/>
    </xf>
    <xf numFmtId="0" fontId="0" fillId="0" borderId="0" xfId="0" applyBorder="1" applyAlignment="1"/>
    <xf numFmtId="0" fontId="0" fillId="6" borderId="0" xfId="0" applyFill="1"/>
    <xf numFmtId="0" fontId="4" fillId="6" borderId="0" xfId="0" applyFont="1" applyFill="1"/>
    <xf numFmtId="164" fontId="0" fillId="0" borderId="0" xfId="1" applyNumberFormat="1" applyFont="1"/>
    <xf numFmtId="164" fontId="0" fillId="0" borderId="3" xfId="0" applyNumberFormat="1" applyBorder="1"/>
    <xf numFmtId="0" fontId="3" fillId="0" borderId="0" xfId="0" applyFont="1" applyFill="1" applyBorder="1"/>
    <xf numFmtId="0" fontId="0" fillId="0" borderId="3" xfId="0" applyFill="1" applyBorder="1"/>
    <xf numFmtId="164" fontId="0" fillId="0" borderId="1" xfId="0" applyNumberFormat="1" applyBorder="1"/>
    <xf numFmtId="0" fontId="3" fillId="0" borderId="0" xfId="0" applyFont="1" applyBorder="1"/>
    <xf numFmtId="0" fontId="9" fillId="0" borderId="1" xfId="0" applyFont="1" applyBorder="1"/>
    <xf numFmtId="0" fontId="9" fillId="0" borderId="0" xfId="0" applyFont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0" fillId="0" borderId="1" xfId="1" applyNumberFormat="1" applyFont="1" applyBorder="1"/>
    <xf numFmtId="0" fontId="0" fillId="0" borderId="0" xfId="0" applyAlignment="1">
      <alignment wrapText="1"/>
    </xf>
    <xf numFmtId="0" fontId="3" fillId="0" borderId="1" xfId="0" applyFont="1" applyFill="1" applyBorder="1"/>
    <xf numFmtId="0" fontId="8" fillId="0" borderId="0" xfId="0" applyFont="1"/>
    <xf numFmtId="0" fontId="8" fillId="0" borderId="0" xfId="0" applyFont="1" applyAlignment="1">
      <alignment horizontal="left" indent="6"/>
    </xf>
    <xf numFmtId="0" fontId="3" fillId="0" borderId="1" xfId="0" applyFont="1" applyBorder="1"/>
    <xf numFmtId="0" fontId="3" fillId="4" borderId="5" xfId="0" applyFont="1" applyFill="1" applyBorder="1" applyAlignment="1">
      <alignment horizontal="center"/>
    </xf>
    <xf numFmtId="0" fontId="11" fillId="0" borderId="1" xfId="0" applyFont="1" applyBorder="1"/>
    <xf numFmtId="0" fontId="9" fillId="0" borderId="1" xfId="0" applyFont="1" applyBorder="1" applyAlignment="1">
      <alignment wrapText="1"/>
    </xf>
    <xf numFmtId="0" fontId="8" fillId="6" borderId="0" xfId="0" applyFont="1" applyFill="1"/>
    <xf numFmtId="0" fontId="8" fillId="0" borderId="0" xfId="0" applyFont="1" applyAlignment="1">
      <alignment horizontal="left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/>
    </xf>
    <xf numFmtId="164" fontId="2" fillId="0" borderId="0" xfId="0" applyNumberFormat="1" applyFont="1"/>
    <xf numFmtId="0" fontId="0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4"/>
    </xf>
    <xf numFmtId="0" fontId="3" fillId="0" borderId="1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5" borderId="7" xfId="0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4" fontId="0" fillId="0" borderId="0" xfId="2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 applyAlignment="1"/>
    <xf numFmtId="10" fontId="0" fillId="0" borderId="0" xfId="2" applyNumberFormat="1" applyFont="1" applyBorder="1"/>
    <xf numFmtId="0" fontId="7" fillId="2" borderId="0" xfId="0" applyFont="1" applyFill="1" applyAlignment="1"/>
    <xf numFmtId="0" fontId="0" fillId="0" borderId="0" xfId="0" applyAlignment="1"/>
    <xf numFmtId="164" fontId="0" fillId="0" borderId="0" xfId="1" applyNumberFormat="1" applyFont="1" applyBorder="1" applyAlignment="1"/>
    <xf numFmtId="10" fontId="0" fillId="0" borderId="0" xfId="2" applyNumberFormat="1" applyFont="1" applyBorder="1" applyAlignment="1"/>
    <xf numFmtId="164" fontId="0" fillId="0" borderId="1" xfId="0" applyNumberFormat="1" applyBorder="1" applyAlignment="1"/>
    <xf numFmtId="164" fontId="3" fillId="0" borderId="0" xfId="0" applyNumberFormat="1" applyFont="1"/>
    <xf numFmtId="0" fontId="3" fillId="0" borderId="1" xfId="0" applyFont="1" applyFill="1" applyBorder="1" applyAlignment="1"/>
    <xf numFmtId="10" fontId="3" fillId="0" borderId="0" xfId="0" applyNumberFormat="1" applyFont="1"/>
    <xf numFmtId="10" fontId="0" fillId="0" borderId="0" xfId="0" applyNumberFormat="1" applyAlignment="1"/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left" indent="16"/>
    </xf>
    <xf numFmtId="2" fontId="3" fillId="0" borderId="2" xfId="0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9" fontId="0" fillId="0" borderId="2" xfId="0" applyNumberFormat="1" applyFill="1" applyBorder="1"/>
    <xf numFmtId="165" fontId="0" fillId="0" borderId="0" xfId="0" applyNumberFormat="1"/>
    <xf numFmtId="9" fontId="0" fillId="3" borderId="2" xfId="0" applyNumberFormat="1" applyFill="1" applyBorder="1" applyAlignment="1">
      <alignment horizontal="center"/>
    </xf>
    <xf numFmtId="0" fontId="0" fillId="0" borderId="0" xfId="0" applyFont="1" applyBorder="1"/>
    <xf numFmtId="2" fontId="0" fillId="0" borderId="0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9" fontId="0" fillId="0" borderId="0" xfId="2" applyFont="1"/>
    <xf numFmtId="167" fontId="0" fillId="0" borderId="0" xfId="2" applyNumberFormat="1" applyFont="1"/>
    <xf numFmtId="10" fontId="0" fillId="0" borderId="0" xfId="2" applyNumberFormat="1" applyFont="1"/>
    <xf numFmtId="167" fontId="0" fillId="0" borderId="0" xfId="2" applyNumberFormat="1" applyFont="1" applyBorder="1"/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0" fontId="9" fillId="3" borderId="0" xfId="0" applyFont="1" applyFill="1"/>
    <xf numFmtId="1" fontId="8" fillId="6" borderId="0" xfId="0" applyNumberFormat="1" applyFont="1" applyFill="1"/>
    <xf numFmtId="0" fontId="9" fillId="6" borderId="0" xfId="0" applyFont="1" applyFill="1"/>
    <xf numFmtId="0" fontId="9" fillId="7" borderId="0" xfId="0" applyFont="1" applyFill="1"/>
    <xf numFmtId="0" fontId="0" fillId="7" borderId="0" xfId="0" applyFill="1"/>
    <xf numFmtId="164" fontId="8" fillId="0" borderId="0" xfId="0" applyNumberFormat="1" applyFont="1"/>
    <xf numFmtId="0" fontId="12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9" fillId="0" borderId="8" xfId="0" applyFont="1" applyBorder="1"/>
    <xf numFmtId="0" fontId="8" fillId="0" borderId="0" xfId="0" applyFont="1" applyFill="1" applyBorder="1"/>
    <xf numFmtId="0" fontId="8" fillId="0" borderId="8" xfId="0" applyFont="1" applyBorder="1"/>
    <xf numFmtId="0" fontId="13" fillId="7" borderId="0" xfId="0" applyFont="1" applyFill="1"/>
    <xf numFmtId="10" fontId="0" fillId="0" borderId="0" xfId="0" applyNumberFormat="1"/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2" xfId="2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2" applyNumberFormat="1" applyFont="1"/>
    <xf numFmtId="10" fontId="0" fillId="0" borderId="1" xfId="2" applyNumberFormat="1" applyFont="1" applyBorder="1" applyAlignment="1"/>
    <xf numFmtId="169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/>
    <xf numFmtId="171" fontId="0" fillId="0" borderId="0" xfId="2" applyNumberFormat="1" applyFont="1"/>
    <xf numFmtId="168" fontId="0" fillId="0" borderId="0" xfId="0" applyNumberFormat="1"/>
    <xf numFmtId="10" fontId="0" fillId="0" borderId="2" xfId="0" applyNumberFormat="1" applyBorder="1"/>
    <xf numFmtId="0" fontId="3" fillId="0" borderId="0" xfId="0" applyFont="1" applyBorder="1" applyAlignment="1">
      <alignment horizontal="center"/>
    </xf>
    <xf numFmtId="10" fontId="3" fillId="0" borderId="0" xfId="2" applyNumberFormat="1" applyFont="1"/>
    <xf numFmtId="167" fontId="3" fillId="0" borderId="0" xfId="0" applyNumberFormat="1" applyFont="1"/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167" fontId="3" fillId="0" borderId="0" xfId="2" applyNumberFormat="1" applyFont="1"/>
    <xf numFmtId="0" fontId="0" fillId="5" borderId="0" xfId="0" applyFill="1"/>
    <xf numFmtId="164" fontId="0" fillId="5" borderId="0" xfId="0" applyNumberFormat="1" applyFill="1"/>
    <xf numFmtId="2" fontId="3" fillId="0" borderId="0" xfId="0" applyNumberFormat="1" applyFont="1"/>
    <xf numFmtId="2" fontId="0" fillId="0" borderId="0" xfId="0" applyNumberFormat="1" applyAlignment="1"/>
    <xf numFmtId="164" fontId="0" fillId="0" borderId="0" xfId="0" applyNumberFormat="1" applyFont="1"/>
    <xf numFmtId="10" fontId="3" fillId="0" borderId="1" xfId="2" applyNumberFormat="1" applyFont="1" applyBorder="1" applyAlignment="1"/>
    <xf numFmtId="172" fontId="0" fillId="0" borderId="0" xfId="0" applyNumberFormat="1" applyAlignment="1">
      <alignment horizontal="center"/>
    </xf>
    <xf numFmtId="173" fontId="0" fillId="0" borderId="0" xfId="2" applyNumberFormat="1" applyFont="1"/>
    <xf numFmtId="174" fontId="0" fillId="0" borderId="0" xfId="2" applyNumberFormat="1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 textRotation="90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3" fillId="4" borderId="0" xfId="0" applyFont="1" applyFill="1" applyBorder="1" applyAlignment="1">
      <alignment horizontal="left"/>
    </xf>
    <xf numFmtId="166" fontId="0" fillId="4" borderId="0" xfId="0" applyNumberForma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0" fontId="9" fillId="0" borderId="0" xfId="0" applyFont="1" applyAlignment="1">
      <alignment horizontal="left"/>
    </xf>
    <xf numFmtId="0" fontId="8" fillId="0" borderId="8" xfId="0" applyFont="1" applyBorder="1" applyAlignment="1">
      <alignment horizontal="left" indent="1"/>
    </xf>
    <xf numFmtId="0" fontId="0" fillId="0" borderId="8" xfId="0" applyBorder="1"/>
    <xf numFmtId="168" fontId="0" fillId="0" borderId="8" xfId="0" applyNumberForma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E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Simulated</a:t>
            </a:r>
            <a:r>
              <a:rPr lang="en-US" baseline="0"/>
              <a:t> Avg DSCR </a:t>
            </a:r>
            <a:r>
              <a:rPr lang="en-US"/>
              <a:t>Distribution</a:t>
            </a:r>
          </a:p>
        </c:rich>
      </c:tx>
      <c:layout>
        <c:manualLayout>
          <c:xMode val="edge"/>
          <c:yMode val="edge"/>
          <c:x val="0.13386811023622083"/>
          <c:y val="3.703703703703705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'Sensitivity and scenario analy'!$M$15</c:f>
              <c:strCache>
                <c:ptCount val="1"/>
                <c:pt idx="0">
                  <c:v>Frequency</c:v>
                </c:pt>
              </c:strCache>
            </c:strRef>
          </c:tx>
          <c:marker>
            <c:symbol val="none"/>
          </c:marker>
          <c:cat>
            <c:numRef>
              <c:f>'Sensitivity and scenario analy'!$L$16:$L$29</c:f>
              <c:numCache>
                <c:formatCode>0.00</c:formatCode>
                <c:ptCount val="14"/>
                <c:pt idx="0">
                  <c:v>1.0625373000560565</c:v>
                </c:pt>
                <c:pt idx="1">
                  <c:v>1.3125373000560565</c:v>
                </c:pt>
                <c:pt idx="2">
                  <c:v>1.5625373000560565</c:v>
                </c:pt>
                <c:pt idx="3">
                  <c:v>1.8125373000560565</c:v>
                </c:pt>
                <c:pt idx="4">
                  <c:v>2.0625373000560563</c:v>
                </c:pt>
                <c:pt idx="5">
                  <c:v>2.3125373000560563</c:v>
                </c:pt>
                <c:pt idx="6">
                  <c:v>2.5625373000560563</c:v>
                </c:pt>
                <c:pt idx="7">
                  <c:v>2.8125373000560563</c:v>
                </c:pt>
                <c:pt idx="8">
                  <c:v>3.0625373000560563</c:v>
                </c:pt>
                <c:pt idx="9">
                  <c:v>3.3125373000560563</c:v>
                </c:pt>
                <c:pt idx="10">
                  <c:v>3.5625373000560563</c:v>
                </c:pt>
                <c:pt idx="11">
                  <c:v>3.8125373000560563</c:v>
                </c:pt>
                <c:pt idx="12">
                  <c:v>4.0625373000560563</c:v>
                </c:pt>
                <c:pt idx="13">
                  <c:v>4.3125373000560563</c:v>
                </c:pt>
              </c:numCache>
            </c:numRef>
          </c:cat>
          <c:val>
            <c:numRef>
              <c:f>'Sensitivity and scenario analy'!$M$16:$M$29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26</c:v>
                </c:pt>
                <c:pt idx="6">
                  <c:v>18</c:v>
                </c:pt>
                <c:pt idx="7">
                  <c:v>19</c:v>
                </c:pt>
                <c:pt idx="8">
                  <c:v>15</c:v>
                </c:pt>
                <c:pt idx="9">
                  <c:v>6</c:v>
                </c:pt>
                <c:pt idx="10">
                  <c:v>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6-4D82-8365-F7FFF626E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9088"/>
        <c:axId val="178819072"/>
      </c:lineChart>
      <c:catAx>
        <c:axId val="1788090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8819072"/>
        <c:crosses val="autoZero"/>
        <c:auto val="1"/>
        <c:lblAlgn val="ctr"/>
        <c:lblOffset val="100"/>
        <c:noMultiLvlLbl val="0"/>
      </c:catAx>
      <c:valAx>
        <c:axId val="17881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80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Simulated IRR Distribution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'Sensitivity and scenario analy'!$E$15</c:f>
              <c:strCache>
                <c:ptCount val="1"/>
                <c:pt idx="0">
                  <c:v>Frequency</c:v>
                </c:pt>
              </c:strCache>
            </c:strRef>
          </c:tx>
          <c:marker>
            <c:symbol val="none"/>
          </c:marker>
          <c:cat>
            <c:numRef>
              <c:f>'Sensitivity and scenario analy'!$D$16:$D$38</c:f>
              <c:numCache>
                <c:formatCode>0%</c:formatCode>
                <c:ptCount val="23"/>
                <c:pt idx="0">
                  <c:v>4.1430027517016979E-2</c:v>
                </c:pt>
                <c:pt idx="1">
                  <c:v>6.1430027517016983E-2</c:v>
                </c:pt>
                <c:pt idx="2">
                  <c:v>8.1430027517016987E-2</c:v>
                </c:pt>
                <c:pt idx="3">
                  <c:v>0.10143002751701699</c:v>
                </c:pt>
                <c:pt idx="4">
                  <c:v>0.12143002751701699</c:v>
                </c:pt>
                <c:pt idx="5">
                  <c:v>0.141430027517017</c:v>
                </c:pt>
                <c:pt idx="6">
                  <c:v>0.16143002751701699</c:v>
                </c:pt>
                <c:pt idx="7">
                  <c:v>0.18143002751701698</c:v>
                </c:pt>
                <c:pt idx="8">
                  <c:v>0.20143002751701697</c:v>
                </c:pt>
                <c:pt idx="9">
                  <c:v>0.22143002751701696</c:v>
                </c:pt>
                <c:pt idx="10">
                  <c:v>0.24143002751701695</c:v>
                </c:pt>
                <c:pt idx="11">
                  <c:v>0.26143002751701694</c:v>
                </c:pt>
                <c:pt idx="12">
                  <c:v>0.28143002751701696</c:v>
                </c:pt>
                <c:pt idx="13">
                  <c:v>0.30143002751701697</c:v>
                </c:pt>
                <c:pt idx="14">
                  <c:v>0.32143002751701699</c:v>
                </c:pt>
                <c:pt idx="15">
                  <c:v>0.34143002751701701</c:v>
                </c:pt>
                <c:pt idx="16">
                  <c:v>0.36143002751701703</c:v>
                </c:pt>
                <c:pt idx="17">
                  <c:v>0.38143002751701705</c:v>
                </c:pt>
                <c:pt idx="18">
                  <c:v>0.40143002751701706</c:v>
                </c:pt>
                <c:pt idx="19">
                  <c:v>0.42143002751701708</c:v>
                </c:pt>
                <c:pt idx="20">
                  <c:v>0.4414300275170171</c:v>
                </c:pt>
                <c:pt idx="21">
                  <c:v>0.46143002751701712</c:v>
                </c:pt>
                <c:pt idx="22">
                  <c:v>0.48143002751701713</c:v>
                </c:pt>
              </c:numCache>
            </c:numRef>
          </c:cat>
          <c:val>
            <c:numRef>
              <c:f>'Sensitivity and scenario analy'!$E$16:$E$38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15</c:v>
                </c:pt>
                <c:pt idx="9">
                  <c:v>9</c:v>
                </c:pt>
                <c:pt idx="10">
                  <c:v>13</c:v>
                </c:pt>
                <c:pt idx="11">
                  <c:v>9</c:v>
                </c:pt>
                <c:pt idx="12">
                  <c:v>12</c:v>
                </c:pt>
                <c:pt idx="13">
                  <c:v>8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9-4BDC-BFEA-776463375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39552"/>
        <c:axId val="178841088"/>
      </c:lineChart>
      <c:catAx>
        <c:axId val="17883955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178841088"/>
        <c:crosses val="autoZero"/>
        <c:auto val="1"/>
        <c:lblAlgn val="ctr"/>
        <c:lblOffset val="100"/>
        <c:noMultiLvlLbl val="0"/>
      </c:catAx>
      <c:valAx>
        <c:axId val="17884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83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14129483814523"/>
          <c:y val="0.1532524059492564"/>
          <c:w val="0.85130314960629916"/>
          <c:h val="0.6963732137649461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'Summary Output'!$E$9:$N$9</c:f>
              <c:numCache>
                <c:formatCode>_(* #,##0.00_);_(* \(#,##0.00\);_(* "-"??_);_(@_)</c:formatCode>
                <c:ptCount val="10"/>
                <c:pt idx="0">
                  <c:v>3.0718422116084421</c:v>
                </c:pt>
                <c:pt idx="1">
                  <c:v>3.5273491855974983</c:v>
                </c:pt>
                <c:pt idx="2">
                  <c:v>2.2197072977173349</c:v>
                </c:pt>
                <c:pt idx="3">
                  <c:v>2.5868856780294709</c:v>
                </c:pt>
                <c:pt idx="4">
                  <c:v>2.7610838024329185</c:v>
                </c:pt>
                <c:pt idx="5">
                  <c:v>3.0499213181551372</c:v>
                </c:pt>
                <c:pt idx="6">
                  <c:v>3.2359018371721677</c:v>
                </c:pt>
                <c:pt idx="7">
                  <c:v>3.4552025908845372</c:v>
                </c:pt>
                <c:pt idx="8">
                  <c:v>3.7158487647815508</c:v>
                </c:pt>
                <c:pt idx="9">
                  <c:v>4.0293649114355894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E-4FF7-87B8-B398CC78C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06048"/>
        <c:axId val="167107584"/>
      </c:lineChart>
      <c:catAx>
        <c:axId val="167106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107584"/>
        <c:crosses val="autoZero"/>
        <c:auto val="1"/>
        <c:lblAlgn val="ctr"/>
        <c:lblOffset val="100"/>
        <c:noMultiLvlLbl val="0"/>
      </c:catAx>
      <c:valAx>
        <c:axId val="16710758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67106048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361951</xdr:colOff>
      <xdr:row>34</xdr:row>
      <xdr:rowOff>66675</xdr:rowOff>
    </xdr:from>
    <xdr:to>
      <xdr:col>14</xdr:col>
      <xdr:colOff>1362075</xdr:colOff>
      <xdr:row>46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390525</xdr:colOff>
      <xdr:row>40</xdr:row>
      <xdr:rowOff>0</xdr:rowOff>
    </xdr:from>
    <xdr:to>
      <xdr:col>7</xdr:col>
      <xdr:colOff>238125</xdr:colOff>
      <xdr:row>52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781049</xdr:colOff>
      <xdr:row>14</xdr:row>
      <xdr:rowOff>95249</xdr:rowOff>
    </xdr:from>
    <xdr:to>
      <xdr:col>10</xdr:col>
      <xdr:colOff>142875</xdr:colOff>
      <xdr:row>23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0.35528</cdr:x>
      <cdr:y>0</cdr:y>
    </cdr:from>
    <cdr:to>
      <cdr:x>0.69231</cdr:x>
      <cdr:y>0.11119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15698" y="0"/>
          <a:ext cx="1627578" cy="200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DSCR</a:t>
          </a:r>
          <a:r>
            <a:rPr lang="en-US" sz="1100" b="1" baseline="0"/>
            <a:t> per annum</a:t>
          </a:r>
          <a:endParaRPr lang="en-US" sz="1100" b="1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0" sqref="E20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</cols>
  <sheetData>
    <row r="1" spans="1:14" s="6" customFormat="1" ht="18" x14ac:dyDescent="0.35">
      <c r="A1" s="6" t="s">
        <v>30</v>
      </c>
    </row>
    <row r="2" spans="1:14" x14ac:dyDescent="0.3">
      <c r="A2" t="s">
        <v>3</v>
      </c>
    </row>
    <row r="3" spans="1:14" x14ac:dyDescent="0.3">
      <c r="A3" t="s">
        <v>14</v>
      </c>
      <c r="D3" s="7">
        <v>41640</v>
      </c>
      <c r="E3" s="7">
        <f>EOMONTH(D3-1,12)</f>
        <v>42004</v>
      </c>
      <c r="F3" s="7">
        <f>EOMONTH(E3,12)</f>
        <v>42369</v>
      </c>
      <c r="G3" s="7">
        <f t="shared" ref="G3:N3" si="0">EOMONTH(F3,12)</f>
        <v>42735</v>
      </c>
      <c r="H3" s="7">
        <f t="shared" si="0"/>
        <v>43100</v>
      </c>
      <c r="I3" s="7">
        <f t="shared" si="0"/>
        <v>43465</v>
      </c>
      <c r="J3" s="7">
        <f t="shared" si="0"/>
        <v>43830</v>
      </c>
      <c r="K3" s="7">
        <f t="shared" si="0"/>
        <v>44196</v>
      </c>
      <c r="L3" s="7">
        <f t="shared" si="0"/>
        <v>44561</v>
      </c>
      <c r="M3" s="7">
        <f t="shared" si="0"/>
        <v>44926</v>
      </c>
      <c r="N3" s="7">
        <f t="shared" si="0"/>
        <v>45291</v>
      </c>
    </row>
    <row r="4" spans="1:14" x14ac:dyDescent="0.3">
      <c r="A4" t="s">
        <v>15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1"/>
  <sheetViews>
    <sheetView topLeftCell="A10" workbookViewId="0">
      <selection activeCell="C21" sqref="C21"/>
    </sheetView>
  </sheetViews>
  <sheetFormatPr defaultRowHeight="14.4" x14ac:dyDescent="0.3"/>
  <cols>
    <col min="1" max="1" width="43.88671875" bestFit="1" customWidth="1"/>
    <col min="2" max="2" width="19.33203125" bestFit="1" customWidth="1"/>
    <col min="3" max="3" width="19.88671875" bestFit="1" customWidth="1"/>
    <col min="4" max="4" width="44" bestFit="1" customWidth="1"/>
    <col min="5" max="5" width="3.33203125" customWidth="1"/>
    <col min="6" max="7" width="6.109375" style="8" bestFit="1" customWidth="1"/>
    <col min="8" max="16" width="5" style="8" bestFit="1" customWidth="1"/>
  </cols>
  <sheetData>
    <row r="1" spans="1:16" s="6" customFormat="1" ht="18" x14ac:dyDescent="0.35">
      <c r="A1" s="6" t="s">
        <v>432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4" spans="1:16" x14ac:dyDescent="0.3">
      <c r="A4" s="1" t="s">
        <v>35</v>
      </c>
      <c r="C4" s="185" t="s">
        <v>15</v>
      </c>
      <c r="D4" s="186"/>
      <c r="E4" s="186"/>
      <c r="F4" s="186"/>
      <c r="G4" s="186"/>
      <c r="H4" s="186"/>
      <c r="I4" s="186"/>
      <c r="J4" s="186"/>
      <c r="K4" s="186"/>
      <c r="L4" s="186"/>
      <c r="M4" s="187"/>
    </row>
    <row r="5" spans="1:16" x14ac:dyDescent="0.3">
      <c r="A5" s="19" t="s">
        <v>36</v>
      </c>
      <c r="B5" s="34" t="s">
        <v>46</v>
      </c>
      <c r="C5" s="34">
        <v>0</v>
      </c>
      <c r="D5" s="34">
        <f>C5+1</f>
        <v>1</v>
      </c>
      <c r="E5" s="34">
        <v>2</v>
      </c>
      <c r="F5" s="34">
        <f t="shared" ref="F5" si="0">E5+1</f>
        <v>3</v>
      </c>
      <c r="G5" s="34">
        <f t="shared" ref="G5" si="1">F5+1</f>
        <v>4</v>
      </c>
      <c r="H5" s="34">
        <f t="shared" ref="H5" si="2">G5+1</f>
        <v>5</v>
      </c>
      <c r="I5" s="34">
        <f t="shared" ref="I5" si="3">H5+1</f>
        <v>6</v>
      </c>
      <c r="J5" s="34">
        <f t="shared" ref="J5" si="4">I5+1</f>
        <v>7</v>
      </c>
      <c r="K5" s="34">
        <f t="shared" ref="K5" si="5">J5+1</f>
        <v>8</v>
      </c>
      <c r="L5" s="34">
        <f t="shared" ref="L5" si="6">K5+1</f>
        <v>9</v>
      </c>
      <c r="M5" s="73">
        <f t="shared" ref="M5" si="7">L5+1</f>
        <v>10</v>
      </c>
    </row>
    <row r="6" spans="1:16" x14ac:dyDescent="0.3">
      <c r="A6" s="17" t="s">
        <v>37</v>
      </c>
      <c r="B6" s="25">
        <v>9</v>
      </c>
      <c r="C6" s="17"/>
      <c r="D6" s="17"/>
      <c r="E6" s="17"/>
      <c r="F6" s="25"/>
      <c r="G6" s="25"/>
      <c r="H6" s="25"/>
      <c r="I6" s="25"/>
      <c r="J6" s="25"/>
      <c r="K6" s="25"/>
      <c r="L6" s="25"/>
      <c r="M6" s="25"/>
    </row>
    <row r="7" spans="1:16" x14ac:dyDescent="0.3">
      <c r="A7" s="17" t="s">
        <v>38</v>
      </c>
      <c r="B7" s="25">
        <v>10.9</v>
      </c>
      <c r="C7" s="17"/>
      <c r="D7" s="17"/>
      <c r="E7" s="17"/>
      <c r="F7" s="25"/>
      <c r="G7" s="25"/>
      <c r="H7" s="25"/>
      <c r="I7" s="25"/>
      <c r="J7" s="25"/>
      <c r="K7" s="25"/>
      <c r="L7" s="25"/>
      <c r="M7" s="25"/>
    </row>
    <row r="8" spans="1:16" x14ac:dyDescent="0.3">
      <c r="A8" s="17" t="s">
        <v>39</v>
      </c>
      <c r="B8" s="25">
        <v>154.80000000000001</v>
      </c>
      <c r="C8" s="17"/>
      <c r="D8" s="17"/>
      <c r="E8" s="17"/>
      <c r="F8" s="25"/>
      <c r="G8" s="25"/>
      <c r="H8" s="25"/>
      <c r="I8" s="25"/>
      <c r="J8" s="25"/>
      <c r="K8" s="25"/>
      <c r="L8" s="25"/>
      <c r="M8" s="25"/>
    </row>
    <row r="9" spans="1:16" x14ac:dyDescent="0.3">
      <c r="A9" s="17" t="s">
        <v>43</v>
      </c>
      <c r="B9" s="25">
        <v>16.3</v>
      </c>
      <c r="C9" s="17"/>
      <c r="D9" s="17"/>
      <c r="E9" s="17"/>
      <c r="F9" s="25"/>
      <c r="G9" s="25"/>
      <c r="H9" s="25"/>
      <c r="I9" s="25"/>
      <c r="J9" s="25"/>
      <c r="K9" s="25"/>
      <c r="L9" s="25"/>
      <c r="M9" s="25"/>
    </row>
    <row r="10" spans="1:16" x14ac:dyDescent="0.3">
      <c r="A10" s="17" t="s">
        <v>40</v>
      </c>
      <c r="B10" s="25">
        <v>9</v>
      </c>
      <c r="C10" s="17"/>
      <c r="D10" s="17"/>
      <c r="E10" s="17"/>
      <c r="F10" s="25"/>
      <c r="G10" s="25"/>
      <c r="H10" s="25"/>
      <c r="I10" s="25"/>
      <c r="J10" s="25"/>
      <c r="K10" s="25"/>
      <c r="L10" s="25"/>
      <c r="M10" s="25"/>
    </row>
    <row r="11" spans="1:16" x14ac:dyDescent="0.3">
      <c r="A11" s="21" t="s">
        <v>41</v>
      </c>
      <c r="B11" s="26">
        <f>SUM(B6:B10)</f>
        <v>200.00000000000003</v>
      </c>
      <c r="C11" s="17"/>
      <c r="D11" s="17"/>
      <c r="E11" s="17"/>
      <c r="F11" s="25"/>
      <c r="G11" s="25"/>
      <c r="H11" s="25"/>
      <c r="I11" s="25"/>
      <c r="J11" s="25"/>
      <c r="K11" s="25"/>
      <c r="L11" s="25"/>
      <c r="M11" s="25"/>
    </row>
    <row r="12" spans="1:16" x14ac:dyDescent="0.3">
      <c r="A12" s="20" t="s">
        <v>42</v>
      </c>
      <c r="B12" s="51">
        <v>13.5</v>
      </c>
    </row>
    <row r="14" spans="1:16" x14ac:dyDescent="0.3">
      <c r="A14" s="1" t="s">
        <v>44</v>
      </c>
    </row>
    <row r="15" spans="1:16" x14ac:dyDescent="0.3">
      <c r="A15" s="19" t="s">
        <v>45</v>
      </c>
      <c r="B15" s="24" t="s">
        <v>46</v>
      </c>
      <c r="D15" s="185" t="s">
        <v>36</v>
      </c>
      <c r="E15" s="86"/>
      <c r="F15" s="185" t="s">
        <v>15</v>
      </c>
      <c r="G15" s="186"/>
      <c r="H15" s="186"/>
      <c r="I15" s="186"/>
      <c r="J15" s="186"/>
      <c r="K15" s="186"/>
      <c r="L15" s="186"/>
      <c r="M15" s="186"/>
      <c r="N15" s="186"/>
      <c r="O15" s="186"/>
      <c r="P15" s="187"/>
    </row>
    <row r="16" spans="1:16" x14ac:dyDescent="0.3">
      <c r="A16" s="78" t="s">
        <v>75</v>
      </c>
      <c r="B16" s="79">
        <v>0</v>
      </c>
      <c r="D16" s="185"/>
      <c r="E16" s="87"/>
      <c r="F16" s="73">
        <v>0</v>
      </c>
      <c r="G16" s="24">
        <f>F16+1</f>
        <v>1</v>
      </c>
      <c r="H16" s="24">
        <f t="shared" ref="H16:P16" si="8">G16+1</f>
        <v>2</v>
      </c>
      <c r="I16" s="24">
        <f t="shared" si="8"/>
        <v>3</v>
      </c>
      <c r="J16" s="24">
        <f t="shared" si="8"/>
        <v>4</v>
      </c>
      <c r="K16" s="24">
        <f t="shared" si="8"/>
        <v>5</v>
      </c>
      <c r="L16" s="24">
        <f t="shared" si="8"/>
        <v>6</v>
      </c>
      <c r="M16" s="24">
        <f t="shared" si="8"/>
        <v>7</v>
      </c>
      <c r="N16" s="24">
        <f t="shared" si="8"/>
        <v>8</v>
      </c>
      <c r="O16" s="24">
        <f t="shared" si="8"/>
        <v>9</v>
      </c>
      <c r="P16" s="24">
        <f t="shared" si="8"/>
        <v>10</v>
      </c>
    </row>
    <row r="17" spans="1:16" x14ac:dyDescent="0.3">
      <c r="A17" s="17" t="s">
        <v>0</v>
      </c>
      <c r="B17" s="25">
        <v>66.5</v>
      </c>
      <c r="D17" s="35" t="s">
        <v>61</v>
      </c>
      <c r="E17" s="85"/>
      <c r="F17" s="25"/>
      <c r="G17" s="33">
        <v>0.45</v>
      </c>
      <c r="H17" s="33">
        <v>0.6</v>
      </c>
      <c r="I17" s="33">
        <v>0.7</v>
      </c>
      <c r="J17" s="33">
        <v>0.8</v>
      </c>
      <c r="K17" s="33">
        <f>J17</f>
        <v>0.8</v>
      </c>
      <c r="L17" s="33">
        <f t="shared" ref="L17:P17" si="9">K17</f>
        <v>0.8</v>
      </c>
      <c r="M17" s="33">
        <f t="shared" si="9"/>
        <v>0.8</v>
      </c>
      <c r="N17" s="33">
        <f t="shared" si="9"/>
        <v>0.8</v>
      </c>
      <c r="O17" s="33">
        <f t="shared" si="9"/>
        <v>0.8</v>
      </c>
      <c r="P17" s="33">
        <f t="shared" si="9"/>
        <v>0.8</v>
      </c>
    </row>
    <row r="18" spans="1:16" x14ac:dyDescent="0.3">
      <c r="A18" s="22" t="s">
        <v>47</v>
      </c>
      <c r="B18" s="25">
        <v>35</v>
      </c>
      <c r="D18" s="17" t="s">
        <v>62</v>
      </c>
      <c r="E18" s="17"/>
      <c r="F18" s="25"/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</row>
    <row r="19" spans="1:16" x14ac:dyDescent="0.3">
      <c r="A19" s="22" t="s">
        <v>48</v>
      </c>
      <c r="B19" s="25">
        <v>31.5</v>
      </c>
      <c r="D19" s="17" t="s">
        <v>63</v>
      </c>
      <c r="E19" s="17"/>
      <c r="F19" s="25"/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</row>
    <row r="20" spans="1:16" x14ac:dyDescent="0.3">
      <c r="A20" s="17" t="s">
        <v>49</v>
      </c>
      <c r="B20" s="25">
        <v>132</v>
      </c>
      <c r="D20" s="17" t="s">
        <v>64</v>
      </c>
      <c r="E20" s="17"/>
      <c r="F20" s="25"/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</row>
    <row r="21" spans="1:16" x14ac:dyDescent="0.3">
      <c r="A21" s="17" t="s">
        <v>50</v>
      </c>
      <c r="B21" s="25">
        <v>1.5</v>
      </c>
      <c r="D21" s="17" t="s">
        <v>65</v>
      </c>
      <c r="E21" s="17"/>
      <c r="F21" s="25"/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</row>
    <row r="22" spans="1:16" x14ac:dyDescent="0.3">
      <c r="A22" s="21" t="s">
        <v>41</v>
      </c>
      <c r="B22" s="26">
        <f>SUM(B18:B21)</f>
        <v>200</v>
      </c>
      <c r="D22" s="17" t="s">
        <v>66</v>
      </c>
      <c r="E22" s="17"/>
      <c r="F22" s="25"/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</row>
    <row r="23" spans="1:16" x14ac:dyDescent="0.3">
      <c r="D23" s="17" t="s">
        <v>67</v>
      </c>
      <c r="E23" s="17"/>
      <c r="F23" s="25"/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</row>
    <row r="24" spans="1:16" x14ac:dyDescent="0.3">
      <c r="A24" s="1" t="s">
        <v>51</v>
      </c>
      <c r="D24" s="17" t="s">
        <v>68</v>
      </c>
      <c r="E24" s="17"/>
      <c r="F24" s="25"/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</row>
    <row r="25" spans="1:16" x14ac:dyDescent="0.3">
      <c r="A25" s="27" t="s">
        <v>36</v>
      </c>
      <c r="B25" s="24" t="s">
        <v>54</v>
      </c>
      <c r="D25" s="17" t="s">
        <v>69</v>
      </c>
      <c r="E25" s="17"/>
      <c r="F25" s="25"/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</row>
    <row r="26" spans="1:16" x14ac:dyDescent="0.3">
      <c r="A26" s="28" t="s">
        <v>128</v>
      </c>
      <c r="B26" s="25"/>
      <c r="D26" s="17" t="s">
        <v>70</v>
      </c>
      <c r="E26" s="17"/>
      <c r="F26" s="25"/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</row>
    <row r="27" spans="1:16" x14ac:dyDescent="0.3">
      <c r="A27" s="28" t="s">
        <v>52</v>
      </c>
      <c r="B27" s="25">
        <v>300</v>
      </c>
      <c r="D27" s="17" t="s">
        <v>71</v>
      </c>
      <c r="E27" s="17"/>
      <c r="F27" s="25"/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</row>
    <row r="28" spans="1:16" x14ac:dyDescent="0.3">
      <c r="A28" s="29" t="s">
        <v>53</v>
      </c>
      <c r="B28" s="25">
        <v>2</v>
      </c>
      <c r="D28" s="17" t="s">
        <v>72</v>
      </c>
      <c r="E28" s="17"/>
      <c r="F28" s="25"/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</row>
    <row r="29" spans="1:16" x14ac:dyDescent="0.3">
      <c r="A29" s="30" t="s">
        <v>253</v>
      </c>
      <c r="B29" s="38">
        <f>B30/B27</f>
        <v>2433.3333333333335</v>
      </c>
      <c r="D29" s="17" t="s">
        <v>152</v>
      </c>
      <c r="E29" s="17"/>
      <c r="F29" s="25"/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</row>
    <row r="30" spans="1:16" x14ac:dyDescent="0.3">
      <c r="A30" s="103" t="s">
        <v>254</v>
      </c>
      <c r="B30" s="25">
        <v>730000</v>
      </c>
      <c r="D30" s="17" t="s">
        <v>73</v>
      </c>
      <c r="E30" s="17"/>
      <c r="F30" s="25"/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</row>
    <row r="31" spans="1:16" x14ac:dyDescent="0.3">
      <c r="D31" s="20" t="s">
        <v>90</v>
      </c>
      <c r="E31" s="106">
        <v>0.1</v>
      </c>
      <c r="F31" s="25"/>
      <c r="G31" s="25">
        <f>(150000*12)/10^6</f>
        <v>1.8</v>
      </c>
      <c r="H31" s="102">
        <f>G31*(1+$E$31)</f>
        <v>1.9800000000000002</v>
      </c>
      <c r="I31" s="102">
        <f t="shared" ref="I31:P31" si="10">H31*(1+$E$31)</f>
        <v>2.1780000000000004</v>
      </c>
      <c r="J31" s="102">
        <f t="shared" si="10"/>
        <v>2.3958000000000008</v>
      </c>
      <c r="K31" s="102">
        <f t="shared" si="10"/>
        <v>2.6353800000000009</v>
      </c>
      <c r="L31" s="102">
        <f t="shared" si="10"/>
        <v>2.8989180000000014</v>
      </c>
      <c r="M31" s="102">
        <f t="shared" si="10"/>
        <v>3.1888098000000018</v>
      </c>
      <c r="N31" s="102">
        <f t="shared" si="10"/>
        <v>3.5076907800000021</v>
      </c>
      <c r="O31" s="102">
        <f t="shared" si="10"/>
        <v>3.8584598580000025</v>
      </c>
      <c r="P31" s="102">
        <f t="shared" si="10"/>
        <v>4.244305843800003</v>
      </c>
    </row>
    <row r="32" spans="1:16" x14ac:dyDescent="0.3">
      <c r="A32" s="16" t="s">
        <v>55</v>
      </c>
      <c r="D32" s="18" t="s">
        <v>74</v>
      </c>
      <c r="E32" s="1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x14ac:dyDescent="0.3">
      <c r="A33" s="19" t="s">
        <v>36</v>
      </c>
      <c r="B33" s="19" t="s">
        <v>273</v>
      </c>
      <c r="C33" s="19" t="s">
        <v>270</v>
      </c>
      <c r="D33" s="31" t="s">
        <v>75</v>
      </c>
      <c r="E33" s="31"/>
      <c r="F33" s="25"/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</row>
    <row r="34" spans="1:16" x14ac:dyDescent="0.3">
      <c r="A34" s="17" t="s">
        <v>255</v>
      </c>
      <c r="B34" s="25">
        <v>187</v>
      </c>
      <c r="C34" s="101">
        <v>49455</v>
      </c>
      <c r="D34" s="31" t="s">
        <v>0</v>
      </c>
      <c r="E34" s="31"/>
      <c r="F34" s="25"/>
      <c r="G34" s="25">
        <v>0</v>
      </c>
      <c r="H34" s="33">
        <v>0.1</v>
      </c>
      <c r="I34" s="33">
        <v>0.15</v>
      </c>
      <c r="J34" s="33">
        <v>0.2</v>
      </c>
      <c r="K34" s="33">
        <f>J34</f>
        <v>0.2</v>
      </c>
      <c r="L34" s="33">
        <f t="shared" ref="L34:P34" si="11">K34</f>
        <v>0.2</v>
      </c>
      <c r="M34" s="33">
        <f t="shared" si="11"/>
        <v>0.2</v>
      </c>
      <c r="N34" s="33">
        <f t="shared" si="11"/>
        <v>0.2</v>
      </c>
      <c r="O34" s="33">
        <f t="shared" si="11"/>
        <v>0.2</v>
      </c>
      <c r="P34" s="33">
        <f t="shared" si="11"/>
        <v>0.2</v>
      </c>
    </row>
    <row r="35" spans="1:16" x14ac:dyDescent="0.3">
      <c r="A35" s="17" t="s">
        <v>256</v>
      </c>
      <c r="B35" s="25">
        <v>72</v>
      </c>
      <c r="C35" s="101">
        <v>39780</v>
      </c>
      <c r="D35" s="17" t="s">
        <v>77</v>
      </c>
      <c r="E35" s="17"/>
      <c r="F35" s="25"/>
      <c r="G35" s="25">
        <v>0</v>
      </c>
      <c r="H35" s="25">
        <v>0</v>
      </c>
      <c r="I35" s="25">
        <v>2.5</v>
      </c>
      <c r="J35" s="25">
        <f>I35</f>
        <v>2.5</v>
      </c>
      <c r="K35" s="25">
        <f t="shared" ref="K35:L35" si="12">J35</f>
        <v>2.5</v>
      </c>
      <c r="L35" s="25">
        <f t="shared" si="12"/>
        <v>2.5</v>
      </c>
      <c r="M35" s="25">
        <v>5</v>
      </c>
      <c r="N35" s="25">
        <f>M35</f>
        <v>5</v>
      </c>
      <c r="O35" s="25">
        <f t="shared" ref="O35:P35" si="13">N35</f>
        <v>5</v>
      </c>
      <c r="P35" s="25">
        <f t="shared" si="13"/>
        <v>5</v>
      </c>
    </row>
    <row r="36" spans="1:16" x14ac:dyDescent="0.3">
      <c r="A36" s="17" t="s">
        <v>257</v>
      </c>
      <c r="B36" s="25">
        <v>27</v>
      </c>
      <c r="C36" s="101">
        <v>89455</v>
      </c>
      <c r="D36" s="17" t="s">
        <v>76</v>
      </c>
      <c r="E36" s="17"/>
      <c r="F36" s="25"/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</row>
    <row r="37" spans="1:16" x14ac:dyDescent="0.3">
      <c r="A37" s="17" t="s">
        <v>258</v>
      </c>
      <c r="B37" s="25">
        <v>205</v>
      </c>
      <c r="C37" s="101">
        <v>32065</v>
      </c>
      <c r="D37" s="17" t="s">
        <v>43</v>
      </c>
      <c r="E37" s="17"/>
      <c r="F37" s="25">
        <f>B9</f>
        <v>16.3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</row>
    <row r="38" spans="1:16" x14ac:dyDescent="0.3">
      <c r="A38" s="17" t="s">
        <v>259</v>
      </c>
      <c r="B38" s="25">
        <v>214</v>
      </c>
      <c r="C38" s="101">
        <v>12935</v>
      </c>
      <c r="D38" s="36" t="s">
        <v>78</v>
      </c>
      <c r="E38" s="36"/>
      <c r="F38" s="25">
        <f>B10</f>
        <v>9</v>
      </c>
      <c r="G38" s="25">
        <v>32.1</v>
      </c>
      <c r="H38" s="25">
        <v>42.7</v>
      </c>
      <c r="I38" s="25">
        <v>49.8</v>
      </c>
      <c r="J38" s="25">
        <v>56.9</v>
      </c>
      <c r="K38" s="25">
        <f t="shared" ref="K38:P39" si="14">J38</f>
        <v>56.9</v>
      </c>
      <c r="L38" s="25">
        <f t="shared" si="14"/>
        <v>56.9</v>
      </c>
      <c r="M38" s="25">
        <f t="shared" si="14"/>
        <v>56.9</v>
      </c>
      <c r="N38" s="25">
        <f t="shared" si="14"/>
        <v>56.9</v>
      </c>
      <c r="O38" s="25">
        <f t="shared" si="14"/>
        <v>56.9</v>
      </c>
      <c r="P38" s="25">
        <f t="shared" si="14"/>
        <v>56.9</v>
      </c>
    </row>
    <row r="39" spans="1:16" x14ac:dyDescent="0.3">
      <c r="A39" s="17" t="s">
        <v>260</v>
      </c>
      <c r="B39" s="25">
        <v>19</v>
      </c>
      <c r="C39" s="101">
        <v>48150</v>
      </c>
      <c r="D39" s="17" t="s">
        <v>79</v>
      </c>
      <c r="E39" s="17"/>
      <c r="F39" s="25"/>
      <c r="G39" s="25">
        <v>13</v>
      </c>
      <c r="H39" s="25">
        <f>G39+4.2</f>
        <v>17.2</v>
      </c>
      <c r="I39" s="25">
        <f>H39+2.8</f>
        <v>20</v>
      </c>
      <c r="J39" s="25">
        <f t="shared" ref="J39" si="15">I39+2.8</f>
        <v>22.8</v>
      </c>
      <c r="K39" s="25">
        <f>J39</f>
        <v>22.8</v>
      </c>
      <c r="L39" s="25">
        <f t="shared" si="14"/>
        <v>22.8</v>
      </c>
      <c r="M39" s="25">
        <f t="shared" si="14"/>
        <v>22.8</v>
      </c>
      <c r="N39" s="25">
        <f t="shared" si="14"/>
        <v>22.8</v>
      </c>
      <c r="O39" s="25">
        <f t="shared" si="14"/>
        <v>22.8</v>
      </c>
      <c r="P39" s="25">
        <f t="shared" si="14"/>
        <v>22.8</v>
      </c>
    </row>
    <row r="40" spans="1:16" x14ac:dyDescent="0.3">
      <c r="A40" s="17" t="s">
        <v>261</v>
      </c>
      <c r="B40" s="25">
        <v>2</v>
      </c>
      <c r="C40" s="101">
        <v>19675</v>
      </c>
      <c r="D40" s="17" t="s">
        <v>80</v>
      </c>
      <c r="E40" s="17"/>
      <c r="F40" s="25"/>
      <c r="G40" s="25">
        <v>6.8</v>
      </c>
      <c r="H40" s="25">
        <v>9.1</v>
      </c>
      <c r="I40" s="25">
        <v>10.6</v>
      </c>
      <c r="J40" s="25">
        <v>12.2</v>
      </c>
      <c r="K40" s="25">
        <f t="shared" ref="K40:P40" si="16">J40</f>
        <v>12.2</v>
      </c>
      <c r="L40" s="25">
        <f t="shared" si="16"/>
        <v>12.2</v>
      </c>
      <c r="M40" s="25">
        <f t="shared" si="16"/>
        <v>12.2</v>
      </c>
      <c r="N40" s="25">
        <f t="shared" si="16"/>
        <v>12.2</v>
      </c>
      <c r="O40" s="25">
        <f t="shared" si="16"/>
        <v>12.2</v>
      </c>
      <c r="P40" s="25">
        <f t="shared" si="16"/>
        <v>12.2</v>
      </c>
    </row>
    <row r="41" spans="1:16" x14ac:dyDescent="0.3">
      <c r="A41" s="17" t="s">
        <v>262</v>
      </c>
      <c r="B41" s="25">
        <v>1</v>
      </c>
      <c r="C41" s="101">
        <v>175760</v>
      </c>
      <c r="D41" s="17" t="s">
        <v>81</v>
      </c>
      <c r="E41" s="17"/>
      <c r="F41" s="25"/>
      <c r="G41" s="25">
        <v>17.3</v>
      </c>
      <c r="H41" s="25">
        <v>22.9</v>
      </c>
      <c r="I41" s="25">
        <v>26.7</v>
      </c>
      <c r="J41" s="25">
        <v>30.5</v>
      </c>
      <c r="K41" s="25">
        <f t="shared" ref="K41:P41" si="17">J41</f>
        <v>30.5</v>
      </c>
      <c r="L41" s="25">
        <f t="shared" si="17"/>
        <v>30.5</v>
      </c>
      <c r="M41" s="25">
        <f t="shared" si="17"/>
        <v>30.5</v>
      </c>
      <c r="N41" s="25">
        <f t="shared" si="17"/>
        <v>30.5</v>
      </c>
      <c r="O41" s="25">
        <f t="shared" si="17"/>
        <v>30.5</v>
      </c>
      <c r="P41" s="25">
        <f t="shared" si="17"/>
        <v>30.5</v>
      </c>
    </row>
    <row r="42" spans="1:16" x14ac:dyDescent="0.3">
      <c r="A42" s="21" t="s">
        <v>269</v>
      </c>
      <c r="B42" s="104">
        <f>SUMPRODUCT(B34:B41,C34:C41)/100000</f>
        <v>249.98904999999999</v>
      </c>
      <c r="C42" s="104"/>
    </row>
    <row r="44" spans="1:16" x14ac:dyDescent="0.3">
      <c r="A44" s="16" t="s">
        <v>56</v>
      </c>
    </row>
    <row r="45" spans="1:16" x14ac:dyDescent="0.3">
      <c r="A45" s="19" t="s">
        <v>36</v>
      </c>
      <c r="B45" s="34" t="s">
        <v>272</v>
      </c>
    </row>
    <row r="46" spans="1:16" x14ac:dyDescent="0.3">
      <c r="A46" s="20" t="s">
        <v>263</v>
      </c>
      <c r="B46" s="25">
        <v>4</v>
      </c>
    </row>
    <row r="48" spans="1:16" x14ac:dyDescent="0.3">
      <c r="A48" s="1" t="s">
        <v>57</v>
      </c>
    </row>
    <row r="49" spans="1:8" x14ac:dyDescent="0.3">
      <c r="A49" s="19" t="s">
        <v>36</v>
      </c>
      <c r="B49" s="34" t="s">
        <v>109</v>
      </c>
    </row>
    <row r="50" spans="1:8" x14ac:dyDescent="0.3">
      <c r="A50" s="17" t="s">
        <v>58</v>
      </c>
      <c r="B50" s="25">
        <f>(200000/(10^6))*12</f>
        <v>2.4000000000000004</v>
      </c>
    </row>
    <row r="51" spans="1:8" x14ac:dyDescent="0.3">
      <c r="A51" s="17" t="s">
        <v>59</v>
      </c>
      <c r="B51" s="101">
        <f>(1/3)*B50</f>
        <v>0.8</v>
      </c>
    </row>
    <row r="52" spans="1:8" x14ac:dyDescent="0.3">
      <c r="A52" s="17" t="s">
        <v>60</v>
      </c>
      <c r="B52" s="105">
        <v>7.4999999999999997E-2</v>
      </c>
    </row>
    <row r="53" spans="1:8" x14ac:dyDescent="0.3">
      <c r="C53" s="40"/>
      <c r="D53" s="16" t="s">
        <v>91</v>
      </c>
      <c r="E53" s="16"/>
    </row>
    <row r="54" spans="1:8" x14ac:dyDescent="0.3">
      <c r="A54" s="41" t="s">
        <v>85</v>
      </c>
      <c r="B54" s="23"/>
      <c r="C54" s="40"/>
      <c r="D54" s="19" t="s">
        <v>36</v>
      </c>
      <c r="E54" s="19"/>
      <c r="F54" s="43" t="s">
        <v>93</v>
      </c>
    </row>
    <row r="55" spans="1:8" x14ac:dyDescent="0.3">
      <c r="A55" s="27" t="s">
        <v>36</v>
      </c>
      <c r="B55" s="24" t="s">
        <v>54</v>
      </c>
      <c r="D55" s="17" t="s">
        <v>83</v>
      </c>
      <c r="E55" s="17"/>
      <c r="F55" s="33">
        <v>0.13</v>
      </c>
    </row>
    <row r="56" spans="1:8" x14ac:dyDescent="0.3">
      <c r="A56" s="42" t="s">
        <v>86</v>
      </c>
      <c r="B56" s="38">
        <v>2</v>
      </c>
      <c r="D56" s="17" t="s">
        <v>92</v>
      </c>
      <c r="E56" s="17"/>
      <c r="F56" s="33">
        <v>0.12</v>
      </c>
    </row>
    <row r="57" spans="1:8" x14ac:dyDescent="0.3">
      <c r="A57" s="42" t="s">
        <v>87</v>
      </c>
      <c r="B57" s="38">
        <v>32</v>
      </c>
    </row>
    <row r="58" spans="1:8" x14ac:dyDescent="0.3">
      <c r="A58" s="42" t="s">
        <v>88</v>
      </c>
      <c r="B58" s="38">
        <v>4</v>
      </c>
    </row>
    <row r="59" spans="1:8" x14ac:dyDescent="0.3">
      <c r="D59" s="23" t="s">
        <v>94</v>
      </c>
      <c r="E59" s="23"/>
      <c r="F59"/>
      <c r="G59"/>
      <c r="H59"/>
    </row>
    <row r="60" spans="1:8" x14ac:dyDescent="0.3">
      <c r="A60" s="52" t="s">
        <v>89</v>
      </c>
      <c r="B60" s="108">
        <v>0.25</v>
      </c>
      <c r="D60" s="17" t="s">
        <v>95</v>
      </c>
      <c r="E60" s="17"/>
      <c r="F60" s="44">
        <v>1</v>
      </c>
      <c r="G60" s="45">
        <v>2</v>
      </c>
      <c r="H60"/>
    </row>
    <row r="61" spans="1:8" x14ac:dyDescent="0.3">
      <c r="A61" s="18" t="s">
        <v>264</v>
      </c>
      <c r="B61" s="53">
        <v>500</v>
      </c>
      <c r="D61" s="17" t="s">
        <v>96</v>
      </c>
      <c r="E61" s="17"/>
      <c r="F61" s="46">
        <v>3.3399999999999999E-2</v>
      </c>
      <c r="G61" s="46">
        <v>3.3399999999999999E-2</v>
      </c>
      <c r="H61"/>
    </row>
    <row r="62" spans="1:8" x14ac:dyDescent="0.3">
      <c r="D62" s="17" t="s">
        <v>97</v>
      </c>
      <c r="E62" s="17"/>
      <c r="F62" s="47">
        <v>5.1499999999999997E-2</v>
      </c>
      <c r="G62" s="47">
        <v>8.09E-2</v>
      </c>
      <c r="H62"/>
    </row>
    <row r="63" spans="1:8" x14ac:dyDescent="0.3">
      <c r="A63" s="16" t="s">
        <v>108</v>
      </c>
      <c r="H63"/>
    </row>
    <row r="64" spans="1:8" x14ac:dyDescent="0.3">
      <c r="A64" s="27" t="s">
        <v>36</v>
      </c>
      <c r="B64" s="34" t="s">
        <v>46</v>
      </c>
      <c r="H64"/>
    </row>
    <row r="65" spans="1:8" x14ac:dyDescent="0.3">
      <c r="A65" s="29" t="s">
        <v>103</v>
      </c>
      <c r="B65" s="38"/>
      <c r="D65" s="23" t="s">
        <v>98</v>
      </c>
      <c r="E65" s="23"/>
      <c r="H65"/>
    </row>
    <row r="66" spans="1:8" x14ac:dyDescent="0.3">
      <c r="A66" s="29" t="s">
        <v>104</v>
      </c>
      <c r="B66" s="25"/>
      <c r="D66" s="17" t="s">
        <v>96</v>
      </c>
      <c r="E66" s="17"/>
      <c r="F66" s="14">
        <v>0.1</v>
      </c>
      <c r="G66" s="14">
        <v>0.1</v>
      </c>
      <c r="H66"/>
    </row>
    <row r="67" spans="1:8" x14ac:dyDescent="0.3">
      <c r="A67" s="29" t="s">
        <v>105</v>
      </c>
      <c r="B67" s="25">
        <v>5</v>
      </c>
      <c r="D67" s="17" t="s">
        <v>97</v>
      </c>
      <c r="E67" s="17"/>
      <c r="F67" s="14">
        <v>0.25</v>
      </c>
      <c r="G67" s="14">
        <v>0.25</v>
      </c>
      <c r="H67"/>
    </row>
    <row r="68" spans="1:8" x14ac:dyDescent="0.3">
      <c r="A68" s="29" t="s">
        <v>106</v>
      </c>
      <c r="B68" s="25"/>
    </row>
    <row r="69" spans="1:8" x14ac:dyDescent="0.3">
      <c r="A69" s="29" t="s">
        <v>107</v>
      </c>
      <c r="B69" s="25"/>
    </row>
    <row r="70" spans="1:8" x14ac:dyDescent="0.3">
      <c r="A70" s="17" t="s">
        <v>110</v>
      </c>
      <c r="B70" s="51">
        <f>400000/10^6</f>
        <v>0.4</v>
      </c>
    </row>
    <row r="72" spans="1:8" x14ac:dyDescent="0.3">
      <c r="A72" s="16" t="s">
        <v>113</v>
      </c>
    </row>
    <row r="73" spans="1:8" x14ac:dyDescent="0.3">
      <c r="A73" s="5" t="s">
        <v>115</v>
      </c>
      <c r="B73" s="4">
        <v>0.02</v>
      </c>
    </row>
    <row r="74" spans="1:8" x14ac:dyDescent="0.3">
      <c r="A74" s="5" t="s">
        <v>116</v>
      </c>
      <c r="B74">
        <v>5</v>
      </c>
    </row>
    <row r="76" spans="1:8" x14ac:dyDescent="0.3">
      <c r="A76" s="1" t="s">
        <v>230</v>
      </c>
    </row>
    <row r="77" spans="1:8" x14ac:dyDescent="0.3">
      <c r="A77" s="19" t="s">
        <v>36</v>
      </c>
      <c r="B77" s="34" t="s">
        <v>231</v>
      </c>
    </row>
    <row r="78" spans="1:8" x14ac:dyDescent="0.3">
      <c r="A78" s="17" t="s">
        <v>37</v>
      </c>
      <c r="B78" s="33">
        <v>1</v>
      </c>
    </row>
    <row r="79" spans="1:8" x14ac:dyDescent="0.3">
      <c r="A79" s="17" t="s">
        <v>38</v>
      </c>
      <c r="B79" s="47">
        <v>0.33333333333333337</v>
      </c>
    </row>
    <row r="80" spans="1:8" x14ac:dyDescent="0.3">
      <c r="A80" s="17" t="s">
        <v>232</v>
      </c>
      <c r="B80" s="33">
        <v>0.05</v>
      </c>
    </row>
    <row r="81" spans="1:2" x14ac:dyDescent="0.3">
      <c r="A81" s="17" t="s">
        <v>233</v>
      </c>
      <c r="B81" s="33">
        <v>1</v>
      </c>
    </row>
  </sheetData>
  <mergeCells count="3">
    <mergeCell ref="D15:D16"/>
    <mergeCell ref="F15:P15"/>
    <mergeCell ref="C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0"/>
  <sheetViews>
    <sheetView showGridLines="0" tabSelected="1" workbookViewId="0">
      <selection activeCell="F2" sqref="F2"/>
    </sheetView>
  </sheetViews>
  <sheetFormatPr defaultRowHeight="14.4" x14ac:dyDescent="0.3"/>
  <cols>
    <col min="1" max="1" width="7.109375" customWidth="1"/>
    <col min="2" max="2" width="8.109375" customWidth="1"/>
    <col min="3" max="3" width="10" style="144" bestFit="1" customWidth="1"/>
    <col min="4" max="4" width="8.5546875" customWidth="1"/>
    <col min="5" max="5" width="10.33203125" customWidth="1"/>
    <col min="6" max="6" width="16.109375" customWidth="1"/>
    <col min="7" max="7" width="18.109375" customWidth="1"/>
    <col min="8" max="8" width="8.5546875" bestFit="1" customWidth="1"/>
    <col min="9" max="9" width="9.77734375" customWidth="1"/>
    <col min="10" max="10" width="9" customWidth="1"/>
    <col min="11" max="11" width="6.44140625" customWidth="1"/>
    <col min="12" max="12" width="14.6640625" style="8" customWidth="1"/>
    <col min="13" max="13" width="10.33203125" bestFit="1" customWidth="1"/>
    <col min="14" max="14" width="17" customWidth="1"/>
    <col min="15" max="15" width="24.5546875" customWidth="1"/>
    <col min="16" max="16" width="7" customWidth="1"/>
    <col min="19" max="19" width="11.5546875" customWidth="1"/>
    <col min="20" max="20" width="1.6640625" customWidth="1"/>
  </cols>
  <sheetData>
    <row r="1" spans="1:21" s="6" customFormat="1" ht="18" x14ac:dyDescent="0.35">
      <c r="A1" s="6" t="s">
        <v>430</v>
      </c>
      <c r="C1" s="37"/>
      <c r="E1" s="92"/>
      <c r="L1" s="37"/>
    </row>
    <row r="3" spans="1:21" x14ac:dyDescent="0.3">
      <c r="B3" s="1" t="s">
        <v>427</v>
      </c>
    </row>
    <row r="4" spans="1:21" ht="15" customHeight="1" x14ac:dyDescent="0.3">
      <c r="B4" s="170" t="s">
        <v>278</v>
      </c>
      <c r="C4" s="171"/>
      <c r="D4" s="171"/>
      <c r="E4" s="171"/>
      <c r="F4" s="171"/>
      <c r="G4" s="172"/>
      <c r="I4" s="1" t="s">
        <v>428</v>
      </c>
      <c r="L4"/>
    </row>
    <row r="5" spans="1:21" ht="15" customHeight="1" x14ac:dyDescent="0.3">
      <c r="A5" s="169" t="s">
        <v>384</v>
      </c>
      <c r="B5" s="173" t="s">
        <v>383</v>
      </c>
      <c r="C5" s="174"/>
      <c r="D5" s="174"/>
      <c r="E5" s="174"/>
      <c r="F5" s="174"/>
      <c r="G5" s="175"/>
      <c r="I5" s="167" t="s">
        <v>410</v>
      </c>
      <c r="J5" s="167"/>
      <c r="K5" s="167"/>
      <c r="L5" s="168" t="s">
        <v>411</v>
      </c>
      <c r="M5" s="168"/>
      <c r="N5" s="168"/>
      <c r="O5" s="168"/>
      <c r="P5" s="168"/>
    </row>
    <row r="6" spans="1:21" ht="15" customHeight="1" x14ac:dyDescent="0.3">
      <c r="A6" s="169"/>
      <c r="B6" s="138">
        <f ca="1">'Scenario calculation'!C470</f>
        <v>0.18956317422046287</v>
      </c>
      <c r="C6" s="38">
        <f>'Scenario calculation'!D470</f>
        <v>212.49069249999999</v>
      </c>
      <c r="D6" s="38">
        <f>'Scenario calculation'!E470</f>
        <v>224.99014499999998</v>
      </c>
      <c r="E6" s="38">
        <f>'Scenario calculation'!F470</f>
        <v>249.98904999999999</v>
      </c>
      <c r="F6" s="38">
        <f>'Scenario calculation'!G470</f>
        <v>262.48850249999998</v>
      </c>
      <c r="G6" s="38">
        <f>'Scenario calculation'!H470</f>
        <v>274.987955</v>
      </c>
      <c r="I6" s="176" t="s">
        <v>383</v>
      </c>
      <c r="J6" s="176"/>
      <c r="K6" s="176"/>
      <c r="L6" s="176" t="s">
        <v>426</v>
      </c>
      <c r="M6" s="176"/>
      <c r="N6" s="176"/>
      <c r="O6" s="176"/>
      <c r="P6" s="176"/>
    </row>
    <row r="7" spans="1:21" x14ac:dyDescent="0.3">
      <c r="A7" s="169"/>
      <c r="B7" s="139">
        <f>'Scenario calculation'!C471</f>
        <v>425</v>
      </c>
      <c r="C7" s="47">
        <f>'Scenario calculation'!D471</f>
        <v>0.13460552696117722</v>
      </c>
      <c r="D7" s="47">
        <f>'Scenario calculation'!E471</f>
        <v>0.206658746507552</v>
      </c>
      <c r="E7" s="47">
        <f>'Scenario calculation'!F471</f>
        <v>0.20857837259746592</v>
      </c>
      <c r="F7" s="47">
        <f>'Scenario calculation'!G471</f>
        <v>0.17021903493891766</v>
      </c>
      <c r="G7" s="47">
        <f>'Scenario calculation'!H471</f>
        <v>0.29882278193778977</v>
      </c>
      <c r="I7" s="182" t="s">
        <v>399</v>
      </c>
      <c r="J7" s="182"/>
      <c r="K7" s="182"/>
      <c r="L7" s="181" t="s">
        <v>409</v>
      </c>
      <c r="M7" s="181"/>
      <c r="N7" s="181"/>
      <c r="O7" s="181"/>
      <c r="P7" s="181"/>
    </row>
    <row r="8" spans="1:21" x14ac:dyDescent="0.3">
      <c r="A8" s="169"/>
      <c r="B8" s="139">
        <f>'Scenario calculation'!C472</f>
        <v>450</v>
      </c>
      <c r="C8" s="47">
        <f>'Scenario calculation'!D472</f>
        <v>0.27745917636844863</v>
      </c>
      <c r="D8" s="47">
        <f>'Scenario calculation'!E472</f>
        <v>7.3730386721136743E-2</v>
      </c>
      <c r="E8" s="47">
        <f>'Scenario calculation'!F472</f>
        <v>0.24379579098067761</v>
      </c>
      <c r="F8" s="47">
        <f>'Scenario calculation'!G472</f>
        <v>0.2627586489427618</v>
      </c>
      <c r="G8" s="47">
        <f>'Scenario calculation'!H472</f>
        <v>0.23805401053422881</v>
      </c>
      <c r="I8" s="182"/>
      <c r="J8" s="182"/>
      <c r="K8" s="182"/>
      <c r="L8" s="181"/>
      <c r="M8" s="181"/>
      <c r="N8" s="181"/>
      <c r="O8" s="181"/>
      <c r="P8" s="181"/>
    </row>
    <row r="9" spans="1:21" x14ac:dyDescent="0.3">
      <c r="A9" s="169"/>
      <c r="B9" s="139">
        <f>'Scenario calculation'!C473</f>
        <v>500</v>
      </c>
      <c r="C9" s="47">
        <f>'Scenario calculation'!D473</f>
        <v>8.6640545416934556E-2</v>
      </c>
      <c r="D9" s="47">
        <f>'Scenario calculation'!E473</f>
        <v>9.6232818463466208E-2</v>
      </c>
      <c r="E9" s="47">
        <f>'Scenario calculation'!F473</f>
        <v>0.20198786661913148</v>
      </c>
      <c r="F9" s="47">
        <f>'Scenario calculation'!G473</f>
        <v>0.25619631843331181</v>
      </c>
      <c r="G9" s="47">
        <f>'Scenario calculation'!H473</f>
        <v>0.26834789083277877</v>
      </c>
      <c r="I9" s="178" t="s">
        <v>400</v>
      </c>
      <c r="J9" s="179"/>
      <c r="K9" s="180"/>
      <c r="L9" s="177" t="s">
        <v>401</v>
      </c>
      <c r="M9" s="177"/>
      <c r="N9" s="177"/>
      <c r="O9" s="177"/>
      <c r="P9" s="177"/>
    </row>
    <row r="10" spans="1:21" x14ac:dyDescent="0.3">
      <c r="A10" s="169"/>
      <c r="B10" s="139">
        <f>'Scenario calculation'!C474</f>
        <v>525</v>
      </c>
      <c r="C10" s="47">
        <f>'Scenario calculation'!D474</f>
        <v>0.33141684027118856</v>
      </c>
      <c r="D10" s="47">
        <f>'Scenario calculation'!E474</f>
        <v>0.36274217653165808</v>
      </c>
      <c r="E10" s="47">
        <f>'Scenario calculation'!F474</f>
        <v>0.34904571957184594</v>
      </c>
      <c r="F10" s="47">
        <f>'Scenario calculation'!G474</f>
        <v>0.29243963962923369</v>
      </c>
      <c r="G10" s="47">
        <f>'Scenario calculation'!H474</f>
        <v>0.13493449413220571</v>
      </c>
    </row>
    <row r="11" spans="1:21" x14ac:dyDescent="0.3">
      <c r="A11" s="169"/>
      <c r="B11" s="139">
        <f>'Scenario calculation'!C475</f>
        <v>550</v>
      </c>
      <c r="C11" s="47">
        <f>'Scenario calculation'!D475</f>
        <v>0.22925198871901609</v>
      </c>
      <c r="D11" s="47">
        <f>'Scenario calculation'!E475</f>
        <v>0.2221185664880887</v>
      </c>
      <c r="E11" s="47">
        <f>'Scenario calculation'!F475</f>
        <v>0.22891615069069782</v>
      </c>
      <c r="F11" s="47">
        <f>'Scenario calculation'!G475</f>
        <v>0.39216286489068097</v>
      </c>
      <c r="G11" s="47">
        <f>'Scenario calculation'!H475</f>
        <v>0.17747771058663675</v>
      </c>
    </row>
    <row r="13" spans="1:21" x14ac:dyDescent="0.3">
      <c r="A13" s="1" t="s">
        <v>403</v>
      </c>
      <c r="I13" s="1" t="s">
        <v>402</v>
      </c>
      <c r="L13"/>
      <c r="M13" s="8"/>
    </row>
    <row r="14" spans="1:21" ht="28.8" x14ac:dyDescent="0.3">
      <c r="A14" s="152" t="s">
        <v>412</v>
      </c>
      <c r="B14" s="153" t="s">
        <v>413</v>
      </c>
      <c r="I14" s="152" t="s">
        <v>444</v>
      </c>
      <c r="J14" s="149"/>
      <c r="K14" s="149"/>
      <c r="L14" s="149"/>
      <c r="M14" s="144"/>
    </row>
    <row r="15" spans="1:21" x14ac:dyDescent="0.3">
      <c r="A15" s="148">
        <f ca="1">'Scenario calculation'!J477</f>
        <v>0.18956317422046287</v>
      </c>
      <c r="B15" s="47">
        <f ca="1">A15-'Summary Output'!$B$24</f>
        <v>8.2221349204801994E-2</v>
      </c>
      <c r="C15"/>
      <c r="D15" s="34" t="s">
        <v>394</v>
      </c>
      <c r="E15" s="19" t="s">
        <v>395</v>
      </c>
      <c r="F15" t="s">
        <v>387</v>
      </c>
      <c r="G15" s="112">
        <f ca="1">AVERAGE(A15:A115)</f>
        <v>0.2363394869809721</v>
      </c>
      <c r="I15" s="101">
        <f ca="1">'Scenario calculation'!D477</f>
        <v>2.2010115586423411</v>
      </c>
      <c r="J15" s="149"/>
      <c r="K15" s="149"/>
      <c r="L15" s="34" t="s">
        <v>394</v>
      </c>
      <c r="M15" s="34" t="s">
        <v>395</v>
      </c>
      <c r="N15" t="s">
        <v>387</v>
      </c>
      <c r="O15" s="40">
        <f ca="1">AVERAGE(I15:I115)</f>
        <v>2.5350923661302853</v>
      </c>
    </row>
    <row r="16" spans="1:21" x14ac:dyDescent="0.3">
      <c r="A16" s="148">
        <f>'Scenario calculation'!J478</f>
        <v>0.22239702809809869</v>
      </c>
      <c r="B16" s="47">
        <f>A16-'Summary Output'!$B$24</f>
        <v>0.11505520308243782</v>
      </c>
      <c r="C16"/>
      <c r="D16" s="137">
        <f ca="1">G18-0.02</f>
        <v>4.1430027517016979E-2</v>
      </c>
      <c r="E16" s="25">
        <f t="array" aca="1" ref="E16:E38" ca="1">FREQUENCY(A15:A115,D16:D38)</f>
        <v>0</v>
      </c>
      <c r="F16" t="s">
        <v>388</v>
      </c>
      <c r="G16" s="112">
        <f ca="1">STDEV(A15:A115)</f>
        <v>6.7612644152409931E-2</v>
      </c>
      <c r="I16" s="101">
        <f>'Scenario calculation'!D478</f>
        <v>2.5479846473070689</v>
      </c>
      <c r="J16" s="149"/>
      <c r="K16" s="149"/>
      <c r="L16" s="101">
        <f ca="1">O18-0.5</f>
        <v>1.0625373000560565</v>
      </c>
      <c r="M16" s="25">
        <f t="array" aca="1" ref="M16:M29" ca="1">FREQUENCY(I15:I115,L16:L29)</f>
        <v>0</v>
      </c>
      <c r="N16" t="s">
        <v>388</v>
      </c>
      <c r="O16" s="141">
        <f ca="1">STDEV(I15:I115)</f>
        <v>0.44059947009997502</v>
      </c>
      <c r="U16" s="10"/>
    </row>
    <row r="17" spans="1:21" x14ac:dyDescent="0.3">
      <c r="A17" s="148">
        <f>'Scenario calculation'!J479</f>
        <v>0.16461537315213648</v>
      </c>
      <c r="B17" s="47">
        <f>A17-'Summary Output'!$B$24</f>
        <v>5.7273548136475602E-2</v>
      </c>
      <c r="C17"/>
      <c r="D17" s="137">
        <f ca="1">D16+0.02</f>
        <v>6.1430027517016983E-2</v>
      </c>
      <c r="E17" s="25">
        <f ca="1"/>
        <v>1</v>
      </c>
      <c r="F17" t="s">
        <v>389</v>
      </c>
      <c r="G17" s="112">
        <f ca="1">MAX(A15:A150)</f>
        <v>0.37557690519245313</v>
      </c>
      <c r="I17" s="101">
        <f>'Scenario calculation'!D479</f>
        <v>2.8393427926852044</v>
      </c>
      <c r="J17" s="149"/>
      <c r="K17" s="149"/>
      <c r="L17" s="101">
        <f ca="1">L16+0.25</f>
        <v>1.3125373000560565</v>
      </c>
      <c r="M17" s="25">
        <f ca="1"/>
        <v>0</v>
      </c>
      <c r="N17" t="s">
        <v>389</v>
      </c>
      <c r="O17" s="40">
        <f ca="1">MAX(I15:I600)</f>
        <v>3.5351123432226146</v>
      </c>
      <c r="U17" s="10"/>
    </row>
    <row r="18" spans="1:21" x14ac:dyDescent="0.3">
      <c r="A18" s="148">
        <f>'Scenario calculation'!J480</f>
        <v>0.30609022257281104</v>
      </c>
      <c r="B18" s="47">
        <f>A18-'Summary Output'!$B$24</f>
        <v>0.19874839755715018</v>
      </c>
      <c r="C18"/>
      <c r="D18" s="137">
        <f t="shared" ref="D18:D38" ca="1" si="0">D17+0.02</f>
        <v>8.1430027517016987E-2</v>
      </c>
      <c r="E18" s="25">
        <f ca="1"/>
        <v>0</v>
      </c>
      <c r="F18" t="s">
        <v>390</v>
      </c>
      <c r="G18" s="112">
        <f ca="1">MIN(A15:A150)</f>
        <v>6.1430027517016983E-2</v>
      </c>
      <c r="I18" s="101">
        <f>'Scenario calculation'!D480</f>
        <v>2.7163812773925344</v>
      </c>
      <c r="J18" s="149"/>
      <c r="K18" s="149"/>
      <c r="L18" s="101">
        <f ca="1">L17+0.25</f>
        <v>1.5625373000560565</v>
      </c>
      <c r="M18" s="25">
        <f ca="1"/>
        <v>1</v>
      </c>
      <c r="N18" t="s">
        <v>390</v>
      </c>
      <c r="O18" s="40">
        <f ca="1">MIN(I15:I600)</f>
        <v>1.5625373000560565</v>
      </c>
      <c r="U18" s="10"/>
    </row>
    <row r="19" spans="1:21" x14ac:dyDescent="0.3">
      <c r="A19" s="148">
        <f>'Scenario calculation'!J481</f>
        <v>0.30942776953900197</v>
      </c>
      <c r="B19" s="47">
        <f>A19-'Summary Output'!$B$24</f>
        <v>0.20208594452334111</v>
      </c>
      <c r="C19"/>
      <c r="D19" s="137">
        <f t="shared" ca="1" si="0"/>
        <v>0.10143002751701699</v>
      </c>
      <c r="E19" s="25">
        <f ca="1"/>
        <v>0</v>
      </c>
      <c r="F19" s="16" t="s">
        <v>404</v>
      </c>
      <c r="G19" s="154">
        <f ca="1">COUNTIF(B15:B115,"&gt;0")/1000</f>
        <v>0.1</v>
      </c>
      <c r="I19" s="101">
        <f>'Scenario calculation'!D481</f>
        <v>2.3501082826815689</v>
      </c>
      <c r="J19" s="149"/>
      <c r="K19" s="149"/>
      <c r="L19" s="101">
        <f t="shared" ref="L19:L29" ca="1" si="1">L18+0.25</f>
        <v>1.8125373000560565</v>
      </c>
      <c r="M19" s="25">
        <f ca="1"/>
        <v>4</v>
      </c>
      <c r="N19" s="16" t="s">
        <v>404</v>
      </c>
      <c r="O19" s="150">
        <f>COUNTIF(J15:J115,"&gt;0")/1000</f>
        <v>0</v>
      </c>
    </row>
    <row r="20" spans="1:21" x14ac:dyDescent="0.3">
      <c r="A20" s="148">
        <f>'Scenario calculation'!J482</f>
        <v>0.26128934279072769</v>
      </c>
      <c r="B20" s="47">
        <f>A20-'Summary Output'!$B$24</f>
        <v>0.15394751777506682</v>
      </c>
      <c r="C20"/>
      <c r="D20" s="137">
        <f t="shared" ca="1" si="0"/>
        <v>0.12143002751701699</v>
      </c>
      <c r="E20" s="25">
        <f ca="1"/>
        <v>4</v>
      </c>
      <c r="I20" s="101">
        <f>'Scenario calculation'!D482</f>
        <v>2.741764150673907</v>
      </c>
      <c r="J20" s="149"/>
      <c r="K20" s="149"/>
      <c r="L20" s="101">
        <f t="shared" ca="1" si="1"/>
        <v>2.0625373000560563</v>
      </c>
      <c r="M20" s="25">
        <f ca="1"/>
        <v>6</v>
      </c>
    </row>
    <row r="21" spans="1:21" x14ac:dyDescent="0.3">
      <c r="A21" s="148">
        <f>'Scenario calculation'!J483</f>
        <v>0.28749466512994282</v>
      </c>
      <c r="B21" s="47">
        <f>A21-'Summary Output'!$B$24</f>
        <v>0.18015284011428195</v>
      </c>
      <c r="C21"/>
      <c r="D21" s="137">
        <f t="shared" ca="1" si="0"/>
        <v>0.141430027517017</v>
      </c>
      <c r="E21" s="25">
        <f ca="1"/>
        <v>3</v>
      </c>
      <c r="F21" t="s">
        <v>391</v>
      </c>
      <c r="G21" s="40">
        <f ca="1">('Summary Output'!B24-G15)/G16</f>
        <v>-1.9078925781179246</v>
      </c>
      <c r="I21" s="101">
        <f>'Scenario calculation'!D483</f>
        <v>2.2441921284087494</v>
      </c>
      <c r="J21" s="149"/>
      <c r="K21" s="149"/>
      <c r="L21" s="101">
        <f t="shared" ca="1" si="1"/>
        <v>2.3125373000560563</v>
      </c>
      <c r="M21" s="25">
        <f ca="1"/>
        <v>26</v>
      </c>
      <c r="N21" t="s">
        <v>391</v>
      </c>
      <c r="O21" s="40">
        <f ca="1">(1.5-O15)/O16</f>
        <v>-2.3492819133337037</v>
      </c>
    </row>
    <row r="22" spans="1:21" x14ac:dyDescent="0.3">
      <c r="A22" s="148">
        <f>'Scenario calculation'!J484</f>
        <v>0.17887874578870688</v>
      </c>
      <c r="B22" s="47">
        <f>A22-'Summary Output'!$B$24</f>
        <v>7.1536920773046006E-2</v>
      </c>
      <c r="C22"/>
      <c r="D22" s="137">
        <f t="shared" ca="1" si="0"/>
        <v>0.16143002751701699</v>
      </c>
      <c r="E22" s="25">
        <f ca="1"/>
        <v>5</v>
      </c>
      <c r="F22" t="s">
        <v>392</v>
      </c>
      <c r="G22" s="113">
        <f ca="1">NORMSDIST(G21)</f>
        <v>2.8202550873905503E-2</v>
      </c>
      <c r="I22" s="101">
        <f>'Scenario calculation'!D484</f>
        <v>1.6078171638130034</v>
      </c>
      <c r="J22" s="149"/>
      <c r="K22" s="149"/>
      <c r="L22" s="101">
        <f t="shared" ca="1" si="1"/>
        <v>2.5625373000560563</v>
      </c>
      <c r="M22" s="25">
        <f ca="1"/>
        <v>18</v>
      </c>
      <c r="N22" t="s">
        <v>392</v>
      </c>
      <c r="O22" s="113">
        <f ca="1">NORMSDIST(O21)</f>
        <v>9.4048296887375513E-3</v>
      </c>
    </row>
    <row r="23" spans="1:21" x14ac:dyDescent="0.3">
      <c r="A23" s="148">
        <f>'Scenario calculation'!J485</f>
        <v>0.18816915888159302</v>
      </c>
      <c r="B23" s="47">
        <f>A23-'Summary Output'!$B$24</f>
        <v>8.0827333865932147E-2</v>
      </c>
      <c r="C23"/>
      <c r="D23" s="137">
        <f t="shared" ca="1" si="0"/>
        <v>0.18143002751701698</v>
      </c>
      <c r="E23" s="25">
        <f ca="1"/>
        <v>5</v>
      </c>
      <c r="F23" s="16" t="s">
        <v>393</v>
      </c>
      <c r="G23" s="151">
        <f ca="1">1-G22</f>
        <v>0.97179744912609445</v>
      </c>
      <c r="I23" s="101">
        <f>'Scenario calculation'!D485</f>
        <v>1.5625373000560565</v>
      </c>
      <c r="J23" s="149"/>
      <c r="K23" s="149"/>
      <c r="L23" s="101">
        <f t="shared" ca="1" si="1"/>
        <v>2.8125373000560563</v>
      </c>
      <c r="M23" s="25">
        <f ca="1"/>
        <v>19</v>
      </c>
      <c r="N23" s="16" t="s">
        <v>393</v>
      </c>
      <c r="O23" s="151">
        <f ca="1">1-O22</f>
        <v>0.99059517031126243</v>
      </c>
    </row>
    <row r="24" spans="1:21" x14ac:dyDescent="0.3">
      <c r="A24" s="148">
        <f>'Scenario calculation'!J486</f>
        <v>0.22878531912674815</v>
      </c>
      <c r="B24" s="47">
        <f>A24-'Summary Output'!$B$24</f>
        <v>0.12144349411108728</v>
      </c>
      <c r="C24"/>
      <c r="D24" s="137">
        <f t="shared" ca="1" si="0"/>
        <v>0.20143002751701697</v>
      </c>
      <c r="E24" s="25">
        <f ca="1"/>
        <v>15</v>
      </c>
      <c r="F24" t="s">
        <v>405</v>
      </c>
      <c r="G24" s="147">
        <f ca="1">SKEW(A15:A115)</f>
        <v>4.8891973666782218E-2</v>
      </c>
      <c r="I24" s="101">
        <f>'Scenario calculation'!D486</f>
        <v>2.9372144838844787</v>
      </c>
      <c r="J24" s="149"/>
      <c r="K24" s="149"/>
      <c r="L24" s="101">
        <f t="shared" ca="1" si="1"/>
        <v>3.0625373000560563</v>
      </c>
      <c r="M24" s="25">
        <f ca="1"/>
        <v>15</v>
      </c>
      <c r="N24" t="s">
        <v>405</v>
      </c>
      <c r="O24" s="147">
        <f ca="1">SKEW(I15:I115)</f>
        <v>0.16600674126327775</v>
      </c>
    </row>
    <row r="25" spans="1:21" x14ac:dyDescent="0.3">
      <c r="A25" s="148">
        <f>'Scenario calculation'!J487</f>
        <v>0.20057278757492125</v>
      </c>
      <c r="B25" s="47">
        <f>A25-'Summary Output'!$B$24</f>
        <v>9.3230962559260375E-2</v>
      </c>
      <c r="C25"/>
      <c r="D25" s="137">
        <f t="shared" ca="1" si="0"/>
        <v>0.22143002751701696</v>
      </c>
      <c r="E25" s="25">
        <f ca="1"/>
        <v>9</v>
      </c>
      <c r="F25" t="s">
        <v>397</v>
      </c>
      <c r="G25" s="147">
        <f ca="1">KURT(A15:A115)</f>
        <v>-0.30536475939556995</v>
      </c>
      <c r="I25" s="101">
        <f>'Scenario calculation'!D487</f>
        <v>2.5146274439531924</v>
      </c>
      <c r="J25" s="149"/>
      <c r="K25" s="149"/>
      <c r="L25" s="101">
        <f t="shared" ca="1" si="1"/>
        <v>3.3125373000560563</v>
      </c>
      <c r="M25" s="25">
        <f ca="1"/>
        <v>6</v>
      </c>
      <c r="N25" t="s">
        <v>397</v>
      </c>
      <c r="O25" s="147">
        <f ca="1">KURT(I15:I115)</f>
        <v>-0.4106255062851254</v>
      </c>
    </row>
    <row r="26" spans="1:21" x14ac:dyDescent="0.3">
      <c r="A26" s="148">
        <f>'Scenario calculation'!J488</f>
        <v>0.29350081651812365</v>
      </c>
      <c r="B26" s="47">
        <f>A26-'Summary Output'!$B$24</f>
        <v>0.18615899150246279</v>
      </c>
      <c r="C26"/>
      <c r="D26" s="137">
        <f t="shared" ca="1" si="0"/>
        <v>0.24143002751701695</v>
      </c>
      <c r="E26" s="25">
        <f ca="1"/>
        <v>13</v>
      </c>
      <c r="F26" t="s">
        <v>406</v>
      </c>
      <c r="G26" s="147">
        <f ca="1">1000*(((4*(G24^2))+(G25^2))/24)</f>
        <v>4.2837223598686514</v>
      </c>
      <c r="I26" s="101">
        <f>'Scenario calculation'!D488</f>
        <v>2.1004702015186387</v>
      </c>
      <c r="J26" s="149"/>
      <c r="K26" s="149"/>
      <c r="L26" s="101">
        <f t="shared" ca="1" si="1"/>
        <v>3.5625373000560563</v>
      </c>
      <c r="M26" s="25">
        <f ca="1"/>
        <v>6</v>
      </c>
      <c r="N26" t="s">
        <v>406</v>
      </c>
      <c r="O26" s="147">
        <f ca="1">1000*(((4*(O24^2))+(O25^2))/24)</f>
        <v>11.618594124638621</v>
      </c>
    </row>
    <row r="27" spans="1:21" x14ac:dyDescent="0.3">
      <c r="A27" s="148">
        <f>'Scenario calculation'!J489</f>
        <v>0.14020441040918774</v>
      </c>
      <c r="B27" s="47">
        <f>A27-'Summary Output'!$B$24</f>
        <v>3.2862585393526864E-2</v>
      </c>
      <c r="C27"/>
      <c r="D27" s="137">
        <f ca="1">D26+0.02</f>
        <v>0.26143002751701694</v>
      </c>
      <c r="E27" s="25">
        <f ca="1"/>
        <v>9</v>
      </c>
      <c r="F27" t="s">
        <v>407</v>
      </c>
      <c r="G27" s="40">
        <f>CHIINV(0.95,2)</f>
        <v>0.10258658877510116</v>
      </c>
      <c r="I27" s="101">
        <f>'Scenario calculation'!D489</f>
        <v>1.9864551263541468</v>
      </c>
      <c r="J27" s="149"/>
      <c r="K27" s="149"/>
      <c r="L27" s="101">
        <f t="shared" ca="1" si="1"/>
        <v>3.8125373000560563</v>
      </c>
      <c r="M27" s="25">
        <f ca="1"/>
        <v>0</v>
      </c>
      <c r="N27" t="s">
        <v>407</v>
      </c>
      <c r="O27" s="40">
        <f>CHIINV(0.95,2)</f>
        <v>0.10258658877510116</v>
      </c>
    </row>
    <row r="28" spans="1:21" x14ac:dyDescent="0.3">
      <c r="A28" s="148">
        <f>'Scenario calculation'!J490</f>
        <v>0.2697018922304506</v>
      </c>
      <c r="B28" s="47">
        <f>A28-'Summary Output'!$B$24</f>
        <v>0.16236006721478974</v>
      </c>
      <c r="C28"/>
      <c r="D28" s="137">
        <f t="shared" ca="1" si="0"/>
        <v>0.28143002751701696</v>
      </c>
      <c r="E28" s="25">
        <f ca="1"/>
        <v>12</v>
      </c>
      <c r="F28" t="s">
        <v>408</v>
      </c>
      <c r="G28" s="146">
        <f ca="1">CHIDIST(G26,2)</f>
        <v>0.11743606984005117</v>
      </c>
      <c r="I28" s="101">
        <f>'Scenario calculation'!D490</f>
        <v>2.2180591591585999</v>
      </c>
      <c r="J28" s="149"/>
      <c r="K28" s="149"/>
      <c r="L28" s="101">
        <f t="shared" ca="1" si="1"/>
        <v>4.0625373000560563</v>
      </c>
      <c r="M28" s="25">
        <f ca="1"/>
        <v>0</v>
      </c>
      <c r="N28" t="s">
        <v>408</v>
      </c>
      <c r="O28" s="163">
        <f ca="1">CHIDIST(O26,2)</f>
        <v>2.9995378195895959E-3</v>
      </c>
    </row>
    <row r="29" spans="1:21" x14ac:dyDescent="0.3">
      <c r="A29" s="148">
        <f>'Scenario calculation'!J491</f>
        <v>0.18668695952478065</v>
      </c>
      <c r="B29" s="47">
        <f>A29-'Summary Output'!$B$24</f>
        <v>7.9345134509119772E-2</v>
      </c>
      <c r="C29"/>
      <c r="D29" s="137">
        <f t="shared" ca="1" si="0"/>
        <v>0.30143002751701697</v>
      </c>
      <c r="E29" s="25">
        <f ca="1"/>
        <v>8</v>
      </c>
      <c r="F29" t="s">
        <v>445</v>
      </c>
      <c r="G29" s="194" t="str">
        <f ca="1">IF(G28&gt;=G22,"Normal","Not Normal")</f>
        <v>Normal</v>
      </c>
      <c r="I29" s="101">
        <f>'Scenario calculation'!D491</f>
        <v>3.5121116414838638</v>
      </c>
      <c r="J29" s="149"/>
      <c r="K29" s="149"/>
      <c r="L29" s="101">
        <f t="shared" ca="1" si="1"/>
        <v>4.3125373000560563</v>
      </c>
      <c r="M29" s="25">
        <f ca="1"/>
        <v>0</v>
      </c>
      <c r="N29" t="s">
        <v>445</v>
      </c>
      <c r="O29" s="194" t="str">
        <f ca="1">IF(O28&gt;=O22,"Normal","Not Normal")</f>
        <v>Not Normal</v>
      </c>
    </row>
    <row r="30" spans="1:21" x14ac:dyDescent="0.3">
      <c r="A30" s="148">
        <f>'Scenario calculation'!J492</f>
        <v>0.29081057145223954</v>
      </c>
      <c r="B30" s="47">
        <f>A30-'Summary Output'!$B$24</f>
        <v>0.18346874643657868</v>
      </c>
      <c r="C30"/>
      <c r="D30" s="137">
        <f t="shared" ca="1" si="0"/>
        <v>0.32143002751701699</v>
      </c>
      <c r="E30" s="25">
        <f ca="1"/>
        <v>5</v>
      </c>
      <c r="I30" s="101">
        <f>'Scenario calculation'!D492</f>
        <v>3.3209471989554111</v>
      </c>
      <c r="J30" s="149"/>
      <c r="K30" s="149"/>
      <c r="L30" s="144"/>
    </row>
    <row r="31" spans="1:21" x14ac:dyDescent="0.3">
      <c r="A31" s="148">
        <f>'Scenario calculation'!J493</f>
        <v>0.27956144068136268</v>
      </c>
      <c r="B31" s="47">
        <f>A31-'Summary Output'!$B$24</f>
        <v>0.17221961566570182</v>
      </c>
      <c r="C31"/>
      <c r="D31" s="137">
        <f t="shared" ca="1" si="0"/>
        <v>0.34143002751701701</v>
      </c>
      <c r="E31" s="25">
        <f ca="1"/>
        <v>4</v>
      </c>
      <c r="I31" s="101">
        <f>'Scenario calculation'!D493</f>
        <v>2.7183761245026443</v>
      </c>
      <c r="J31" s="149"/>
      <c r="K31" s="149"/>
      <c r="L31" s="144"/>
    </row>
    <row r="32" spans="1:21" x14ac:dyDescent="0.3">
      <c r="A32" s="148">
        <f>'Scenario calculation'!J494</f>
        <v>0.37391956791398173</v>
      </c>
      <c r="B32" s="47">
        <f>A32-'Summary Output'!$B$24</f>
        <v>0.26657774289832087</v>
      </c>
      <c r="C32"/>
      <c r="D32" s="137">
        <f ca="1">D31+0.02</f>
        <v>0.36143002751701703</v>
      </c>
      <c r="E32" s="25">
        <f ca="1"/>
        <v>2</v>
      </c>
      <c r="I32" s="101">
        <f>'Scenario calculation'!D494</f>
        <v>2.2405859501934993</v>
      </c>
      <c r="J32" s="149"/>
      <c r="K32" s="110"/>
      <c r="L32" s="144"/>
    </row>
    <row r="33" spans="1:12" x14ac:dyDescent="0.3">
      <c r="A33" s="148">
        <f>'Scenario calculation'!J495</f>
        <v>0.27123623069823943</v>
      </c>
      <c r="B33" s="47">
        <f>A33-'Summary Output'!$B$24</f>
        <v>0.16389440568257857</v>
      </c>
      <c r="C33"/>
      <c r="D33" s="137">
        <f t="shared" ca="1" si="0"/>
        <v>0.38143002751701705</v>
      </c>
      <c r="E33" s="25">
        <f ca="1"/>
        <v>6</v>
      </c>
      <c r="I33" s="101">
        <f>'Scenario calculation'!D495</f>
        <v>2.1559998683434896</v>
      </c>
      <c r="J33" s="149"/>
      <c r="K33" s="110"/>
      <c r="L33" s="144"/>
    </row>
    <row r="34" spans="1:12" x14ac:dyDescent="0.3">
      <c r="A34" s="148">
        <f>'Scenario calculation'!J496</f>
        <v>0.33269140125704899</v>
      </c>
      <c r="B34" s="47">
        <f>A34-'Summary Output'!$B$24</f>
        <v>0.22534957624138813</v>
      </c>
      <c r="C34"/>
      <c r="D34" s="137">
        <f t="shared" ca="1" si="0"/>
        <v>0.40143002751701706</v>
      </c>
      <c r="E34" s="25">
        <f ca="1"/>
        <v>0</v>
      </c>
      <c r="I34" s="101">
        <f>'Scenario calculation'!D496</f>
        <v>2.4359557312877804</v>
      </c>
      <c r="J34" s="149"/>
      <c r="K34" s="110"/>
      <c r="L34" s="144"/>
    </row>
    <row r="35" spans="1:12" x14ac:dyDescent="0.3">
      <c r="A35" s="148">
        <f>'Scenario calculation'!J497</f>
        <v>0.14849665938587697</v>
      </c>
      <c r="B35" s="47">
        <f>A35-'Summary Output'!$B$24</f>
        <v>4.1154834370216095E-2</v>
      </c>
      <c r="C35"/>
      <c r="D35" s="137">
        <f t="shared" ca="1" si="0"/>
        <v>0.42143002751701708</v>
      </c>
      <c r="E35" s="25">
        <f ca="1"/>
        <v>0</v>
      </c>
      <c r="I35" s="101">
        <f>'Scenario calculation'!D497</f>
        <v>2.2222433663443786</v>
      </c>
      <c r="J35" s="149"/>
      <c r="K35" s="110"/>
      <c r="L35" s="144"/>
    </row>
    <row r="36" spans="1:12" x14ac:dyDescent="0.3">
      <c r="A36" s="148">
        <f>'Scenario calculation'!J498</f>
        <v>0.22733061585464287</v>
      </c>
      <c r="B36" s="47">
        <f>A36-'Summary Output'!$B$24</f>
        <v>0.11998879083898199</v>
      </c>
      <c r="C36"/>
      <c r="D36" s="137">
        <f t="shared" ca="1" si="0"/>
        <v>0.4414300275170171</v>
      </c>
      <c r="E36" s="25">
        <f ca="1"/>
        <v>0</v>
      </c>
      <c r="I36" s="101">
        <f>'Scenario calculation'!D498</f>
        <v>1.8308511019012568</v>
      </c>
      <c r="J36" s="149"/>
      <c r="K36" s="110"/>
      <c r="L36" s="144"/>
    </row>
    <row r="37" spans="1:12" x14ac:dyDescent="0.3">
      <c r="A37" s="148">
        <f>'Scenario calculation'!J499</f>
        <v>0.20398485345319139</v>
      </c>
      <c r="B37" s="47">
        <f>A37-'Summary Output'!$B$24</f>
        <v>9.6643028437530518E-2</v>
      </c>
      <c r="C37"/>
      <c r="D37" s="137">
        <f t="shared" ca="1" si="0"/>
        <v>0.46143002751701712</v>
      </c>
      <c r="E37" s="25">
        <f ca="1"/>
        <v>0</v>
      </c>
      <c r="I37" s="101">
        <f>'Scenario calculation'!D499</f>
        <v>2.073477143552374</v>
      </c>
      <c r="J37" s="149"/>
      <c r="K37" s="110"/>
      <c r="L37" s="144"/>
    </row>
    <row r="38" spans="1:12" x14ac:dyDescent="0.3">
      <c r="A38" s="148">
        <f>'Scenario calculation'!J500</f>
        <v>0.21438082183727913</v>
      </c>
      <c r="B38" s="47">
        <f>A38-'Summary Output'!$B$24</f>
        <v>0.10703899682161826</v>
      </c>
      <c r="C38"/>
      <c r="D38" s="137">
        <f t="shared" ca="1" si="0"/>
        <v>0.48143002751701713</v>
      </c>
      <c r="E38" s="25">
        <f ca="1"/>
        <v>0</v>
      </c>
      <c r="I38" s="101">
        <f>'Scenario calculation'!D500</f>
        <v>2.0985926918254938</v>
      </c>
      <c r="J38" s="149"/>
      <c r="K38" s="110"/>
      <c r="L38" s="144"/>
    </row>
    <row r="39" spans="1:12" x14ac:dyDescent="0.3">
      <c r="A39" s="148">
        <f>'Scenario calculation'!J501</f>
        <v>0.19936598806359473</v>
      </c>
      <c r="B39" s="47">
        <f>A39-'Summary Output'!$B$24</f>
        <v>9.2024163047933857E-2</v>
      </c>
      <c r="C39"/>
      <c r="I39" s="101">
        <f>'Scenario calculation'!D501</f>
        <v>2.5000745651852623</v>
      </c>
      <c r="J39" s="149"/>
      <c r="K39" s="110"/>
      <c r="L39" s="144"/>
    </row>
    <row r="40" spans="1:12" x14ac:dyDescent="0.3">
      <c r="A40" s="148">
        <f>'Scenario calculation'!J502</f>
        <v>0.27598268953160532</v>
      </c>
      <c r="B40" s="47">
        <f>A40-'Summary Output'!$B$24</f>
        <v>0.16864086451594446</v>
      </c>
      <c r="C40"/>
      <c r="I40" s="101">
        <f>'Scenario calculation'!D502</f>
        <v>2.6625281326951531</v>
      </c>
      <c r="J40" s="149"/>
      <c r="K40" s="110"/>
      <c r="L40" s="144"/>
    </row>
    <row r="41" spans="1:12" x14ac:dyDescent="0.3">
      <c r="A41" s="148">
        <f>'Scenario calculation'!J503</f>
        <v>0.24398447517579558</v>
      </c>
      <c r="B41" s="47">
        <f>A41-'Summary Output'!$B$24</f>
        <v>0.13664265016013472</v>
      </c>
      <c r="C41"/>
      <c r="I41" s="101">
        <f>'Scenario calculation'!D503</f>
        <v>2.3546516878865424</v>
      </c>
      <c r="J41" s="149"/>
      <c r="K41" s="110"/>
      <c r="L41" s="144"/>
    </row>
    <row r="42" spans="1:12" x14ac:dyDescent="0.3">
      <c r="A42" s="148">
        <f>'Scenario calculation'!J504</f>
        <v>0.3484207600997451</v>
      </c>
      <c r="B42" s="47">
        <f>A42-'Summary Output'!$B$24</f>
        <v>0.24107893508408423</v>
      </c>
      <c r="C42"/>
      <c r="I42" s="101">
        <f>'Scenario calculation'!D504</f>
        <v>2.2344798831501609</v>
      </c>
      <c r="J42" s="149"/>
      <c r="K42" s="110"/>
      <c r="L42" s="144"/>
    </row>
    <row r="43" spans="1:12" x14ac:dyDescent="0.3">
      <c r="A43" s="148">
        <f>'Scenario calculation'!J505</f>
        <v>0.19485939052712009</v>
      </c>
      <c r="B43" s="47">
        <f>A43-'Summary Output'!$B$24</f>
        <v>8.7517565511459214E-2</v>
      </c>
      <c r="C43"/>
      <c r="I43" s="101">
        <f>'Scenario calculation'!D505</f>
        <v>2.4585740571800416</v>
      </c>
      <c r="J43" s="149"/>
      <c r="K43" s="110"/>
      <c r="L43" s="144"/>
    </row>
    <row r="44" spans="1:12" x14ac:dyDescent="0.3">
      <c r="A44" s="148">
        <f>'Scenario calculation'!J506</f>
        <v>0.28646113588913558</v>
      </c>
      <c r="B44" s="47">
        <f>A44-'Summary Output'!$B$24</f>
        <v>0.17911931087347471</v>
      </c>
      <c r="C44"/>
      <c r="I44" s="101">
        <f>'Scenario calculation'!D506</f>
        <v>1.68818942402882</v>
      </c>
      <c r="J44" s="149"/>
      <c r="K44" s="110"/>
      <c r="L44" s="144"/>
    </row>
    <row r="45" spans="1:12" x14ac:dyDescent="0.3">
      <c r="A45" s="148">
        <f>'Scenario calculation'!J507</f>
        <v>0.24963200191888424</v>
      </c>
      <c r="B45" s="47">
        <f>A45-'Summary Output'!$B$24</f>
        <v>0.14229017690322338</v>
      </c>
      <c r="C45"/>
      <c r="I45" s="101">
        <f>'Scenario calculation'!D507</f>
        <v>1.9275113900598861</v>
      </c>
      <c r="J45" s="149"/>
      <c r="K45" s="110"/>
      <c r="L45" s="144"/>
    </row>
    <row r="46" spans="1:12" x14ac:dyDescent="0.3">
      <c r="A46" s="148">
        <f>'Scenario calculation'!J508</f>
        <v>0.22235638336097874</v>
      </c>
      <c r="B46" s="47">
        <f>A46-'Summary Output'!$B$24</f>
        <v>0.11501455834531786</v>
      </c>
      <c r="C46"/>
      <c r="I46" s="101">
        <f>'Scenario calculation'!D508</f>
        <v>2.7506331359018987</v>
      </c>
      <c r="J46" s="149"/>
      <c r="K46" s="110"/>
      <c r="L46" s="144"/>
    </row>
    <row r="47" spans="1:12" x14ac:dyDescent="0.3">
      <c r="A47" s="148">
        <f>'Scenario calculation'!J509</f>
        <v>0.24707731201802363</v>
      </c>
      <c r="B47" s="47">
        <f>A47-'Summary Output'!$B$24</f>
        <v>0.13973548700236277</v>
      </c>
      <c r="C47"/>
      <c r="I47" s="101">
        <f>'Scenario calculation'!D509</f>
        <v>1.7219916393775871</v>
      </c>
      <c r="J47" s="149"/>
      <c r="K47" s="110"/>
      <c r="L47" s="144"/>
    </row>
    <row r="48" spans="1:12" x14ac:dyDescent="0.3">
      <c r="A48" s="148">
        <f>'Scenario calculation'!J510</f>
        <v>0.26465891854959955</v>
      </c>
      <c r="B48" s="47">
        <f>A48-'Summary Output'!$B$24</f>
        <v>0.15731709353393869</v>
      </c>
      <c r="C48"/>
      <c r="I48" s="101">
        <f>'Scenario calculation'!D510</f>
        <v>2.1951950484708758</v>
      </c>
      <c r="J48" s="149"/>
      <c r="K48" s="110"/>
      <c r="L48" s="144"/>
    </row>
    <row r="49" spans="1:12" x14ac:dyDescent="0.3">
      <c r="A49" s="148">
        <f>'Scenario calculation'!J511</f>
        <v>0.15591381422086958</v>
      </c>
      <c r="B49" s="47">
        <f>A49-'Summary Output'!$B$24</f>
        <v>4.8571989205208707E-2</v>
      </c>
      <c r="C49"/>
      <c r="I49" s="101">
        <f>'Scenario calculation'!D511</f>
        <v>2.4900729557506862</v>
      </c>
      <c r="J49" s="149"/>
      <c r="K49" s="110"/>
      <c r="L49" s="144"/>
    </row>
    <row r="50" spans="1:12" x14ac:dyDescent="0.3">
      <c r="A50" s="148">
        <f>'Scenario calculation'!J512</f>
        <v>0.27355003615263684</v>
      </c>
      <c r="B50" s="47">
        <f>A50-'Summary Output'!$B$24</f>
        <v>0.16620821113697598</v>
      </c>
      <c r="C50"/>
      <c r="I50" s="101">
        <f>'Scenario calculation'!D512</f>
        <v>2.838513417372023</v>
      </c>
      <c r="J50" s="149"/>
      <c r="K50" s="110"/>
      <c r="L50" s="144"/>
    </row>
    <row r="51" spans="1:12" x14ac:dyDescent="0.3">
      <c r="A51" s="148">
        <f>'Scenario calculation'!J513</f>
        <v>0.36585259733325159</v>
      </c>
      <c r="B51" s="47">
        <f>A51-'Summary Output'!$B$24</f>
        <v>0.25851077231759073</v>
      </c>
      <c r="C51"/>
      <c r="I51" s="101">
        <f>'Scenario calculation'!D513</f>
        <v>2.71274524935659</v>
      </c>
      <c r="J51" s="149"/>
      <c r="K51" s="110"/>
      <c r="L51" s="144"/>
    </row>
    <row r="52" spans="1:12" x14ac:dyDescent="0.3">
      <c r="A52" s="148">
        <f>'Scenario calculation'!J514</f>
        <v>0.22034282848557374</v>
      </c>
      <c r="B52" s="47">
        <f>A52-'Summary Output'!$B$24</f>
        <v>0.11300100346991286</v>
      </c>
      <c r="C52"/>
      <c r="I52" s="101">
        <f>'Scenario calculation'!D514</f>
        <v>2.8718701921803276</v>
      </c>
      <c r="J52" s="149"/>
      <c r="K52" s="110"/>
      <c r="L52" s="144"/>
    </row>
    <row r="53" spans="1:12" x14ac:dyDescent="0.3">
      <c r="A53" s="148">
        <f>'Scenario calculation'!J515</f>
        <v>0.1254158465806301</v>
      </c>
      <c r="B53" s="47">
        <f>A53-'Summary Output'!$B$24</f>
        <v>1.807402156496922E-2</v>
      </c>
      <c r="C53"/>
      <c r="I53" s="101">
        <f>'Scenario calculation'!D515</f>
        <v>2.7772846719206603</v>
      </c>
      <c r="J53" s="149"/>
      <c r="K53" s="144"/>
      <c r="L53"/>
    </row>
    <row r="54" spans="1:12" x14ac:dyDescent="0.3">
      <c r="A54" s="148">
        <f>'Scenario calculation'!J516</f>
        <v>0.19383870668998293</v>
      </c>
      <c r="B54" s="47">
        <f>A54-'Summary Output'!$B$24</f>
        <v>8.6496881674322054E-2</v>
      </c>
      <c r="C54"/>
      <c r="I54" s="101">
        <f>'Scenario calculation'!D516</f>
        <v>2.1464327907363092</v>
      </c>
      <c r="J54" s="149"/>
      <c r="K54" s="144"/>
      <c r="L54"/>
    </row>
    <row r="55" spans="1:12" x14ac:dyDescent="0.3">
      <c r="A55" s="148">
        <f>'Scenario calculation'!J517</f>
        <v>0.29083179839477968</v>
      </c>
      <c r="B55" s="47">
        <f>A55-'Summary Output'!$B$24</f>
        <v>0.18348997337911882</v>
      </c>
      <c r="C55"/>
      <c r="I55" s="101">
        <f>'Scenario calculation'!D517</f>
        <v>2.6306285338334496</v>
      </c>
      <c r="J55" s="149"/>
      <c r="K55" s="144"/>
      <c r="L55"/>
    </row>
    <row r="56" spans="1:12" x14ac:dyDescent="0.3">
      <c r="A56" s="148">
        <f>'Scenario calculation'!J518</f>
        <v>0.20187673686623531</v>
      </c>
      <c r="B56" s="47">
        <f>A56-'Summary Output'!$B$24</f>
        <v>9.453491185057443E-2</v>
      </c>
      <c r="C56"/>
      <c r="I56" s="101">
        <f>'Scenario calculation'!D518</f>
        <v>2.2518127225453299</v>
      </c>
      <c r="J56" s="149"/>
      <c r="K56" s="144"/>
      <c r="L56"/>
    </row>
    <row r="57" spans="1:12" x14ac:dyDescent="0.3">
      <c r="A57" s="148">
        <f>'Scenario calculation'!J519</f>
        <v>0.31225518561319876</v>
      </c>
      <c r="B57" s="47">
        <f>A57-'Summary Output'!$B$24</f>
        <v>0.2049133605975379</v>
      </c>
      <c r="C57"/>
      <c r="I57" s="101">
        <f>'Scenario calculation'!D519</f>
        <v>3.3580479750736592</v>
      </c>
      <c r="J57" s="149"/>
      <c r="K57" s="144"/>
      <c r="L57"/>
    </row>
    <row r="58" spans="1:12" x14ac:dyDescent="0.3">
      <c r="A58" s="148">
        <f>'Scenario calculation'!J520</f>
        <v>0.11726778288793116</v>
      </c>
      <c r="B58" s="47">
        <f>A58-'Summary Output'!$B$24</f>
        <v>9.9259578722702829E-3</v>
      </c>
      <c r="C58"/>
      <c r="I58" s="101">
        <f>'Scenario calculation'!D520</f>
        <v>2.1040919344875171</v>
      </c>
      <c r="J58" s="149"/>
      <c r="K58" s="144"/>
      <c r="L58"/>
    </row>
    <row r="59" spans="1:12" x14ac:dyDescent="0.3">
      <c r="A59" s="148">
        <f>'Scenario calculation'!J521</f>
        <v>0.12100938218494006</v>
      </c>
      <c r="B59" s="47">
        <f>A59-'Summary Output'!$B$24</f>
        <v>1.3667557169279185E-2</v>
      </c>
      <c r="C59"/>
      <c r="I59" s="101">
        <f>'Scenario calculation'!D521</f>
        <v>3.5351123432226146</v>
      </c>
      <c r="J59" s="149"/>
      <c r="K59" s="144"/>
      <c r="L59"/>
    </row>
    <row r="60" spans="1:12" x14ac:dyDescent="0.3">
      <c r="A60" s="148">
        <f>'Scenario calculation'!J522</f>
        <v>0.21753493187314321</v>
      </c>
      <c r="B60" s="47">
        <f>A60-'Summary Output'!$B$24</f>
        <v>0.11019310685748233</v>
      </c>
      <c r="C60"/>
      <c r="I60" s="101">
        <f>'Scenario calculation'!D522</f>
        <v>3.162622255964489</v>
      </c>
      <c r="J60" s="149"/>
      <c r="K60" s="144"/>
      <c r="L60"/>
    </row>
    <row r="61" spans="1:12" x14ac:dyDescent="0.3">
      <c r="A61" s="148">
        <f>'Scenario calculation'!J523</f>
        <v>0.2291232134060206</v>
      </c>
      <c r="B61" s="47">
        <f>A61-'Summary Output'!$B$24</f>
        <v>0.12178138839035972</v>
      </c>
      <c r="C61"/>
      <c r="I61" s="101">
        <f>'Scenario calculation'!D523</f>
        <v>2.573470420523424</v>
      </c>
      <c r="J61" s="149"/>
      <c r="K61" s="144"/>
      <c r="L61"/>
    </row>
    <row r="62" spans="1:12" x14ac:dyDescent="0.3">
      <c r="A62" s="148">
        <f>'Scenario calculation'!J524</f>
        <v>0.33951127849470586</v>
      </c>
      <c r="B62" s="47">
        <f>A62-'Summary Output'!$B$24</f>
        <v>0.232169453479045</v>
      </c>
      <c r="C62"/>
      <c r="I62" s="101">
        <f>'Scenario calculation'!D524</f>
        <v>3.0935768229503804</v>
      </c>
      <c r="J62" s="149"/>
      <c r="K62" s="144"/>
      <c r="L62"/>
    </row>
    <row r="63" spans="1:12" x14ac:dyDescent="0.3">
      <c r="A63" s="148">
        <f>'Scenario calculation'!J525</f>
        <v>0.30355258996658741</v>
      </c>
      <c r="B63" s="47">
        <f>A63-'Summary Output'!$B$24</f>
        <v>0.19621076495092654</v>
      </c>
      <c r="C63"/>
      <c r="I63" s="101">
        <f>'Scenario calculation'!D525</f>
        <v>2.0362938641271215</v>
      </c>
      <c r="J63" s="149"/>
      <c r="K63" s="144"/>
      <c r="L63"/>
    </row>
    <row r="64" spans="1:12" x14ac:dyDescent="0.3">
      <c r="A64" s="148">
        <f>'Scenario calculation'!J526</f>
        <v>0.1933427122468514</v>
      </c>
      <c r="B64" s="47">
        <f>A64-'Summary Output'!$B$24</f>
        <v>8.6000887231190523E-2</v>
      </c>
      <c r="C64"/>
      <c r="I64" s="101">
        <f>'Scenario calculation'!D526</f>
        <v>2.9617960960475931</v>
      </c>
      <c r="J64" s="149"/>
      <c r="K64" s="144"/>
      <c r="L64"/>
    </row>
    <row r="65" spans="1:12" x14ac:dyDescent="0.3">
      <c r="A65" s="148">
        <f>'Scenario calculation'!J527</f>
        <v>0.17166014637078786</v>
      </c>
      <c r="B65" s="47">
        <f>A65-'Summary Output'!$B$24</f>
        <v>6.4318321355126981E-2</v>
      </c>
      <c r="C65"/>
      <c r="I65" s="101">
        <f>'Scenario calculation'!D527</f>
        <v>1.9262833316447803</v>
      </c>
      <c r="J65" s="149"/>
      <c r="K65" s="144"/>
      <c r="L65"/>
    </row>
    <row r="66" spans="1:12" x14ac:dyDescent="0.3">
      <c r="A66" s="148">
        <f>'Scenario calculation'!J528</f>
        <v>0.23739460346271035</v>
      </c>
      <c r="B66" s="47">
        <f>A66-'Summary Output'!$B$24</f>
        <v>0.13005277844704949</v>
      </c>
      <c r="C66"/>
      <c r="I66" s="101">
        <f>'Scenario calculation'!D528</f>
        <v>2.5728022665091848</v>
      </c>
      <c r="J66" s="149"/>
      <c r="K66" s="144"/>
      <c r="L66"/>
    </row>
    <row r="67" spans="1:12" x14ac:dyDescent="0.3">
      <c r="A67" s="148">
        <f>'Scenario calculation'!J529</f>
        <v>0.25618189298266536</v>
      </c>
      <c r="B67" s="47">
        <f>A67-'Summary Output'!$B$24</f>
        <v>0.1488400679670045</v>
      </c>
      <c r="C67"/>
      <c r="I67" s="101">
        <f>'Scenario calculation'!D529</f>
        <v>3.1587529971928605</v>
      </c>
      <c r="J67" s="149"/>
      <c r="K67" s="144"/>
      <c r="L67"/>
    </row>
    <row r="68" spans="1:12" x14ac:dyDescent="0.3">
      <c r="A68" s="148">
        <f>'Scenario calculation'!J530</f>
        <v>0.37557690519245313</v>
      </c>
      <c r="B68" s="47">
        <f>A68-'Summary Output'!$B$24</f>
        <v>0.26823508017679226</v>
      </c>
      <c r="C68"/>
      <c r="I68" s="101">
        <f>'Scenario calculation'!D530</f>
        <v>2.9565988695578813</v>
      </c>
      <c r="J68" s="149"/>
      <c r="K68" s="144"/>
      <c r="L68"/>
    </row>
    <row r="69" spans="1:12" x14ac:dyDescent="0.3">
      <c r="A69" s="148">
        <f>'Scenario calculation'!J531</f>
        <v>0.25674779158935523</v>
      </c>
      <c r="B69" s="47">
        <f>A69-'Summary Output'!$B$24</f>
        <v>0.14940596657369437</v>
      </c>
      <c r="C69"/>
      <c r="I69" s="101">
        <f>'Scenario calculation'!D531</f>
        <v>2.5389475811086881</v>
      </c>
      <c r="J69" s="149"/>
      <c r="K69" s="144"/>
      <c r="L69"/>
    </row>
    <row r="70" spans="1:12" x14ac:dyDescent="0.3">
      <c r="A70" s="148">
        <f>'Scenario calculation'!J532</f>
        <v>0.23347524336930525</v>
      </c>
      <c r="B70" s="47">
        <f>A70-'Summary Output'!$B$24</f>
        <v>0.12613341835364439</v>
      </c>
      <c r="C70"/>
      <c r="I70" s="101">
        <f>'Scenario calculation'!D532</f>
        <v>2.1450962430301148</v>
      </c>
      <c r="J70" s="149"/>
      <c r="K70" s="144"/>
      <c r="L70"/>
    </row>
    <row r="71" spans="1:12" x14ac:dyDescent="0.3">
      <c r="A71" s="148">
        <f>'Scenario calculation'!J533</f>
        <v>0.33542583485415678</v>
      </c>
      <c r="B71" s="47">
        <f>A71-'Summary Output'!$B$24</f>
        <v>0.22808400983849592</v>
      </c>
      <c r="C71"/>
      <c r="I71" s="101">
        <f>'Scenario calculation'!D533</f>
        <v>2.2792061734418794</v>
      </c>
      <c r="J71" s="149"/>
      <c r="K71" s="144"/>
      <c r="L71"/>
    </row>
    <row r="72" spans="1:12" x14ac:dyDescent="0.3">
      <c r="A72" s="148">
        <f>'Scenario calculation'!J534</f>
        <v>0.28039284473318715</v>
      </c>
      <c r="B72" s="47">
        <f>A72-'Summary Output'!$B$24</f>
        <v>0.17305101971752629</v>
      </c>
      <c r="C72"/>
      <c r="I72" s="101">
        <f>'Scenario calculation'!D534</f>
        <v>2.5806095582083177</v>
      </c>
      <c r="J72" s="149"/>
      <c r="K72" s="144"/>
      <c r="L72"/>
    </row>
    <row r="73" spans="1:12" x14ac:dyDescent="0.3">
      <c r="A73" s="148">
        <f>'Scenario calculation'!J535</f>
        <v>0.2186316874627614</v>
      </c>
      <c r="B73" s="47">
        <f>A73-'Summary Output'!$B$24</f>
        <v>0.11128986244710053</v>
      </c>
      <c r="C73"/>
      <c r="I73" s="101">
        <f>'Scenario calculation'!D535</f>
        <v>2.7226897249046056</v>
      </c>
      <c r="J73" s="149"/>
      <c r="K73" s="144"/>
      <c r="L73"/>
    </row>
    <row r="74" spans="1:12" x14ac:dyDescent="0.3">
      <c r="A74" s="148">
        <f>'Scenario calculation'!J536</f>
        <v>0.23704294534500692</v>
      </c>
      <c r="B74" s="47">
        <f>A74-'Summary Output'!$B$24</f>
        <v>0.12970112032934605</v>
      </c>
      <c r="C74"/>
      <c r="I74" s="101">
        <f>'Scenario calculation'!D536</f>
        <v>2.2303086506513723</v>
      </c>
      <c r="J74" s="149"/>
      <c r="K74" s="144"/>
      <c r="L74"/>
    </row>
    <row r="75" spans="1:12" x14ac:dyDescent="0.3">
      <c r="A75" s="148">
        <f>'Scenario calculation'!J537</f>
        <v>0.19219846129119489</v>
      </c>
      <c r="B75" s="47">
        <f>A75-'Summary Output'!$B$24</f>
        <v>8.4856636275534011E-2</v>
      </c>
      <c r="C75"/>
      <c r="I75" s="101">
        <f>'Scenario calculation'!D537</f>
        <v>2.5498674655457574</v>
      </c>
      <c r="J75" s="149"/>
      <c r="K75" s="144"/>
      <c r="L75"/>
    </row>
    <row r="76" spans="1:12" x14ac:dyDescent="0.3">
      <c r="A76" s="148">
        <f>'Scenario calculation'!J538</f>
        <v>0.18460642150625239</v>
      </c>
      <c r="B76" s="47">
        <f>A76-'Summary Output'!$B$24</f>
        <v>7.7264596490591517E-2</v>
      </c>
      <c r="C76"/>
      <c r="I76" s="101">
        <f>'Scenario calculation'!D538</f>
        <v>2.2728310397641094</v>
      </c>
      <c r="J76" s="149"/>
      <c r="K76" s="144"/>
      <c r="L76"/>
    </row>
    <row r="77" spans="1:12" x14ac:dyDescent="0.3">
      <c r="A77" s="148">
        <f>'Scenario calculation'!J539</f>
        <v>0.23604785077793822</v>
      </c>
      <c r="B77" s="47">
        <f>A77-'Summary Output'!$B$24</f>
        <v>0.12870602576227735</v>
      </c>
      <c r="C77"/>
      <c r="I77" s="101">
        <f>'Scenario calculation'!D539</f>
        <v>3.1205707364953144</v>
      </c>
      <c r="J77" s="149"/>
      <c r="K77" s="144"/>
      <c r="L77"/>
    </row>
    <row r="78" spans="1:12" x14ac:dyDescent="0.3">
      <c r="A78" s="148">
        <f>'Scenario calculation'!J540</f>
        <v>0.35679423141332234</v>
      </c>
      <c r="B78" s="47">
        <f>A78-'Summary Output'!$B$24</f>
        <v>0.24945240639766147</v>
      </c>
      <c r="C78"/>
      <c r="I78" s="101">
        <f>'Scenario calculation'!D540</f>
        <v>2.1848988530603153</v>
      </c>
      <c r="J78" s="149"/>
      <c r="K78" s="144"/>
      <c r="L78"/>
    </row>
    <row r="79" spans="1:12" x14ac:dyDescent="0.3">
      <c r="A79" s="148">
        <f>'Scenario calculation'!J541</f>
        <v>0.10848274110328049</v>
      </c>
      <c r="B79" s="47">
        <f>A79-'Summary Output'!$B$24</f>
        <v>1.1409160876196117E-3</v>
      </c>
      <c r="C79"/>
      <c r="I79" s="101">
        <f>'Scenario calculation'!D541</f>
        <v>2.6123912348217457</v>
      </c>
      <c r="J79" s="149"/>
      <c r="K79" s="144"/>
      <c r="L79"/>
    </row>
    <row r="80" spans="1:12" x14ac:dyDescent="0.3">
      <c r="A80" s="148">
        <f>'Scenario calculation'!J542</f>
        <v>0.18269184913145953</v>
      </c>
      <c r="B80" s="47">
        <f>A80-'Summary Output'!$B$24</f>
        <v>7.535002411579865E-2</v>
      </c>
      <c r="C80"/>
      <c r="I80" s="101">
        <f>'Scenario calculation'!D542</f>
        <v>3.1851379769415269</v>
      </c>
      <c r="J80" s="149"/>
      <c r="K80" s="144"/>
      <c r="L80"/>
    </row>
    <row r="81" spans="1:12" x14ac:dyDescent="0.3">
      <c r="A81" s="148">
        <f>'Scenario calculation'!J543</f>
        <v>0.36484401340510519</v>
      </c>
      <c r="B81" s="47">
        <f>A81-'Summary Output'!$B$24</f>
        <v>0.25750218838944433</v>
      </c>
      <c r="C81"/>
      <c r="I81" s="101">
        <f>'Scenario calculation'!D543</f>
        <v>2.4762603136530905</v>
      </c>
      <c r="J81" s="149"/>
      <c r="K81" s="144"/>
      <c r="L81"/>
    </row>
    <row r="82" spans="1:12" x14ac:dyDescent="0.3">
      <c r="A82" s="148">
        <f>'Scenario calculation'!J544</f>
        <v>0.18640644297198938</v>
      </c>
      <c r="B82" s="47">
        <f>A82-'Summary Output'!$B$24</f>
        <v>7.9064617956328506E-2</v>
      </c>
      <c r="C82"/>
      <c r="I82" s="101">
        <f>'Scenario calculation'!D544</f>
        <v>3.3425542566891351</v>
      </c>
      <c r="J82" s="149"/>
      <c r="K82" s="144"/>
      <c r="L82"/>
    </row>
    <row r="83" spans="1:12" x14ac:dyDescent="0.3">
      <c r="A83" s="148">
        <f>'Scenario calculation'!J545</f>
        <v>0.25947372891269715</v>
      </c>
      <c r="B83" s="47">
        <f>A83-'Summary Output'!$B$24</f>
        <v>0.15213190389703629</v>
      </c>
      <c r="C83"/>
      <c r="I83" s="101">
        <f>'Scenario calculation'!D545</f>
        <v>2.9114307470179561</v>
      </c>
      <c r="J83" s="149"/>
      <c r="K83" s="144"/>
      <c r="L83"/>
    </row>
    <row r="84" spans="1:12" x14ac:dyDescent="0.3">
      <c r="A84" s="148">
        <f>'Scenario calculation'!J546</f>
        <v>0.22572988952165485</v>
      </c>
      <c r="B84" s="47">
        <f>A84-'Summary Output'!$B$24</f>
        <v>0.11838806450599397</v>
      </c>
      <c r="C84"/>
      <c r="I84" s="101">
        <f>'Scenario calculation'!D546</f>
        <v>2.3424522583748653</v>
      </c>
      <c r="J84" s="149"/>
      <c r="K84" s="144"/>
      <c r="L84"/>
    </row>
    <row r="85" spans="1:12" x14ac:dyDescent="0.3">
      <c r="A85" s="148">
        <f>'Scenario calculation'!J547</f>
        <v>0.19126196119637262</v>
      </c>
      <c r="B85" s="47">
        <f>A85-'Summary Output'!$B$24</f>
        <v>8.3920136180711744E-2</v>
      </c>
      <c r="C85"/>
      <c r="I85" s="101">
        <f>'Scenario calculation'!D547</f>
        <v>2.1227148264078517</v>
      </c>
      <c r="J85" s="149"/>
      <c r="K85" s="144"/>
      <c r="L85"/>
    </row>
    <row r="86" spans="1:12" x14ac:dyDescent="0.3">
      <c r="A86" s="148">
        <f>'Scenario calculation'!J548</f>
        <v>0.11216210863505283</v>
      </c>
      <c r="B86" s="47">
        <f>A86-'Summary Output'!$B$24</f>
        <v>4.820283619391949E-3</v>
      </c>
      <c r="C86"/>
      <c r="I86" s="101">
        <f>'Scenario calculation'!D548</f>
        <v>2.7013837270878005</v>
      </c>
      <c r="J86" s="149"/>
      <c r="K86" s="144"/>
      <c r="L86"/>
    </row>
    <row r="87" spans="1:12" x14ac:dyDescent="0.3">
      <c r="A87" s="148">
        <f>'Scenario calculation'!J549</f>
        <v>0.27280457555173188</v>
      </c>
      <c r="B87" s="47">
        <f>A87-'Summary Output'!$B$24</f>
        <v>0.16546275053607101</v>
      </c>
      <c r="C87"/>
      <c r="I87" s="101">
        <f>'Scenario calculation'!D549</f>
        <v>1.8080013710115832</v>
      </c>
      <c r="J87" s="149"/>
      <c r="K87" s="144"/>
      <c r="L87"/>
    </row>
    <row r="88" spans="1:12" x14ac:dyDescent="0.3">
      <c r="A88" s="148">
        <f>'Scenario calculation'!J550</f>
        <v>0.22506847406494779</v>
      </c>
      <c r="B88" s="47">
        <f>A88-'Summary Output'!$B$24</f>
        <v>0.11772664904928691</v>
      </c>
      <c r="C88"/>
      <c r="I88" s="101">
        <f>'Scenario calculation'!D550</f>
        <v>2.5107293995472841</v>
      </c>
      <c r="J88" s="149"/>
      <c r="K88" s="144"/>
      <c r="L88"/>
    </row>
    <row r="89" spans="1:12" x14ac:dyDescent="0.3">
      <c r="A89" s="148">
        <f>'Scenario calculation'!J551</f>
        <v>0.20668632304055246</v>
      </c>
      <c r="B89" s="47">
        <f>A89-'Summary Output'!$B$24</f>
        <v>9.9344498024891578E-2</v>
      </c>
      <c r="C89"/>
      <c r="I89" s="101">
        <f>'Scenario calculation'!D551</f>
        <v>2.5515757776162387</v>
      </c>
      <c r="J89" s="149"/>
      <c r="K89" s="144"/>
      <c r="L89"/>
    </row>
    <row r="90" spans="1:12" x14ac:dyDescent="0.3">
      <c r="A90" s="148">
        <f>'Scenario calculation'!J552</f>
        <v>0.36367114576956849</v>
      </c>
      <c r="B90" s="47">
        <f>A90-'Summary Output'!$B$24</f>
        <v>0.25632932075390763</v>
      </c>
      <c r="C90"/>
      <c r="I90" s="101">
        <f>'Scenario calculation'!D552</f>
        <v>3.0056591884416206</v>
      </c>
      <c r="J90" s="149"/>
      <c r="K90" s="144"/>
      <c r="L90"/>
    </row>
    <row r="91" spans="1:12" x14ac:dyDescent="0.3">
      <c r="A91" s="148">
        <f>'Scenario calculation'!J553</f>
        <v>0.16935100693739535</v>
      </c>
      <c r="B91" s="47">
        <f>A91-'Summary Output'!$B$24</f>
        <v>6.2009181921734477E-2</v>
      </c>
      <c r="C91"/>
      <c r="I91" s="101">
        <f>'Scenario calculation'!D553</f>
        <v>2.6679634279071314</v>
      </c>
      <c r="J91" s="149"/>
      <c r="K91" s="144"/>
      <c r="L91"/>
    </row>
    <row r="92" spans="1:12" x14ac:dyDescent="0.3">
      <c r="A92" s="148">
        <f>'Scenario calculation'!J554</f>
        <v>0.2475557229857317</v>
      </c>
      <c r="B92" s="47">
        <f>A92-'Summary Output'!$B$24</f>
        <v>0.14021389797007083</v>
      </c>
      <c r="C92"/>
      <c r="I92" s="101">
        <f>'Scenario calculation'!D554</f>
        <v>2.4247505442596813</v>
      </c>
      <c r="J92" s="149"/>
      <c r="K92" s="144"/>
      <c r="L92"/>
    </row>
    <row r="93" spans="1:12" x14ac:dyDescent="0.3">
      <c r="A93" s="148">
        <f>'Scenario calculation'!J555</f>
        <v>0.28916009386836916</v>
      </c>
      <c r="B93" s="47">
        <f>A93-'Summary Output'!$B$24</f>
        <v>0.1818182688527083</v>
      </c>
      <c r="C93"/>
      <c r="I93" s="101">
        <f>'Scenario calculation'!D555</f>
        <v>2.7286454849584869</v>
      </c>
      <c r="J93" s="149"/>
      <c r="K93" s="144"/>
      <c r="L93"/>
    </row>
    <row r="94" spans="1:12" x14ac:dyDescent="0.3">
      <c r="A94" s="148">
        <f>'Scenario calculation'!J556</f>
        <v>0.19331095045622271</v>
      </c>
      <c r="B94" s="47">
        <f>A94-'Summary Output'!$B$24</f>
        <v>8.596912544056183E-2</v>
      </c>
      <c r="C94"/>
      <c r="I94" s="101">
        <f>'Scenario calculation'!D556</f>
        <v>2.4625600534250842</v>
      </c>
      <c r="J94" s="149"/>
      <c r="K94" s="144"/>
      <c r="L94"/>
    </row>
    <row r="95" spans="1:12" x14ac:dyDescent="0.3">
      <c r="A95" s="148">
        <f>'Scenario calculation'!J557</f>
        <v>0.30337962553883235</v>
      </c>
      <c r="B95" s="47">
        <f>A95-'Summary Output'!$B$24</f>
        <v>0.19603780052317149</v>
      </c>
      <c r="C95"/>
      <c r="I95" s="101">
        <f>'Scenario calculation'!D557</f>
        <v>2.1960823634927342</v>
      </c>
      <c r="J95" s="149"/>
      <c r="K95" s="144"/>
      <c r="L95"/>
    </row>
    <row r="96" spans="1:12" x14ac:dyDescent="0.3">
      <c r="A96" s="148">
        <f>'Scenario calculation'!J558</f>
        <v>0.12226505684239486</v>
      </c>
      <c r="B96" s="47">
        <f>A96-'Summary Output'!$B$24</f>
        <v>1.4923231826733982E-2</v>
      </c>
      <c r="C96"/>
      <c r="I96" s="101">
        <f>'Scenario calculation'!D558</f>
        <v>2.2712359637365784</v>
      </c>
      <c r="J96" s="149"/>
      <c r="K96" s="144"/>
      <c r="L96"/>
    </row>
    <row r="97" spans="1:12" x14ac:dyDescent="0.3">
      <c r="A97" s="148">
        <f>'Scenario calculation'!J559</f>
        <v>0.28482118803357226</v>
      </c>
      <c r="B97" s="47">
        <f>A97-'Summary Output'!$B$24</f>
        <v>0.1774793630179114</v>
      </c>
      <c r="C97"/>
      <c r="I97" s="101">
        <f>'Scenario calculation'!D559</f>
        <v>3.0530959816791188</v>
      </c>
      <c r="J97" s="149"/>
      <c r="K97" s="144"/>
      <c r="L97"/>
    </row>
    <row r="98" spans="1:12" x14ac:dyDescent="0.3">
      <c r="A98" s="148">
        <f>'Scenario calculation'!J560</f>
        <v>0.19094037648390949</v>
      </c>
      <c r="B98" s="47">
        <f>A98-'Summary Output'!$B$24</f>
        <v>8.3598551468248614E-2</v>
      </c>
      <c r="C98"/>
      <c r="I98" s="101">
        <f>'Scenario calculation'!D560</f>
        <v>2.1268789029090458</v>
      </c>
      <c r="J98" s="149"/>
      <c r="K98" s="144"/>
      <c r="L98"/>
    </row>
    <row r="99" spans="1:12" x14ac:dyDescent="0.3">
      <c r="A99" s="148">
        <f>'Scenario calculation'!J561</f>
        <v>0.26327854773459336</v>
      </c>
      <c r="B99" s="47">
        <f>A99-'Summary Output'!$B$24</f>
        <v>0.1559367227189325</v>
      </c>
      <c r="C99"/>
      <c r="I99" s="101">
        <f>'Scenario calculation'!D561</f>
        <v>2.3468869261225813</v>
      </c>
      <c r="J99" s="149"/>
      <c r="K99" s="144"/>
      <c r="L99"/>
    </row>
    <row r="100" spans="1:12" x14ac:dyDescent="0.3">
      <c r="A100" s="148">
        <f>'Scenario calculation'!J562</f>
        <v>0.17060727375829554</v>
      </c>
      <c r="B100" s="47">
        <f>A100-'Summary Output'!$B$24</f>
        <v>6.3265448742634664E-2</v>
      </c>
      <c r="C100"/>
      <c r="I100" s="101">
        <f>'Scenario calculation'!D562</f>
        <v>3.0587700295302764</v>
      </c>
      <c r="J100" s="149"/>
      <c r="K100" s="144"/>
      <c r="L100"/>
    </row>
    <row r="101" spans="1:12" x14ac:dyDescent="0.3">
      <c r="A101" s="148">
        <f>'Scenario calculation'!J563</f>
        <v>0.26308860350568208</v>
      </c>
      <c r="B101" s="47">
        <f>A101-'Summary Output'!$B$24</f>
        <v>0.15574677849002122</v>
      </c>
      <c r="C101"/>
      <c r="I101" s="101">
        <f>'Scenario calculation'!D563</f>
        <v>3.0226520446087002</v>
      </c>
      <c r="J101" s="149"/>
      <c r="K101" s="144"/>
      <c r="L101"/>
    </row>
    <row r="102" spans="1:12" x14ac:dyDescent="0.3">
      <c r="A102" s="148">
        <f>'Scenario calculation'!J564</f>
        <v>0.20593835208907918</v>
      </c>
      <c r="B102" s="47">
        <f>A102-'Summary Output'!$B$24</f>
        <v>9.8596527073418302E-2</v>
      </c>
      <c r="C102"/>
      <c r="I102" s="101">
        <f>'Scenario calculation'!D564</f>
        <v>2.8918355109145026</v>
      </c>
      <c r="J102" s="149"/>
      <c r="K102" s="144"/>
      <c r="L102"/>
    </row>
    <row r="103" spans="1:12" x14ac:dyDescent="0.3">
      <c r="A103" s="148">
        <f>'Scenario calculation'!J565</f>
        <v>6.1430027517016983E-2</v>
      </c>
      <c r="B103" s="47">
        <f>A103-'Summary Output'!$B$24</f>
        <v>-4.5911797498643894E-2</v>
      </c>
      <c r="C103"/>
      <c r="I103" s="101">
        <f>'Scenario calculation'!D565</f>
        <v>2.6701040385192236</v>
      </c>
      <c r="J103" s="149"/>
      <c r="K103" s="144"/>
      <c r="L103"/>
    </row>
    <row r="104" spans="1:12" x14ac:dyDescent="0.3">
      <c r="A104" s="148">
        <f>'Scenario calculation'!J566</f>
        <v>0.1447789351871851</v>
      </c>
      <c r="B104" s="47">
        <f>A104-'Summary Output'!$B$24</f>
        <v>3.7437110171524221E-2</v>
      </c>
      <c r="C104"/>
      <c r="I104" s="101">
        <f>'Scenario calculation'!D566</f>
        <v>2.7491538455734283</v>
      </c>
      <c r="J104" s="149"/>
      <c r="K104" s="144"/>
      <c r="L104"/>
    </row>
    <row r="105" spans="1:12" x14ac:dyDescent="0.3">
      <c r="A105" s="148">
        <f>'Scenario calculation'!J567</f>
        <v>0.24663476194038991</v>
      </c>
      <c r="B105" s="47">
        <f>A105-'Summary Output'!$B$24</f>
        <v>0.13929293692472905</v>
      </c>
      <c r="C105"/>
      <c r="I105" s="101">
        <f>'Scenario calculation'!D567</f>
        <v>2.2697502959379343</v>
      </c>
      <c r="J105" s="149"/>
      <c r="K105" s="144"/>
      <c r="L105"/>
    </row>
    <row r="106" spans="1:12" x14ac:dyDescent="0.3">
      <c r="A106" s="148">
        <f>'Scenario calculation'!J568</f>
        <v>0.28594521637332071</v>
      </c>
      <c r="B106" s="47">
        <f>A106-'Summary Output'!$B$24</f>
        <v>0.17860339135765985</v>
      </c>
      <c r="C106"/>
      <c r="I106" s="101">
        <f>'Scenario calculation'!D568</f>
        <v>2.2363292075082999</v>
      </c>
      <c r="J106" s="149"/>
      <c r="K106" s="144"/>
      <c r="L106"/>
    </row>
    <row r="107" spans="1:12" x14ac:dyDescent="0.3">
      <c r="A107" s="148">
        <f>'Scenario calculation'!J569</f>
        <v>0.32881171507577789</v>
      </c>
      <c r="B107" s="47">
        <f>A107-'Summary Output'!$B$24</f>
        <v>0.22146989006011703</v>
      </c>
      <c r="C107"/>
      <c r="I107" s="101">
        <f>'Scenario calculation'!D569</f>
        <v>2.0385732055100432</v>
      </c>
      <c r="J107" s="149"/>
      <c r="K107" s="144"/>
      <c r="L107"/>
    </row>
    <row r="108" spans="1:12" x14ac:dyDescent="0.3">
      <c r="A108" s="148">
        <f>'Scenario calculation'!J570</f>
        <v>0.20946535409930989</v>
      </c>
      <c r="B108" s="47">
        <f>A108-'Summary Output'!$B$24</f>
        <v>0.10212352908364901</v>
      </c>
      <c r="C108"/>
      <c r="I108" s="101">
        <f>'Scenario calculation'!D570</f>
        <v>2.0994391399857077</v>
      </c>
      <c r="J108" s="149"/>
      <c r="K108" s="144"/>
      <c r="L108"/>
    </row>
    <row r="109" spans="1:12" x14ac:dyDescent="0.3">
      <c r="A109" s="148">
        <f>'Scenario calculation'!J571</f>
        <v>0.240983131202269</v>
      </c>
      <c r="B109" s="47">
        <f>A109-'Summary Output'!$B$24</f>
        <v>0.13364130618660813</v>
      </c>
      <c r="C109"/>
      <c r="I109" s="101">
        <f>'Scenario calculation'!D571</f>
        <v>2.8771143271397213</v>
      </c>
      <c r="J109" s="149"/>
      <c r="K109" s="144"/>
      <c r="L109"/>
    </row>
    <row r="110" spans="1:12" x14ac:dyDescent="0.3">
      <c r="A110" s="148">
        <f>'Scenario calculation'!J572</f>
        <v>0.26500322650980479</v>
      </c>
      <c r="B110" s="47">
        <f>A110-'Summary Output'!$B$24</f>
        <v>0.15766140149414393</v>
      </c>
      <c r="C110"/>
      <c r="I110" s="101">
        <f>'Scenario calculation'!D572</f>
        <v>3.2014986236797056</v>
      </c>
      <c r="J110" s="149"/>
      <c r="K110" s="144"/>
      <c r="L110"/>
    </row>
    <row r="111" spans="1:12" x14ac:dyDescent="0.3">
      <c r="A111" s="148">
        <f>'Scenario calculation'!J573</f>
        <v>0.14426118826503376</v>
      </c>
      <c r="B111" s="47">
        <f>A111-'Summary Output'!$B$24</f>
        <v>3.691936324937288E-2</v>
      </c>
      <c r="C111"/>
      <c r="I111" s="101">
        <f>'Scenario calculation'!D573</f>
        <v>3.4988870445937374</v>
      </c>
      <c r="J111" s="149"/>
      <c r="K111" s="144"/>
      <c r="L111"/>
    </row>
    <row r="112" spans="1:12" x14ac:dyDescent="0.3">
      <c r="A112" s="148">
        <f>'Scenario calculation'!J574</f>
        <v>0.14662958817697991</v>
      </c>
      <c r="B112" s="47">
        <f>A112-'Summary Output'!$B$24</f>
        <v>3.9287763161319031E-2</v>
      </c>
      <c r="C112"/>
      <c r="I112" s="101">
        <f>'Scenario calculation'!D574</f>
        <v>3.044022710172964</v>
      </c>
      <c r="J112" s="149"/>
      <c r="K112" s="144"/>
      <c r="L112"/>
    </row>
    <row r="113" spans="1:12" x14ac:dyDescent="0.3">
      <c r="A113" s="148">
        <f>'Scenario calculation'!J575</f>
        <v>0.22368705884570472</v>
      </c>
      <c r="B113" s="47">
        <f>A113-'Summary Output'!$B$24</f>
        <v>0.11634523383004385</v>
      </c>
      <c r="C113"/>
      <c r="I113" s="101">
        <f>'Scenario calculation'!D575</f>
        <v>2.8872683317271006</v>
      </c>
      <c r="J113" s="149"/>
      <c r="K113" s="144"/>
      <c r="L113"/>
    </row>
    <row r="114" spans="1:12" x14ac:dyDescent="0.3">
      <c r="A114" s="148">
        <f>'Scenario calculation'!J576</f>
        <v>0.36683987466284851</v>
      </c>
      <c r="B114" s="47">
        <f>A114-'Summary Output'!$B$24</f>
        <v>0.25949804964718765</v>
      </c>
      <c r="C114"/>
      <c r="I114" s="101">
        <f>'Scenario calculation'!D576</f>
        <v>2.7946103355793364</v>
      </c>
      <c r="J114" s="149"/>
      <c r="K114" s="144"/>
      <c r="L114"/>
    </row>
    <row r="115" spans="1:12" x14ac:dyDescent="0.3">
      <c r="A115" s="148">
        <f>'Scenario calculation'!J577</f>
        <v>0.26685287070957542</v>
      </c>
      <c r="B115" s="47">
        <f>A115-'Summary Output'!$B$24</f>
        <v>0.15951104569391455</v>
      </c>
      <c r="C115"/>
      <c r="I115" s="101">
        <f>'Scenario calculation'!D577</f>
        <v>2.4011583260137179</v>
      </c>
      <c r="J115" s="149"/>
      <c r="K115" s="144"/>
      <c r="L115"/>
    </row>
    <row r="116" spans="1:12" x14ac:dyDescent="0.3">
      <c r="B116" s="144"/>
      <c r="C116"/>
      <c r="K116" s="8"/>
      <c r="L116"/>
    </row>
    <row r="117" spans="1:12" x14ac:dyDescent="0.3">
      <c r="B117" s="144"/>
      <c r="C117"/>
      <c r="K117" s="8"/>
      <c r="L117"/>
    </row>
    <row r="118" spans="1:12" x14ac:dyDescent="0.3">
      <c r="B118" s="144"/>
      <c r="C118"/>
      <c r="K118" s="8"/>
      <c r="L118"/>
    </row>
    <row r="119" spans="1:12" x14ac:dyDescent="0.3">
      <c r="B119" s="144"/>
      <c r="C119"/>
      <c r="K119" s="8"/>
      <c r="L119"/>
    </row>
    <row r="120" spans="1:12" x14ac:dyDescent="0.3">
      <c r="B120" s="144"/>
      <c r="C120"/>
      <c r="K120" s="8"/>
      <c r="L120"/>
    </row>
    <row r="121" spans="1:12" x14ac:dyDescent="0.3">
      <c r="B121" s="144"/>
      <c r="C121"/>
      <c r="K121" s="8"/>
      <c r="L121"/>
    </row>
    <row r="122" spans="1:12" x14ac:dyDescent="0.3">
      <c r="B122" s="144"/>
      <c r="C122"/>
      <c r="K122" s="8"/>
      <c r="L122"/>
    </row>
    <row r="123" spans="1:12" x14ac:dyDescent="0.3">
      <c r="B123" s="144"/>
      <c r="C123"/>
      <c r="K123" s="8"/>
      <c r="L123"/>
    </row>
    <row r="124" spans="1:12" x14ac:dyDescent="0.3">
      <c r="B124" s="144"/>
      <c r="C124"/>
      <c r="K124" s="8"/>
      <c r="L124"/>
    </row>
    <row r="125" spans="1:12" x14ac:dyDescent="0.3">
      <c r="B125" s="144"/>
      <c r="C125"/>
      <c r="K125" s="8"/>
      <c r="L125"/>
    </row>
    <row r="126" spans="1:12" x14ac:dyDescent="0.3">
      <c r="B126" s="144"/>
      <c r="C126"/>
      <c r="K126" s="8"/>
      <c r="L126"/>
    </row>
    <row r="127" spans="1:12" x14ac:dyDescent="0.3">
      <c r="B127" s="144"/>
      <c r="C127"/>
      <c r="K127" s="8"/>
      <c r="L127"/>
    </row>
    <row r="128" spans="1:12" x14ac:dyDescent="0.3">
      <c r="B128" s="144"/>
      <c r="C128"/>
      <c r="K128" s="8"/>
      <c r="L128"/>
    </row>
    <row r="129" spans="2:12" x14ac:dyDescent="0.3">
      <c r="B129" s="144"/>
      <c r="C129"/>
      <c r="K129" s="8"/>
      <c r="L129"/>
    </row>
    <row r="130" spans="2:12" x14ac:dyDescent="0.3">
      <c r="B130" s="144"/>
      <c r="C130"/>
      <c r="K130" s="8"/>
      <c r="L130"/>
    </row>
    <row r="131" spans="2:12" x14ac:dyDescent="0.3">
      <c r="B131" s="144"/>
      <c r="C131"/>
      <c r="K131" s="8"/>
      <c r="L131"/>
    </row>
    <row r="132" spans="2:12" x14ac:dyDescent="0.3">
      <c r="B132" s="144"/>
      <c r="C132"/>
      <c r="K132" s="8"/>
      <c r="L132"/>
    </row>
    <row r="133" spans="2:12" x14ac:dyDescent="0.3">
      <c r="B133" s="144"/>
      <c r="C133"/>
      <c r="K133" s="8"/>
      <c r="L133"/>
    </row>
    <row r="134" spans="2:12" x14ac:dyDescent="0.3">
      <c r="B134" s="144"/>
      <c r="C134"/>
      <c r="K134" s="8"/>
      <c r="L134"/>
    </row>
    <row r="135" spans="2:12" x14ac:dyDescent="0.3">
      <c r="B135" s="144"/>
      <c r="C135"/>
      <c r="K135" s="8"/>
      <c r="L135"/>
    </row>
    <row r="136" spans="2:12" x14ac:dyDescent="0.3">
      <c r="B136" s="144"/>
      <c r="C136"/>
      <c r="K136" s="8"/>
      <c r="L136"/>
    </row>
    <row r="137" spans="2:12" x14ac:dyDescent="0.3">
      <c r="B137" s="144"/>
      <c r="C137"/>
      <c r="K137" s="8"/>
      <c r="L137"/>
    </row>
    <row r="138" spans="2:12" x14ac:dyDescent="0.3">
      <c r="B138" s="144"/>
      <c r="C138"/>
      <c r="K138" s="8"/>
      <c r="L138"/>
    </row>
    <row r="139" spans="2:12" x14ac:dyDescent="0.3">
      <c r="B139" s="144"/>
      <c r="C139"/>
      <c r="K139" s="8"/>
      <c r="L139"/>
    </row>
    <row r="140" spans="2:12" x14ac:dyDescent="0.3">
      <c r="B140" s="144"/>
      <c r="C140"/>
      <c r="K140" s="8"/>
      <c r="L140"/>
    </row>
    <row r="141" spans="2:12" x14ac:dyDescent="0.3">
      <c r="B141" s="144"/>
      <c r="C141"/>
      <c r="K141" s="8"/>
      <c r="L141"/>
    </row>
    <row r="142" spans="2:12" x14ac:dyDescent="0.3">
      <c r="B142" s="144"/>
      <c r="C142"/>
      <c r="K142" s="8"/>
      <c r="L142"/>
    </row>
    <row r="143" spans="2:12" x14ac:dyDescent="0.3">
      <c r="B143" s="144"/>
      <c r="C143"/>
      <c r="K143" s="8"/>
      <c r="L143"/>
    </row>
    <row r="144" spans="2:12" x14ac:dyDescent="0.3">
      <c r="B144" s="144"/>
      <c r="C144"/>
      <c r="K144" s="8"/>
      <c r="L144"/>
    </row>
    <row r="145" spans="2:12" x14ac:dyDescent="0.3">
      <c r="B145" s="144"/>
      <c r="C145"/>
      <c r="K145" s="8"/>
      <c r="L145"/>
    </row>
    <row r="146" spans="2:12" x14ac:dyDescent="0.3">
      <c r="B146" s="144"/>
      <c r="C146"/>
      <c r="K146" s="8"/>
      <c r="L146"/>
    </row>
    <row r="147" spans="2:12" x14ac:dyDescent="0.3">
      <c r="B147" s="144"/>
      <c r="C147"/>
      <c r="K147" s="8"/>
      <c r="L147"/>
    </row>
    <row r="148" spans="2:12" x14ac:dyDescent="0.3">
      <c r="B148" s="144"/>
      <c r="C148"/>
      <c r="K148" s="8"/>
      <c r="L148"/>
    </row>
    <row r="149" spans="2:12" x14ac:dyDescent="0.3">
      <c r="B149" s="144"/>
      <c r="C149"/>
      <c r="K149" s="8"/>
      <c r="L149"/>
    </row>
    <row r="150" spans="2:12" x14ac:dyDescent="0.3">
      <c r="B150" s="144"/>
      <c r="C150"/>
      <c r="K150" s="8"/>
      <c r="L150"/>
    </row>
  </sheetData>
  <mergeCells count="11">
    <mergeCell ref="I5:K5"/>
    <mergeCell ref="L5:P5"/>
    <mergeCell ref="A5:A11"/>
    <mergeCell ref="B4:G4"/>
    <mergeCell ref="B5:G5"/>
    <mergeCell ref="I6:K6"/>
    <mergeCell ref="L9:P9"/>
    <mergeCell ref="I9:K9"/>
    <mergeCell ref="L7:P8"/>
    <mergeCell ref="L6:P6"/>
    <mergeCell ref="I7:K8"/>
  </mergeCells>
  <conditionalFormatting sqref="C7:G11">
    <cfRule type="cellIs" dxfId="0" priority="1" operator="lessThan">
      <formula>0.1073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2" sqref="A2"/>
    </sheetView>
  </sheetViews>
  <sheetFormatPr defaultRowHeight="14.4" x14ac:dyDescent="0.3"/>
  <cols>
    <col min="1" max="1" width="36" bestFit="1" customWidth="1"/>
    <col min="2" max="2" width="9.44140625" customWidth="1"/>
    <col min="3" max="3" width="9.33203125" customWidth="1"/>
    <col min="4" max="14" width="11.6640625" customWidth="1"/>
  </cols>
  <sheetData>
    <row r="1" spans="1:14" s="6" customFormat="1" ht="18" x14ac:dyDescent="0.35">
      <c r="A1" s="6" t="s">
        <v>431</v>
      </c>
      <c r="D1" s="92"/>
    </row>
    <row r="2" spans="1:14" x14ac:dyDescent="0.3">
      <c r="A2" t="s">
        <v>3</v>
      </c>
      <c r="D2" s="93"/>
    </row>
    <row r="3" spans="1:14" x14ac:dyDescent="0.3">
      <c r="A3" s="183" t="s">
        <v>36</v>
      </c>
      <c r="B3" s="48"/>
      <c r="C3" s="48"/>
      <c r="D3" s="184" t="s">
        <v>15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4" x14ac:dyDescent="0.3">
      <c r="A4" s="183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4" x14ac:dyDescent="0.3">
      <c r="A5" s="16" t="s">
        <v>245</v>
      </c>
      <c r="B5" s="99"/>
      <c r="D5" s="100">
        <f>'Imp Fin Parameters'!D10</f>
        <v>0.17499999999999999</v>
      </c>
      <c r="E5" s="100">
        <f>'Imp Fin Parameters'!E10</f>
        <v>0.17499999999999999</v>
      </c>
      <c r="F5" s="100">
        <f>'Imp Fin Parameters'!F10</f>
        <v>0.17499999999999999</v>
      </c>
      <c r="G5" s="100">
        <f>'Imp Fin Parameters'!G10</f>
        <v>0.17499999999999999</v>
      </c>
      <c r="H5" s="100">
        <f>'Imp Fin Parameters'!H10</f>
        <v>0.17499999999999999</v>
      </c>
      <c r="I5" s="100">
        <f>'Imp Fin Parameters'!I10</f>
        <v>0.17499999999999999</v>
      </c>
      <c r="J5" s="100">
        <f>'Imp Fin Parameters'!J10</f>
        <v>0.17499999999999999</v>
      </c>
      <c r="K5" s="100">
        <f>'Imp Fin Parameters'!K10</f>
        <v>0.17499999999999999</v>
      </c>
      <c r="L5" s="100">
        <f>'Imp Fin Parameters'!L10</f>
        <v>0.17499999999999999</v>
      </c>
      <c r="M5" s="100">
        <f>'Imp Fin Parameters'!M10</f>
        <v>0.17499999999999999</v>
      </c>
      <c r="N5" s="100">
        <f>'Imp Fin Parameters'!N10</f>
        <v>0.17499999999999999</v>
      </c>
    </row>
    <row r="6" spans="1:14" x14ac:dyDescent="0.3">
      <c r="A6" s="16" t="s">
        <v>246</v>
      </c>
      <c r="B6" s="99"/>
      <c r="D6" s="90">
        <f>'Imp Fin Parameters'!D7</f>
        <v>1.9411764705882353</v>
      </c>
      <c r="E6" s="90">
        <f>'Imp Fin Parameters'!E7</f>
        <v>1.6683307797277009</v>
      </c>
      <c r="F6" s="90">
        <f>'Imp Fin Parameters'!F7</f>
        <v>1.2949720052451239</v>
      </c>
      <c r="G6" s="90">
        <f>'Imp Fin Parameters'!G7</f>
        <v>0.92530808879510318</v>
      </c>
      <c r="H6" s="90">
        <f>'Imp Fin Parameters'!H7</f>
        <v>0.67329003839185175</v>
      </c>
      <c r="I6" s="90">
        <f>'Imp Fin Parameters'!I7</f>
        <v>0.48897696233001609</v>
      </c>
      <c r="J6" s="90">
        <f>'Imp Fin Parameters'!J7</f>
        <v>0.35492523693557176</v>
      </c>
      <c r="K6" s="90">
        <f>'Imp Fin Parameters'!K7</f>
        <v>0.25839169346368768</v>
      </c>
      <c r="L6" s="90">
        <f>'Imp Fin Parameters'!L7</f>
        <v>0.18563924973004722</v>
      </c>
      <c r="M6" s="90">
        <f>'Imp Fin Parameters'!M7</f>
        <v>0.12893108634440234</v>
      </c>
      <c r="N6" s="90">
        <f>'Imp Fin Parameters'!N7</f>
        <v>8.3567101200545293E-2</v>
      </c>
    </row>
    <row r="7" spans="1:14" x14ac:dyDescent="0.3">
      <c r="A7" s="16" t="s">
        <v>247</v>
      </c>
      <c r="B7" s="99"/>
      <c r="D7" s="90" t="str">
        <f>'Imp Fin Parameters'!D8</f>
        <v/>
      </c>
      <c r="E7" s="90">
        <f>'Imp Fin Parameters'!E8</f>
        <v>2.9856413602697094</v>
      </c>
      <c r="F7" s="90">
        <f>'Imp Fin Parameters'!F8</f>
        <v>3.9443257615429688</v>
      </c>
      <c r="G7" s="90">
        <f>'Imp Fin Parameters'!G8</f>
        <v>4.4101495473357906</v>
      </c>
      <c r="H7" s="90">
        <f>'Imp Fin Parameters'!H8</f>
        <v>4.9160502798741224</v>
      </c>
      <c r="I7" s="90">
        <f>'Imp Fin Parameters'!I8</f>
        <v>5.8640557978190868</v>
      </c>
      <c r="J7" s="90">
        <f>'Imp Fin Parameters'!J8</f>
        <v>6.9252567181352473</v>
      </c>
      <c r="K7" s="90">
        <f>'Imp Fin Parameters'!K8</f>
        <v>7.9454397176659475</v>
      </c>
      <c r="L7" s="90">
        <f>'Imp Fin Parameters'!L8</f>
        <v>8.9843837018779062</v>
      </c>
      <c r="M7" s="90">
        <f>'Imp Fin Parameters'!M8</f>
        <v>10.042691769762699</v>
      </c>
      <c r="N7" s="90">
        <f>'Imp Fin Parameters'!N8</f>
        <v>11.120466722504062</v>
      </c>
    </row>
    <row r="8" spans="1:14" x14ac:dyDescent="0.3">
      <c r="A8" s="16" t="s">
        <v>248</v>
      </c>
      <c r="B8" s="99"/>
      <c r="D8" s="100">
        <f>'Imp Fin Parameters'!D9</f>
        <v>0.244419004006869</v>
      </c>
      <c r="E8" s="100">
        <f>'Imp Fin Parameters'!E9</f>
        <v>0.18424162466438038</v>
      </c>
      <c r="F8" s="100">
        <f>'Imp Fin Parameters'!F9</f>
        <v>0.11364923769805593</v>
      </c>
      <c r="G8" s="100">
        <f>'Imp Fin Parameters'!G9</f>
        <v>0.16507398203542836</v>
      </c>
      <c r="H8" s="100">
        <f>'Imp Fin Parameters'!H9</f>
        <v>0.22379563464233018</v>
      </c>
      <c r="I8" s="100">
        <f>'Imp Fin Parameters'!I9</f>
        <v>0.29214686279489599</v>
      </c>
      <c r="J8" s="100">
        <f>'Imp Fin Parameters'!J9</f>
        <v>0.37353599633689416</v>
      </c>
      <c r="K8" s="100">
        <f>'Imp Fin Parameters'!K9</f>
        <v>0.48572678856430923</v>
      </c>
      <c r="L8" s="100">
        <f>'Imp Fin Parameters'!L9</f>
        <v>0.61958321075459011</v>
      </c>
      <c r="M8" s="100">
        <f>'Imp Fin Parameters'!M9</f>
        <v>0.78525992919043774</v>
      </c>
      <c r="N8" s="100">
        <f>'Imp Fin Parameters'!N9</f>
        <v>1</v>
      </c>
    </row>
    <row r="9" spans="1:14" x14ac:dyDescent="0.3">
      <c r="A9" s="16" t="s">
        <v>250</v>
      </c>
      <c r="B9" s="99"/>
      <c r="D9" s="90" t="str">
        <f>'Imp Fin Parameters'!D50</f>
        <v/>
      </c>
      <c r="E9" s="90">
        <f>'Imp Fin Parameters'!E50</f>
        <v>3.0718422116084421</v>
      </c>
      <c r="F9" s="90">
        <f>'Imp Fin Parameters'!F50</f>
        <v>3.5273491855974983</v>
      </c>
      <c r="G9" s="90">
        <f>'Imp Fin Parameters'!G50</f>
        <v>2.2197072977173349</v>
      </c>
      <c r="H9" s="90">
        <f>'Imp Fin Parameters'!H50</f>
        <v>2.5868856780294709</v>
      </c>
      <c r="I9" s="90">
        <f>'Imp Fin Parameters'!I50</f>
        <v>2.7610838024329185</v>
      </c>
      <c r="J9" s="90">
        <f>'Imp Fin Parameters'!J50</f>
        <v>3.0499213181551372</v>
      </c>
      <c r="K9" s="90">
        <f>'Imp Fin Parameters'!K50</f>
        <v>3.2359018371721677</v>
      </c>
      <c r="L9" s="90">
        <f>'Imp Fin Parameters'!L50</f>
        <v>3.4552025908845372</v>
      </c>
      <c r="M9" s="90">
        <f>'Imp Fin Parameters'!M50</f>
        <v>3.7158487647815508</v>
      </c>
      <c r="N9" s="90">
        <f>'Imp Fin Parameters'!N50</f>
        <v>4.0293649114355894</v>
      </c>
    </row>
    <row r="10" spans="1:14" x14ac:dyDescent="0.3">
      <c r="A10" s="16"/>
      <c r="B10" s="99"/>
      <c r="D10" s="90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3">
      <c r="A11" s="16" t="s">
        <v>249</v>
      </c>
      <c r="B11" s="99"/>
      <c r="D11" s="90">
        <f>'Imp Fin Parameters'!D42</f>
        <v>0</v>
      </c>
      <c r="E11" s="90">
        <f>'Imp Fin Parameters'!E42</f>
        <v>34.830324641382845</v>
      </c>
      <c r="F11" s="90">
        <f>'Imp Fin Parameters'!F42</f>
        <v>30.873099958140131</v>
      </c>
      <c r="G11" s="90">
        <f>'Imp Fin Parameters'!G42</f>
        <v>30.943524851958763</v>
      </c>
      <c r="H11" s="90">
        <f>'Imp Fin Parameters'!H42</f>
        <v>30.941723631270314</v>
      </c>
      <c r="I11" s="90">
        <f>'Imp Fin Parameters'!I42</f>
        <v>29.06772002537263</v>
      </c>
      <c r="J11" s="90">
        <f>'Imp Fin Parameters'!J42</f>
        <v>26.824454736390742</v>
      </c>
      <c r="K11" s="90">
        <f>'Imp Fin Parameters'!K42</f>
        <v>26.049026297600619</v>
      </c>
      <c r="L11" s="90">
        <f>'Imp Fin Parameters'!L42</f>
        <v>25.298720326049057</v>
      </c>
      <c r="M11" s="90">
        <f>'Imp Fin Parameters'!M42</f>
        <v>24.575917849115879</v>
      </c>
      <c r="N11" s="90">
        <f>'Imp Fin Parameters'!N42</f>
        <v>23.883246440234128</v>
      </c>
    </row>
    <row r="12" spans="1:14" x14ac:dyDescent="0.3">
      <c r="A12" s="16" t="s">
        <v>251</v>
      </c>
      <c r="B12" s="90">
        <f>H11</f>
        <v>30.941723631270314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3">
      <c r="A13" s="16" t="s">
        <v>415</v>
      </c>
      <c r="B13" s="90"/>
      <c r="E13" s="107">
        <f>ROUND('Imp Fin Parameters'!E43,0)</f>
        <v>254261</v>
      </c>
      <c r="F13" s="107">
        <f>ROUND('Imp Fin Parameters'!F43,0)</f>
        <v>225374</v>
      </c>
      <c r="G13" s="107">
        <f>ROUND('Imp Fin Parameters'!G43,0)</f>
        <v>225888</v>
      </c>
      <c r="H13" s="107">
        <f>ROUND('Imp Fin Parameters'!H43,0)</f>
        <v>225875</v>
      </c>
      <c r="I13" s="107">
        <f>ROUND('Imp Fin Parameters'!I43,0)</f>
        <v>212194</v>
      </c>
      <c r="J13" s="107">
        <f>ROUND('Imp Fin Parameters'!J43,0)</f>
        <v>195819</v>
      </c>
      <c r="K13" s="107">
        <f>ROUND('Imp Fin Parameters'!K43,0)</f>
        <v>190158</v>
      </c>
      <c r="L13" s="107">
        <f>ROUND('Imp Fin Parameters'!L43,0)</f>
        <v>184681</v>
      </c>
      <c r="M13" s="107">
        <f>ROUND('Imp Fin Parameters'!M43,0)</f>
        <v>179404</v>
      </c>
      <c r="N13" s="107">
        <f>ROUND('Imp Fin Parameters'!N43,0)</f>
        <v>174348</v>
      </c>
    </row>
    <row r="14" spans="1:14" x14ac:dyDescent="0.3">
      <c r="A14" s="16" t="s">
        <v>414</v>
      </c>
      <c r="B14" s="90"/>
      <c r="E14" s="15">
        <f>('Imp Fin Parameters'!E39/('Annual Sales'!E9-'Imp Fin Parameters'!E26))*'Annual Sales'!E9</f>
        <v>127.13068494104739</v>
      </c>
      <c r="F14" s="15">
        <f>('Imp Fin Parameters'!F39/('Annual Sales'!F9-'Imp Fin Parameters'!F26))*'Annual Sales'!F9</f>
        <v>112.68681484721149</v>
      </c>
      <c r="G14" s="15">
        <f>('Imp Fin Parameters'!G39/('Annual Sales'!G9-'Imp Fin Parameters'!G26))*'Annual Sales'!G9</f>
        <v>112.94386570964949</v>
      </c>
      <c r="H14" s="15">
        <f>('Imp Fin Parameters'!H39/('Annual Sales'!H9-'Imp Fin Parameters'!H26))*'Annual Sales'!H9</f>
        <v>112.93729125413664</v>
      </c>
      <c r="I14" s="15">
        <f>('Imp Fin Parameters'!I39/('Annual Sales'!I9-'Imp Fin Parameters'!I26))*'Annual Sales'!I9</f>
        <v>106.09717809261009</v>
      </c>
      <c r="J14" s="15">
        <f>('Imp Fin Parameters'!J39/('Annual Sales'!J9-'Imp Fin Parameters'!J26))*'Annual Sales'!J9</f>
        <v>97.909259787826187</v>
      </c>
      <c r="K14" s="15">
        <f>('Imp Fin Parameters'!K39/('Annual Sales'!K9-'Imp Fin Parameters'!K26))*'Annual Sales'!K9</f>
        <v>95.07894598624226</v>
      </c>
      <c r="L14" s="15">
        <f>('Imp Fin Parameters'!L39/('Annual Sales'!L9-'Imp Fin Parameters'!L26))*'Annual Sales'!L9</f>
        <v>92.340329190079046</v>
      </c>
      <c r="M14" s="15">
        <f>('Imp Fin Parameters'!M39/('Annual Sales'!M9-'Imp Fin Parameters'!M26))*'Annual Sales'!M9</f>
        <v>89.702100149272951</v>
      </c>
      <c r="N14" s="15">
        <f>('Imp Fin Parameters'!N39/('Annual Sales'!N9-'Imp Fin Parameters'!N26))*'Annual Sales'!N9</f>
        <v>87.173849506854566</v>
      </c>
    </row>
    <row r="15" spans="1:14" x14ac:dyDescent="0.3">
      <c r="A15" s="16"/>
      <c r="B15" s="90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3">
      <c r="A16" s="16" t="s">
        <v>252</v>
      </c>
      <c r="B16" s="90">
        <f>AVERAGE(D9:N9)</f>
        <v>3.1653107597814647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3">
      <c r="A17" s="16" t="s">
        <v>29</v>
      </c>
      <c r="B17" s="100">
        <f>IRR('Imp Fin Parameters'!D71:N71,0.2)</f>
        <v>0.33567199908269885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9" spans="1:14" x14ac:dyDescent="0.3">
      <c r="A19" s="16" t="s">
        <v>274</v>
      </c>
    </row>
    <row r="20" spans="1:14" x14ac:dyDescent="0.3">
      <c r="A20" s="16" t="s">
        <v>45</v>
      </c>
      <c r="B20" s="118" t="s">
        <v>109</v>
      </c>
      <c r="C20" s="118" t="s">
        <v>275</v>
      </c>
    </row>
    <row r="21" spans="1:14" x14ac:dyDescent="0.3">
      <c r="A21" s="5" t="s">
        <v>276</v>
      </c>
      <c r="B21" s="119">
        <f>Assumptions!B20</f>
        <v>132</v>
      </c>
      <c r="C21" s="117">
        <f>0.13*(1-0.25)</f>
        <v>9.7500000000000003E-2</v>
      </c>
    </row>
    <row r="22" spans="1:14" x14ac:dyDescent="0.3">
      <c r="A22" s="5" t="s">
        <v>277</v>
      </c>
      <c r="B22" s="119">
        <f>SUM(Assumptions!G41:P41)</f>
        <v>280.39999999999998</v>
      </c>
      <c r="C22" s="117">
        <f>0.12*(1-0.25)</f>
        <v>0.09</v>
      </c>
    </row>
    <row r="23" spans="1:14" x14ac:dyDescent="0.3">
      <c r="A23" s="5" t="s">
        <v>0</v>
      </c>
      <c r="B23" s="119">
        <f>Assumptions!B17</f>
        <v>66.5</v>
      </c>
      <c r="C23" s="117">
        <v>0.2</v>
      </c>
    </row>
    <row r="24" spans="1:14" x14ac:dyDescent="0.3">
      <c r="A24" s="72" t="s">
        <v>274</v>
      </c>
      <c r="B24" s="160">
        <f>SUMPRODUCT(B21:B23,C21:C23)/SUM(B21:B23)</f>
        <v>0.10734182501566088</v>
      </c>
      <c r="C24" s="142"/>
    </row>
    <row r="26" spans="1:14" x14ac:dyDescent="0.3">
      <c r="A26" s="1" t="str">
        <f>'Imp Fin Parameters'!A75</f>
        <v>Discounted pay back period</v>
      </c>
      <c r="B26" s="16"/>
      <c r="C26" s="16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</row>
    <row r="27" spans="1:14" x14ac:dyDescent="0.3">
      <c r="A27" s="5" t="str">
        <f>'Imp Fin Parameters'!A76</f>
        <v>Discounted cash flows</v>
      </c>
      <c r="B27" s="5"/>
      <c r="C27" s="5"/>
      <c r="D27" s="159">
        <f>'Imp Fin Parameters'!D76</f>
        <v>186.50000000000003</v>
      </c>
      <c r="E27" s="159">
        <f>'Imp Fin Parameters'!E76</f>
        <v>25.739637155037375</v>
      </c>
      <c r="F27" s="159">
        <f>'Imp Fin Parameters'!F76</f>
        <v>47.647703276870132</v>
      </c>
      <c r="G27" s="159">
        <f>'Imp Fin Parameters'!G76</f>
        <v>53.332577036108795</v>
      </c>
      <c r="H27" s="159">
        <f>'Imp Fin Parameters'!H76</f>
        <v>57.28192031762017</v>
      </c>
      <c r="I27" s="159">
        <f>'Imp Fin Parameters'!I76</f>
        <v>54.756290415005473</v>
      </c>
      <c r="J27" s="159">
        <f>'Imp Fin Parameters'!J76</f>
        <v>52.189472100380065</v>
      </c>
      <c r="K27" s="159">
        <f>'Imp Fin Parameters'!K76</f>
        <v>45.396996791598468</v>
      </c>
      <c r="L27" s="159">
        <f>'Imp Fin Parameters'!L76</f>
        <v>40.51256272464186</v>
      </c>
      <c r="M27" s="159">
        <f>'Imp Fin Parameters'!M76</f>
        <v>36.124672933486487</v>
      </c>
      <c r="N27" s="159">
        <f>'Imp Fin Parameters'!N76</f>
        <v>56.198404174061054</v>
      </c>
    </row>
    <row r="28" spans="1:14" x14ac:dyDescent="0.3">
      <c r="A28" s="5" t="str">
        <f>'Imp Fin Parameters'!A77</f>
        <v>Cumulative DCF</v>
      </c>
      <c r="B28" s="5"/>
      <c r="C28" s="5"/>
      <c r="D28" s="159">
        <f>'Imp Fin Parameters'!D77</f>
        <v>0</v>
      </c>
      <c r="E28" s="159">
        <f>'Imp Fin Parameters'!E77</f>
        <v>25.739637155037375</v>
      </c>
      <c r="F28" s="159">
        <f>'Imp Fin Parameters'!F77</f>
        <v>73.387340431907504</v>
      </c>
      <c r="G28" s="159">
        <f>'Imp Fin Parameters'!G77</f>
        <v>126.71991746801629</v>
      </c>
      <c r="H28" s="159">
        <f>'Imp Fin Parameters'!H77</f>
        <v>184.00183778563647</v>
      </c>
      <c r="I28" s="159">
        <f>'Imp Fin Parameters'!I77</f>
        <v>238.75812820064195</v>
      </c>
      <c r="J28" s="159">
        <f>'Imp Fin Parameters'!J77</f>
        <v>290.94760030102202</v>
      </c>
      <c r="K28" s="159">
        <f>'Imp Fin Parameters'!K77</f>
        <v>336.34459709262046</v>
      </c>
      <c r="L28" s="159">
        <f>'Imp Fin Parameters'!L77</f>
        <v>376.8571598172623</v>
      </c>
      <c r="M28" s="159">
        <f>'Imp Fin Parameters'!M77</f>
        <v>412.98183275074877</v>
      </c>
      <c r="N28" s="159">
        <f>'Imp Fin Parameters'!N77</f>
        <v>469.18023692480983</v>
      </c>
    </row>
    <row r="29" spans="1:14" x14ac:dyDescent="0.3">
      <c r="A29" s="5" t="str">
        <f>'Imp Fin Parameters'!A78</f>
        <v>Pay back period</v>
      </c>
      <c r="B29" s="157">
        <f>G4+(((D27-G28)*1)/H28)</f>
        <v>3.3248885079160351</v>
      </c>
      <c r="C29" s="5"/>
      <c r="D29" s="159">
        <f>'Imp Fin Parameters'!D78</f>
        <v>0</v>
      </c>
      <c r="E29" s="159">
        <f>'Imp Fin Parameters'!E78</f>
        <v>0</v>
      </c>
      <c r="F29" s="159">
        <f>'Imp Fin Parameters'!F78</f>
        <v>0</v>
      </c>
      <c r="G29" s="159">
        <f>'Imp Fin Parameters'!G78</f>
        <v>0</v>
      </c>
      <c r="H29" s="159">
        <f>'Imp Fin Parameters'!H78</f>
        <v>0</v>
      </c>
      <c r="I29" s="159">
        <f>'Imp Fin Parameters'!I78</f>
        <v>0</v>
      </c>
      <c r="J29" s="159">
        <f>'Imp Fin Parameters'!J78</f>
        <v>0</v>
      </c>
      <c r="K29" s="159">
        <f>'Imp Fin Parameters'!K78</f>
        <v>0</v>
      </c>
      <c r="L29" s="159">
        <f>'Imp Fin Parameters'!L78</f>
        <v>0</v>
      </c>
      <c r="M29" s="159">
        <f>'Imp Fin Parameters'!M78</f>
        <v>0</v>
      </c>
      <c r="N29" s="159">
        <f>'Imp Fin Parameters'!N78</f>
        <v>0</v>
      </c>
    </row>
    <row r="30" spans="1:14" x14ac:dyDescent="0.3">
      <c r="A30" s="1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3">
      <c r="A31" s="1" t="str">
        <f>'Imp Fin Parameters'!A80</f>
        <v>Discounted pay back period - Principal</v>
      </c>
      <c r="C31" s="16"/>
      <c r="D31" s="15"/>
      <c r="E31" s="97"/>
      <c r="F31" s="15"/>
      <c r="G31" s="97"/>
      <c r="H31" s="15"/>
      <c r="I31" s="97"/>
      <c r="J31" s="15"/>
      <c r="K31" s="97"/>
      <c r="L31" s="15"/>
      <c r="M31" s="97"/>
      <c r="N31" s="97"/>
    </row>
    <row r="32" spans="1:14" x14ac:dyDescent="0.3">
      <c r="A32" s="5" t="str">
        <f>'Imp Fin Parameters'!A81</f>
        <v>Principal amount</v>
      </c>
      <c r="C32" s="5"/>
      <c r="D32" s="159">
        <f>'Imp Fin Parameters'!D81</f>
        <v>132</v>
      </c>
      <c r="E32" s="159">
        <f>'Imp Fin Parameters'!E81</f>
        <v>17.3</v>
      </c>
      <c r="F32" s="159">
        <f>'Imp Fin Parameters'!F81</f>
        <v>22.9</v>
      </c>
      <c r="G32" s="159">
        <f>'Imp Fin Parameters'!G81</f>
        <v>26.7</v>
      </c>
      <c r="H32" s="159">
        <f>'Imp Fin Parameters'!H81</f>
        <v>30.5</v>
      </c>
      <c r="I32" s="159">
        <f>'Imp Fin Parameters'!I81</f>
        <v>30.5</v>
      </c>
      <c r="J32" s="159">
        <f>'Imp Fin Parameters'!J81</f>
        <v>30.5</v>
      </c>
      <c r="K32" s="159">
        <f>'Imp Fin Parameters'!K81</f>
        <v>30.5</v>
      </c>
      <c r="L32" s="159">
        <f>'Imp Fin Parameters'!L81</f>
        <v>30.5</v>
      </c>
      <c r="M32" s="159">
        <f>'Imp Fin Parameters'!M81</f>
        <v>30.5</v>
      </c>
      <c r="N32" s="159">
        <f>'Imp Fin Parameters'!N81</f>
        <v>30.5</v>
      </c>
    </row>
    <row r="33" spans="1:14" x14ac:dyDescent="0.3">
      <c r="A33" s="5" t="str">
        <f>'Imp Fin Parameters'!A82</f>
        <v>PV of principal</v>
      </c>
      <c r="B33" s="15">
        <f>SUM(D33:N33)</f>
        <v>292.72437684917611</v>
      </c>
      <c r="C33" s="5"/>
      <c r="D33" s="159">
        <f>'Imp Fin Parameters'!D82</f>
        <v>132</v>
      </c>
      <c r="E33" s="159">
        <f>'Imp Fin Parameters'!E82</f>
        <v>15.622998796921024</v>
      </c>
      <c r="F33" s="159">
        <f>'Imp Fin Parameters'!F82</f>
        <v>18.675492977569725</v>
      </c>
      <c r="G33" s="159">
        <f>'Imp Fin Parameters'!G82</f>
        <v>19.663741210482332</v>
      </c>
      <c r="H33" s="159">
        <f>'Imp Fin Parameters'!H82</f>
        <v>20.284907148291055</v>
      </c>
      <c r="I33" s="159">
        <f>'Imp Fin Parameters'!I82</f>
        <v>18.318559536035021</v>
      </c>
      <c r="J33" s="159">
        <f>'Imp Fin Parameters'!J82</f>
        <v>16.542822751028975</v>
      </c>
      <c r="K33" s="159">
        <f>'Imp Fin Parameters'!K82</f>
        <v>14.939219649537769</v>
      </c>
      <c r="L33" s="159">
        <f>'Imp Fin Parameters'!L82</f>
        <v>13.491064197206216</v>
      </c>
      <c r="M33" s="159">
        <f>'Imp Fin Parameters'!M82</f>
        <v>12.183287845210232</v>
      </c>
      <c r="N33" s="159">
        <f>'Imp Fin Parameters'!N82</f>
        <v>11.002282736893758</v>
      </c>
    </row>
    <row r="34" spans="1:14" x14ac:dyDescent="0.3">
      <c r="A34" s="5" t="str">
        <f>'Imp Fin Parameters'!A83</f>
        <v>Gross cash accruals (Income statement)</v>
      </c>
      <c r="C34" s="5"/>
      <c r="D34" s="159">
        <f>'Imp Fin Parameters'!D83</f>
        <v>0</v>
      </c>
      <c r="E34" s="159">
        <f>'Imp Fin Parameters'!E83</f>
        <v>38.853956782499999</v>
      </c>
      <c r="F34" s="159">
        <f>'Imp Fin Parameters'!F83</f>
        <v>53.014467586875</v>
      </c>
      <c r="G34" s="159">
        <f>'Imp Fin Parameters'!G83</f>
        <v>61.955153746249977</v>
      </c>
      <c r="H34" s="159">
        <f>'Imp Fin Parameters'!H83</f>
        <v>72.316768835000019</v>
      </c>
      <c r="I34" s="159">
        <f>'Imp Fin Parameters'!I83</f>
        <v>72.779835616250011</v>
      </c>
      <c r="J34" s="159">
        <f>'Imp Fin Parameters'!J83</f>
        <v>77.613279297500029</v>
      </c>
      <c r="K34" s="159">
        <f>'Imp Fin Parameters'!K83</f>
        <v>78.361814079960951</v>
      </c>
      <c r="L34" s="159">
        <f>'Imp Fin Parameters'!L83</f>
        <v>79.162908125850606</v>
      </c>
      <c r="M34" s="159">
        <f>'Imp Fin Parameters'!M83</f>
        <v>79.989754498680696</v>
      </c>
      <c r="N34" s="159">
        <f>'Imp Fin Parameters'!N83</f>
        <v>80.820990482056175</v>
      </c>
    </row>
    <row r="35" spans="1:14" x14ac:dyDescent="0.3">
      <c r="A35" s="5" t="str">
        <f>'Imp Fin Parameters'!A84</f>
        <v>PV of Gross cash accruals</v>
      </c>
      <c r="C35" s="5"/>
      <c r="D35" s="159">
        <f>'Imp Fin Parameters'!D84</f>
        <v>0</v>
      </c>
      <c r="E35" s="159">
        <f>'Imp Fin Parameters'!E84</f>
        <v>35.087590755411497</v>
      </c>
      <c r="F35" s="159">
        <f>'Imp Fin Parameters'!F84</f>
        <v>43.234555333112745</v>
      </c>
      <c r="G35" s="159">
        <f>'Imp Fin Parameters'!G84</f>
        <v>45.62809400456571</v>
      </c>
      <c r="H35" s="159">
        <f>'Imp Fin Parameters'!H84</f>
        <v>48.096358724013236</v>
      </c>
      <c r="I35" s="159">
        <f>'Imp Fin Parameters'!I84</f>
        <v>43.712188582266165</v>
      </c>
      <c r="J35" s="159">
        <f>'Imp Fin Parameters'!J84</f>
        <v>42.096482706381956</v>
      </c>
      <c r="K35" s="159">
        <f>'Imp Fin Parameters'!K84</f>
        <v>38.382437792681252</v>
      </c>
      <c r="L35" s="159">
        <f>'Imp Fin Parameters'!L84</f>
        <v>35.016127067652072</v>
      </c>
      <c r="M35" s="159">
        <f>'Imp Fin Parameters'!M84</f>
        <v>31.95207225328285</v>
      </c>
      <c r="N35" s="159">
        <f>'Imp Fin Parameters'!N84</f>
        <v>29.154602897028894</v>
      </c>
    </row>
    <row r="36" spans="1:14" x14ac:dyDescent="0.3">
      <c r="A36" s="5" t="str">
        <f>'Imp Fin Parameters'!A85</f>
        <v>Cumulative DCF</v>
      </c>
      <c r="C36" s="5"/>
      <c r="D36" s="159">
        <f>'Imp Fin Parameters'!D85</f>
        <v>0</v>
      </c>
      <c r="E36" s="159">
        <f>'Imp Fin Parameters'!E85</f>
        <v>35.087590755411497</v>
      </c>
      <c r="F36" s="159">
        <f>'Imp Fin Parameters'!F85</f>
        <v>78.322146088524249</v>
      </c>
      <c r="G36" s="159">
        <f>'Imp Fin Parameters'!G85</f>
        <v>123.95024009308996</v>
      </c>
      <c r="H36" s="159">
        <f>'Imp Fin Parameters'!H85</f>
        <v>172.04659881710319</v>
      </c>
      <c r="I36" s="159">
        <f>'Imp Fin Parameters'!I85</f>
        <v>215.75878739936934</v>
      </c>
      <c r="J36" s="159">
        <f>'Imp Fin Parameters'!J85</f>
        <v>257.85527010575129</v>
      </c>
      <c r="K36" s="159">
        <f>'Imp Fin Parameters'!K85</f>
        <v>296.23770789843252</v>
      </c>
      <c r="L36" s="159">
        <f>'Imp Fin Parameters'!L85</f>
        <v>331.25383496608458</v>
      </c>
      <c r="M36" s="159">
        <f>'Imp Fin Parameters'!M85</f>
        <v>363.20590721936742</v>
      </c>
      <c r="N36" s="159">
        <f>'Imp Fin Parameters'!N85</f>
        <v>392.36051011639631</v>
      </c>
    </row>
    <row r="37" spans="1:14" x14ac:dyDescent="0.3">
      <c r="A37" s="5" t="str">
        <f>'Imp Fin Parameters'!A86</f>
        <v>Payback period</v>
      </c>
      <c r="B37" s="157">
        <f>J4+(((B33-J36)*1))/K36</f>
        <v>6.1177065100550267</v>
      </c>
      <c r="C37" s="5"/>
      <c r="E37" s="5"/>
      <c r="G37" s="5"/>
      <c r="I37" s="5"/>
      <c r="K37" s="5"/>
      <c r="M37" s="5"/>
      <c r="N37" s="5"/>
    </row>
    <row r="38" spans="1:14" x14ac:dyDescent="0.3">
      <c r="A38" s="16"/>
    </row>
  </sheetData>
  <mergeCells count="2">
    <mergeCell ref="A3:A4"/>
    <mergeCell ref="D3:N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8C53-FC25-4EAE-A1B1-7770501F4EEC}">
  <dimension ref="A1:M35"/>
  <sheetViews>
    <sheetView showGridLines="0" workbookViewId="0">
      <pane xSplit="2" ySplit="4" topLeftCell="C17" activePane="bottomRight" state="frozen"/>
      <selection activeCell="P5" sqref="P5"/>
      <selection pane="topRight" activeCell="P5" sqref="P5"/>
      <selection pane="bottomLeft" activeCell="P5" sqref="P5"/>
      <selection pane="bottomRight" activeCell="D26" sqref="D26"/>
    </sheetView>
  </sheetViews>
  <sheetFormatPr defaultColWidth="8.88671875" defaultRowHeight="14.4" x14ac:dyDescent="0.3"/>
  <cols>
    <col min="1" max="1" width="35.33203125" customWidth="1"/>
    <col min="2" max="2" width="6.6640625" customWidth="1"/>
    <col min="3" max="3" width="10.6640625" bestFit="1" customWidth="1"/>
    <col min="4" max="13" width="11.5546875" bestFit="1" customWidth="1"/>
  </cols>
  <sheetData>
    <row r="1" spans="1:13" s="6" customFormat="1" ht="18" x14ac:dyDescent="0.35">
      <c r="A1" s="6" t="s">
        <v>433</v>
      </c>
    </row>
    <row r="2" spans="1:13" x14ac:dyDescent="0.3">
      <c r="A2" t="s">
        <v>3</v>
      </c>
    </row>
    <row r="3" spans="1:13" x14ac:dyDescent="0.3">
      <c r="A3" s="183" t="s">
        <v>36</v>
      </c>
      <c r="B3" s="48"/>
      <c r="C3" s="184" t="s">
        <v>15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</row>
    <row r="4" spans="1:13" x14ac:dyDescent="0.3">
      <c r="A4" s="183"/>
      <c r="B4" s="48"/>
      <c r="C4" s="49">
        <v>0</v>
      </c>
      <c r="D4" s="49">
        <v>1</v>
      </c>
      <c r="E4" s="49">
        <v>2</v>
      </c>
      <c r="F4" s="49">
        <v>3</v>
      </c>
      <c r="G4" s="49">
        <v>4</v>
      </c>
      <c r="H4" s="49">
        <v>5</v>
      </c>
      <c r="I4" s="49">
        <v>6</v>
      </c>
      <c r="J4" s="49">
        <v>7</v>
      </c>
      <c r="K4" s="49">
        <v>8</v>
      </c>
      <c r="L4" s="49">
        <v>9</v>
      </c>
      <c r="M4" s="49">
        <v>10</v>
      </c>
    </row>
    <row r="5" spans="1:13" x14ac:dyDescent="0.3">
      <c r="A5" s="16" t="s">
        <v>441</v>
      </c>
    </row>
    <row r="6" spans="1:13" x14ac:dyDescent="0.3">
      <c r="A6" s="16" t="s">
        <v>230</v>
      </c>
    </row>
    <row r="7" spans="1:13" x14ac:dyDescent="0.3">
      <c r="A7" s="165" t="s">
        <v>37</v>
      </c>
      <c r="C7" s="188">
        <v>0</v>
      </c>
      <c r="D7" s="188">
        <v>0</v>
      </c>
      <c r="E7" s="188">
        <v>0</v>
      </c>
      <c r="F7" s="188">
        <v>0</v>
      </c>
      <c r="G7" s="188">
        <v>0</v>
      </c>
      <c r="H7" s="188">
        <v>0</v>
      </c>
      <c r="I7" s="188">
        <v>0</v>
      </c>
      <c r="J7" s="188">
        <v>0</v>
      </c>
      <c r="K7" s="188">
        <v>0</v>
      </c>
      <c r="L7" s="188">
        <v>0</v>
      </c>
      <c r="M7" s="188">
        <f>Assumptions!B78*Assumptions!B6</f>
        <v>9</v>
      </c>
    </row>
    <row r="8" spans="1:13" x14ac:dyDescent="0.3">
      <c r="A8" s="165" t="s">
        <v>38</v>
      </c>
      <c r="C8" s="188">
        <v>0</v>
      </c>
      <c r="D8" s="188">
        <v>0</v>
      </c>
      <c r="E8" s="188">
        <v>0</v>
      </c>
      <c r="F8" s="188">
        <v>0</v>
      </c>
      <c r="G8" s="188">
        <v>0</v>
      </c>
      <c r="H8" s="188">
        <v>0</v>
      </c>
      <c r="I8" s="188">
        <v>0</v>
      </c>
      <c r="J8" s="188">
        <v>0</v>
      </c>
      <c r="K8" s="188">
        <v>0</v>
      </c>
      <c r="L8" s="188">
        <v>0</v>
      </c>
      <c r="M8" s="188">
        <f>Assumptions!B79*Assumptions!B7</f>
        <v>3.6333333333333337</v>
      </c>
    </row>
    <row r="9" spans="1:13" x14ac:dyDescent="0.3">
      <c r="A9" s="165" t="s">
        <v>232</v>
      </c>
      <c r="C9" s="188">
        <v>0</v>
      </c>
      <c r="D9" s="188">
        <v>0</v>
      </c>
      <c r="E9" s="188">
        <v>0</v>
      </c>
      <c r="F9" s="188">
        <v>0</v>
      </c>
      <c r="G9" s="188">
        <v>0</v>
      </c>
      <c r="H9" s="188">
        <v>0</v>
      </c>
      <c r="I9" s="188">
        <v>0</v>
      </c>
      <c r="J9" s="188">
        <v>0</v>
      </c>
      <c r="K9" s="188">
        <v>0</v>
      </c>
      <c r="L9" s="188">
        <v>0</v>
      </c>
      <c r="M9" s="188">
        <f>(Assumptions!B8+SUM(Assumptions!G35:P35))*Assumptions!B80</f>
        <v>9.24</v>
      </c>
    </row>
    <row r="10" spans="1:13" x14ac:dyDescent="0.3">
      <c r="A10" s="190" t="s">
        <v>233</v>
      </c>
      <c r="B10" s="191"/>
      <c r="C10" s="192">
        <v>0</v>
      </c>
      <c r="D10" s="192">
        <v>0</v>
      </c>
      <c r="E10" s="192">
        <v>0</v>
      </c>
      <c r="F10" s="192">
        <v>0</v>
      </c>
      <c r="G10" s="192">
        <v>0</v>
      </c>
      <c r="H10" s="192">
        <v>0</v>
      </c>
      <c r="I10" s="192">
        <v>0</v>
      </c>
      <c r="J10" s="192">
        <v>0</v>
      </c>
      <c r="K10" s="192">
        <v>0</v>
      </c>
      <c r="L10" s="192">
        <v>0</v>
      </c>
      <c r="M10" s="192">
        <f>('Balance Sheet'!N22-'Balance Sheet'!N13)*Assumptions!B81</f>
        <v>44.7</v>
      </c>
    </row>
    <row r="11" spans="1:13" x14ac:dyDescent="0.3">
      <c r="A11" s="189" t="s">
        <v>439</v>
      </c>
      <c r="C11" s="193">
        <f>SUM(C7:C10)</f>
        <v>0</v>
      </c>
      <c r="D11" s="193">
        <f t="shared" ref="D11:M11" si="0">SUM(D7:D10)</f>
        <v>0</v>
      </c>
      <c r="E11" s="193">
        <f t="shared" si="0"/>
        <v>0</v>
      </c>
      <c r="F11" s="193">
        <f t="shared" si="0"/>
        <v>0</v>
      </c>
      <c r="G11" s="193">
        <f t="shared" si="0"/>
        <v>0</v>
      </c>
      <c r="H11" s="193">
        <f t="shared" si="0"/>
        <v>0</v>
      </c>
      <c r="I11" s="193">
        <f t="shared" si="0"/>
        <v>0</v>
      </c>
      <c r="J11" s="193">
        <f t="shared" si="0"/>
        <v>0</v>
      </c>
      <c r="K11" s="193">
        <f t="shared" si="0"/>
        <v>0</v>
      </c>
      <c r="L11" s="193">
        <f t="shared" si="0"/>
        <v>0</v>
      </c>
      <c r="M11" s="193">
        <f t="shared" si="0"/>
        <v>66.573333333333338</v>
      </c>
    </row>
    <row r="12" spans="1:13" x14ac:dyDescent="0.3">
      <c r="A12" s="165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</row>
    <row r="13" spans="1:13" x14ac:dyDescent="0.3">
      <c r="A13" s="189" t="s">
        <v>236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</row>
    <row r="14" spans="1:13" x14ac:dyDescent="0.3">
      <c r="A14" s="165" t="s">
        <v>237</v>
      </c>
      <c r="C14" s="188">
        <f>SUM(Assumptions!B6:B9)-Assumptions!B12+Assumptions!F35</f>
        <v>177.50000000000003</v>
      </c>
      <c r="D14" s="188">
        <f>SUM(Assumptions!C6:C9)-Assumptions!C12+Assumptions!G35</f>
        <v>0</v>
      </c>
      <c r="E14" s="188">
        <f>SUM(Assumptions!D6:D9)-Assumptions!D12+Assumptions!H35</f>
        <v>0</v>
      </c>
      <c r="F14" s="188">
        <f>SUM(Assumptions!E6:E9)-Assumptions!E12+Assumptions!I35</f>
        <v>2.5</v>
      </c>
      <c r="G14" s="188">
        <f>SUM(Assumptions!F6:F9)-Assumptions!F12+Assumptions!J35</f>
        <v>2.5</v>
      </c>
      <c r="H14" s="188">
        <f>SUM(Assumptions!G6:G9)-Assumptions!G12+Assumptions!K35</f>
        <v>2.5</v>
      </c>
      <c r="I14" s="188">
        <f>SUM(Assumptions!H6:H9)-Assumptions!H12+Assumptions!L35</f>
        <v>2.5</v>
      </c>
      <c r="J14" s="188">
        <f>SUM(Assumptions!I6:I9)-Assumptions!I12+Assumptions!M35</f>
        <v>5</v>
      </c>
      <c r="K14" s="188">
        <f>SUM(Assumptions!J6:J9)-Assumptions!J12+Assumptions!N35</f>
        <v>5</v>
      </c>
      <c r="L14" s="188">
        <f>SUM(Assumptions!K6:K9)-Assumptions!K12+Assumptions!O35</f>
        <v>5</v>
      </c>
      <c r="M14" s="188">
        <f>SUM(Assumptions!L6:L9)-Assumptions!L12+Assumptions!P35</f>
        <v>5</v>
      </c>
    </row>
    <row r="15" spans="1:13" x14ac:dyDescent="0.3">
      <c r="A15" s="165" t="s">
        <v>238</v>
      </c>
      <c r="C15" s="188">
        <f>-1*'Cash Flow Statement'!D16-'Cash Flow Statement'!D18</f>
        <v>9</v>
      </c>
      <c r="D15" s="188">
        <f>-1*'Cash Flow Statement'!E16-'Cash Flow Statement'!E18</f>
        <v>16.3</v>
      </c>
      <c r="E15" s="188">
        <f>-1*'Cash Flow Statement'!F16-'Cash Flow Statement'!F18</f>
        <v>8.3000000000000007</v>
      </c>
      <c r="F15" s="188">
        <f>-1*'Cash Flow Statement'!G16-'Cash Flow Statement'!G18</f>
        <v>5.5999999999999943</v>
      </c>
      <c r="G15" s="188">
        <f>-1*'Cash Flow Statement'!H16-'Cash Flow Statement'!H18</f>
        <v>5.5000000000000018</v>
      </c>
      <c r="H15" s="188">
        <f>-1*'Cash Flow Statement'!I16-'Cash Flow Statement'!I18</f>
        <v>0</v>
      </c>
      <c r="I15" s="188">
        <f>-1*'Cash Flow Statement'!J16-'Cash Flow Statement'!J18</f>
        <v>0</v>
      </c>
      <c r="J15" s="188">
        <f>-1*'Cash Flow Statement'!K16-'Cash Flow Statement'!K18</f>
        <v>0</v>
      </c>
      <c r="K15" s="188">
        <f>-1*'Cash Flow Statement'!L16-'Cash Flow Statement'!L18</f>
        <v>0</v>
      </c>
      <c r="L15" s="188">
        <f>-1*'Cash Flow Statement'!M16-'Cash Flow Statement'!M18</f>
        <v>0</v>
      </c>
      <c r="M15" s="188">
        <f>-1*'Cash Flow Statement'!N16-'Cash Flow Statement'!N18</f>
        <v>0</v>
      </c>
    </row>
    <row r="16" spans="1:13" x14ac:dyDescent="0.3">
      <c r="A16" s="190" t="s">
        <v>239</v>
      </c>
      <c r="B16" s="191"/>
      <c r="C16" s="192">
        <f>'Income Statement'!D26+'Income Statement'!D36</f>
        <v>0</v>
      </c>
      <c r="D16" s="192">
        <f>'Income Statement'!E26+'Income Statement'!E36</f>
        <v>119.4474232175</v>
      </c>
      <c r="E16" s="192">
        <f>'Income Statement'!F26+'Income Statement'!F36</f>
        <v>152.27410429</v>
      </c>
      <c r="F16" s="192">
        <f>'Income Statement'!G26+'Income Statement'!G36</f>
        <v>174.983475005</v>
      </c>
      <c r="G16" s="192">
        <f>'Income Statement'!H26+'Income Statement'!H36</f>
        <v>197.87199571999997</v>
      </c>
      <c r="H16" s="192">
        <f>'Income Statement'!I26+'Income Statement'!I36</f>
        <v>198.33197697</v>
      </c>
      <c r="I16" s="192">
        <f>'Income Statement'!J26+'Income Statement'!J36</f>
        <v>193.27827756374998</v>
      </c>
      <c r="J16" s="192">
        <f>'Income Statement'!K26+'Income Statement'!K36</f>
        <v>194.31722040203124</v>
      </c>
      <c r="K16" s="192">
        <f>'Income Statement'!L26+'Income Statement'!L36</f>
        <v>195.41099374818359</v>
      </c>
      <c r="L16" s="192">
        <f>'Income Statement'!M26+'Income Statement'!M36</f>
        <v>196.56443461979737</v>
      </c>
      <c r="M16" s="192">
        <f>'Income Statement'!N26+'Income Statement'!N36</f>
        <v>197.78281528373216</v>
      </c>
    </row>
    <row r="17" spans="1:13" x14ac:dyDescent="0.3">
      <c r="A17" s="23" t="s">
        <v>240</v>
      </c>
      <c r="C17" s="188">
        <f>SUM(C14:C16)</f>
        <v>186.50000000000003</v>
      </c>
      <c r="D17" s="188">
        <f t="shared" ref="D17:M17" si="1">SUM(D14:D16)</f>
        <v>135.7474232175</v>
      </c>
      <c r="E17" s="188">
        <f t="shared" si="1"/>
        <v>160.57410429000001</v>
      </c>
      <c r="F17" s="188">
        <f t="shared" si="1"/>
        <v>183.083475005</v>
      </c>
      <c r="G17" s="188">
        <f t="shared" si="1"/>
        <v>205.87199571999997</v>
      </c>
      <c r="H17" s="188">
        <f t="shared" si="1"/>
        <v>200.83197697</v>
      </c>
      <c r="I17" s="188">
        <f t="shared" si="1"/>
        <v>195.77827756374998</v>
      </c>
      <c r="J17" s="188">
        <f t="shared" si="1"/>
        <v>199.31722040203124</v>
      </c>
      <c r="K17" s="188">
        <f t="shared" si="1"/>
        <v>200.41099374818359</v>
      </c>
      <c r="L17" s="188">
        <f t="shared" si="1"/>
        <v>201.56443461979737</v>
      </c>
      <c r="M17" s="188">
        <f t="shared" si="1"/>
        <v>202.78281528373216</v>
      </c>
    </row>
    <row r="18" spans="1:13" x14ac:dyDescent="0.3">
      <c r="A18" s="23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</row>
    <row r="19" spans="1:13" x14ac:dyDescent="0.3">
      <c r="A19" s="23" t="s">
        <v>241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</row>
    <row r="20" spans="1:13" x14ac:dyDescent="0.3">
      <c r="A20" s="165" t="s">
        <v>137</v>
      </c>
      <c r="C20" s="188">
        <f>'Income Statement'!D12</f>
        <v>0</v>
      </c>
      <c r="D20" s="188">
        <f>'Income Statement'!E12</f>
        <v>164.25</v>
      </c>
      <c r="E20" s="188">
        <f>'Income Statement'!F12</f>
        <v>219</v>
      </c>
      <c r="F20" s="188">
        <f>'Income Statement'!G12</f>
        <v>255.49999999999997</v>
      </c>
      <c r="G20" s="188">
        <f>'Income Statement'!H12</f>
        <v>292</v>
      </c>
      <c r="H20" s="188">
        <f>'Income Statement'!I12</f>
        <v>292</v>
      </c>
      <c r="I20" s="188">
        <f>'Income Statement'!J12</f>
        <v>292</v>
      </c>
      <c r="J20" s="188">
        <f>'Income Statement'!K12</f>
        <v>292</v>
      </c>
      <c r="K20" s="188">
        <f>'Income Statement'!L12</f>
        <v>292</v>
      </c>
      <c r="L20" s="188">
        <f>'Income Statement'!M12</f>
        <v>292</v>
      </c>
      <c r="M20" s="188">
        <f>'Income Statement'!N12</f>
        <v>292</v>
      </c>
    </row>
    <row r="21" spans="1:13" x14ac:dyDescent="0.3">
      <c r="A21" s="190" t="s">
        <v>230</v>
      </c>
      <c r="B21" s="191"/>
      <c r="C21" s="192">
        <f>C11</f>
        <v>0</v>
      </c>
      <c r="D21" s="192">
        <f t="shared" ref="D21:M21" si="2">D11</f>
        <v>0</v>
      </c>
      <c r="E21" s="192">
        <f t="shared" si="2"/>
        <v>0</v>
      </c>
      <c r="F21" s="192">
        <f t="shared" si="2"/>
        <v>0</v>
      </c>
      <c r="G21" s="192">
        <f t="shared" si="2"/>
        <v>0</v>
      </c>
      <c r="H21" s="192">
        <f t="shared" si="2"/>
        <v>0</v>
      </c>
      <c r="I21" s="192">
        <f t="shared" si="2"/>
        <v>0</v>
      </c>
      <c r="J21" s="192">
        <f t="shared" si="2"/>
        <v>0</v>
      </c>
      <c r="K21" s="192">
        <f t="shared" si="2"/>
        <v>0</v>
      </c>
      <c r="L21" s="192">
        <f t="shared" si="2"/>
        <v>0</v>
      </c>
      <c r="M21" s="192">
        <f t="shared" si="2"/>
        <v>66.573333333333338</v>
      </c>
    </row>
    <row r="22" spans="1:13" x14ac:dyDescent="0.3">
      <c r="A22" s="23" t="s">
        <v>380</v>
      </c>
      <c r="C22" s="188">
        <f>SUM(C20:C21)</f>
        <v>0</v>
      </c>
      <c r="D22" s="188">
        <f t="shared" ref="D22:M22" si="3">SUM(D20:D21)</f>
        <v>164.25</v>
      </c>
      <c r="E22" s="188">
        <f t="shared" si="3"/>
        <v>219</v>
      </c>
      <c r="F22" s="188">
        <f t="shared" si="3"/>
        <v>255.49999999999997</v>
      </c>
      <c r="G22" s="188">
        <f t="shared" si="3"/>
        <v>292</v>
      </c>
      <c r="H22" s="188">
        <f t="shared" si="3"/>
        <v>292</v>
      </c>
      <c r="I22" s="188">
        <f t="shared" si="3"/>
        <v>292</v>
      </c>
      <c r="J22" s="188">
        <f t="shared" si="3"/>
        <v>292</v>
      </c>
      <c r="K22" s="188">
        <f t="shared" si="3"/>
        <v>292</v>
      </c>
      <c r="L22" s="188">
        <f t="shared" si="3"/>
        <v>292</v>
      </c>
      <c r="M22" s="188">
        <f t="shared" si="3"/>
        <v>358.57333333333332</v>
      </c>
    </row>
    <row r="23" spans="1:13" x14ac:dyDescent="0.3">
      <c r="A23" s="23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</row>
    <row r="24" spans="1:13" x14ac:dyDescent="0.3">
      <c r="A24" s="23" t="s">
        <v>440</v>
      </c>
      <c r="C24" s="188">
        <f>C22-C17</f>
        <v>-186.50000000000003</v>
      </c>
      <c r="D24" s="188">
        <f t="shared" ref="D24:M24" si="4">D22-D17</f>
        <v>28.5025767825</v>
      </c>
      <c r="E24" s="188">
        <f t="shared" si="4"/>
        <v>58.425895709999992</v>
      </c>
      <c r="F24" s="188">
        <f t="shared" si="4"/>
        <v>72.416524994999975</v>
      </c>
      <c r="G24" s="188">
        <f t="shared" si="4"/>
        <v>86.128004280000027</v>
      </c>
      <c r="H24" s="188">
        <f t="shared" si="4"/>
        <v>91.168023030000001</v>
      </c>
      <c r="I24" s="188">
        <f t="shared" si="4"/>
        <v>96.221722436250019</v>
      </c>
      <c r="J24" s="188">
        <f t="shared" si="4"/>
        <v>92.682779597968761</v>
      </c>
      <c r="K24" s="188">
        <f t="shared" si="4"/>
        <v>91.589006251816414</v>
      </c>
      <c r="L24" s="188">
        <f t="shared" si="4"/>
        <v>90.435565380202632</v>
      </c>
      <c r="M24" s="188">
        <f t="shared" si="4"/>
        <v>155.79051804960116</v>
      </c>
    </row>
    <row r="25" spans="1:13" x14ac:dyDescent="0.3">
      <c r="A25" s="23" t="s">
        <v>29</v>
      </c>
      <c r="B25" s="11">
        <f>IRR(C24:M24)</f>
        <v>0.33567199908263534</v>
      </c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</row>
    <row r="26" spans="1:13" x14ac:dyDescent="0.3">
      <c r="A26" s="23"/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</row>
    <row r="27" spans="1:13" x14ac:dyDescent="0.3">
      <c r="A27" s="23" t="s">
        <v>442</v>
      </c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</row>
    <row r="28" spans="1:13" x14ac:dyDescent="0.3">
      <c r="A28" s="23" t="s">
        <v>376</v>
      </c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</row>
    <row r="29" spans="1:13" x14ac:dyDescent="0.3"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</row>
    <row r="30" spans="1:13" x14ac:dyDescent="0.3">
      <c r="A30" s="165" t="s">
        <v>225</v>
      </c>
      <c r="C30" s="164"/>
      <c r="D30" s="188">
        <f>'Cash Flow Statement'!E19</f>
        <v>59.089956782499996</v>
      </c>
      <c r="E30" s="188">
        <f>'Cash Flow Statement'!F19</f>
        <v>70.222467586874998</v>
      </c>
      <c r="F30" s="188">
        <f>'Cash Flow Statement'!G19</f>
        <v>79.446653746249993</v>
      </c>
      <c r="G30" s="188">
        <f>'Cash Flow Statement'!H19</f>
        <v>88.219268835000022</v>
      </c>
      <c r="H30" s="188">
        <f>'Cash Flow Statement'!I19</f>
        <v>88.237335616250007</v>
      </c>
      <c r="I30" s="188">
        <f>'Cash Flow Statement'!J19</f>
        <v>90.925779297500029</v>
      </c>
      <c r="J30" s="188">
        <f>'Cash Flow Statement'!K19</f>
        <v>89.529314079960955</v>
      </c>
      <c r="K30" s="188">
        <f>'Cash Flow Statement'!L19</f>
        <v>88.1854081258506</v>
      </c>
      <c r="L30" s="188">
        <f>'Cash Flow Statement'!M19</f>
        <v>86.867254498680694</v>
      </c>
      <c r="M30" s="188">
        <f>'Cash Flow Statement'!N19</f>
        <v>85.553490482056162</v>
      </c>
    </row>
    <row r="31" spans="1:13" x14ac:dyDescent="0.3">
      <c r="A31" s="165" t="s">
        <v>226</v>
      </c>
      <c r="C31" s="164"/>
      <c r="D31" s="188">
        <f>'Income Statement'!E38</f>
        <v>19.236000000000001</v>
      </c>
      <c r="E31" s="188">
        <f>'Income Statement'!F38</f>
        <v>19.908000000000001</v>
      </c>
      <c r="F31" s="188">
        <f>'Income Statement'!G38</f>
        <v>19.291500000000003</v>
      </c>
      <c r="G31" s="188">
        <f>'Income Statement'!H38</f>
        <v>17.602499999999999</v>
      </c>
      <c r="H31" s="188">
        <f>'Income Statement'!I38</f>
        <v>15.457500000000001</v>
      </c>
      <c r="I31" s="188">
        <f>'Income Statement'!J38</f>
        <v>13.3125</v>
      </c>
      <c r="J31" s="188">
        <f>'Income Statement'!K38</f>
        <v>11.1675</v>
      </c>
      <c r="K31" s="188">
        <f>'Income Statement'!L38</f>
        <v>9.0224999999999991</v>
      </c>
      <c r="L31" s="188">
        <f>'Income Statement'!M38</f>
        <v>6.8774999999999995</v>
      </c>
      <c r="M31" s="188">
        <f>'Income Statement'!N38</f>
        <v>4.7324999999999999</v>
      </c>
    </row>
    <row r="32" spans="1:13" x14ac:dyDescent="0.3">
      <c r="A32" s="165" t="s">
        <v>73</v>
      </c>
      <c r="C32" s="164"/>
      <c r="D32" s="188">
        <f>'Income Statement'!E39</f>
        <v>0</v>
      </c>
      <c r="E32" s="188">
        <f>'Income Statement'!F39</f>
        <v>0</v>
      </c>
      <c r="F32" s="188">
        <f>'Income Statement'!G39</f>
        <v>0</v>
      </c>
      <c r="G32" s="188">
        <f>'Income Statement'!H39</f>
        <v>0</v>
      </c>
      <c r="H32" s="188">
        <f>'Income Statement'!I39</f>
        <v>0</v>
      </c>
      <c r="I32" s="188">
        <f>'Income Statement'!J39</f>
        <v>0</v>
      </c>
      <c r="J32" s="188">
        <f>'Income Statement'!K39</f>
        <v>0</v>
      </c>
      <c r="K32" s="188">
        <f>'Income Statement'!L39</f>
        <v>0</v>
      </c>
      <c r="L32" s="188">
        <f>'Income Statement'!M39</f>
        <v>0</v>
      </c>
      <c r="M32" s="188">
        <f>'Income Statement'!N39</f>
        <v>0</v>
      </c>
    </row>
    <row r="33" spans="1:13" x14ac:dyDescent="0.3">
      <c r="A33" s="165" t="s">
        <v>227</v>
      </c>
      <c r="C33" s="164"/>
      <c r="D33" s="188">
        <f>-1*'Cash Flow Statement'!E21</f>
        <v>0</v>
      </c>
      <c r="E33" s="188">
        <f>-1*'Cash Flow Statement'!F21</f>
        <v>0</v>
      </c>
      <c r="F33" s="188">
        <f>-1*'Cash Flow Statement'!G21</f>
        <v>16.5</v>
      </c>
      <c r="G33" s="188">
        <f>-1*'Cash Flow Statement'!H21</f>
        <v>16.5</v>
      </c>
      <c r="H33" s="188">
        <f>-1*'Cash Flow Statement'!I21</f>
        <v>16.5</v>
      </c>
      <c r="I33" s="188">
        <f>-1*'Cash Flow Statement'!J21</f>
        <v>16.5</v>
      </c>
      <c r="J33" s="188">
        <f>-1*'Cash Flow Statement'!K21</f>
        <v>16.5</v>
      </c>
      <c r="K33" s="188">
        <f>-1*'Cash Flow Statement'!L21</f>
        <v>16.5</v>
      </c>
      <c r="L33" s="188">
        <f>-1*'Cash Flow Statement'!M21</f>
        <v>16.5</v>
      </c>
      <c r="M33" s="188">
        <f>-1*'Cash Flow Statement'!N21</f>
        <v>16.5</v>
      </c>
    </row>
    <row r="34" spans="1:13" x14ac:dyDescent="0.3">
      <c r="A34" s="165" t="s">
        <v>228</v>
      </c>
      <c r="C34" s="164"/>
      <c r="D34" s="188">
        <f>D30/SUM(D31:D33)</f>
        <v>3.0718422116084421</v>
      </c>
      <c r="E34" s="188">
        <f t="shared" ref="E34:M34" si="5">E30/SUM(E31:E33)</f>
        <v>3.5273491855974983</v>
      </c>
      <c r="F34" s="188">
        <f t="shared" si="5"/>
        <v>2.2197072977173349</v>
      </c>
      <c r="G34" s="188">
        <f t="shared" si="5"/>
        <v>2.5868856780294709</v>
      </c>
      <c r="H34" s="188">
        <f t="shared" si="5"/>
        <v>2.7610838024329185</v>
      </c>
      <c r="I34" s="188">
        <f t="shared" si="5"/>
        <v>3.0499213181551372</v>
      </c>
      <c r="J34" s="188">
        <f t="shared" si="5"/>
        <v>3.2359018371721677</v>
      </c>
      <c r="K34" s="188">
        <f t="shared" si="5"/>
        <v>3.4552025908845372</v>
      </c>
      <c r="L34" s="188">
        <f t="shared" si="5"/>
        <v>3.7158487647815508</v>
      </c>
      <c r="M34" s="188">
        <f t="shared" si="5"/>
        <v>4.0293649114355894</v>
      </c>
    </row>
    <row r="35" spans="1:13" x14ac:dyDescent="0.3">
      <c r="A35" s="189" t="s">
        <v>443</v>
      </c>
      <c r="B35" s="147">
        <f>AVERAGE(D34:M34)</f>
        <v>3.1653107597814647</v>
      </c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</row>
  </sheetData>
  <mergeCells count="2">
    <mergeCell ref="A3:A4"/>
    <mergeCell ref="C3:M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showGridLines="0" workbookViewId="0">
      <pane xSplit="3" ySplit="4" topLeftCell="D5" activePane="bottomRight" state="frozen"/>
      <selection activeCell="P5" sqref="P5"/>
      <selection pane="topRight" activeCell="P5" sqref="P5"/>
      <selection pane="bottomLeft" activeCell="P5" sqref="P5"/>
      <selection pane="bottomRight" activeCell="H24" sqref="H24"/>
    </sheetView>
  </sheetViews>
  <sheetFormatPr defaultColWidth="8.88671875" defaultRowHeight="14.4" x14ac:dyDescent="0.3"/>
  <cols>
    <col min="1" max="1" width="35.33203125" customWidth="1"/>
    <col min="2" max="2" width="4.88671875" customWidth="1"/>
    <col min="3" max="3" width="1.109375" customWidth="1"/>
    <col min="4" max="4" width="10.6640625" bestFit="1" customWidth="1"/>
    <col min="5" max="14" width="11.5546875" bestFit="1" customWidth="1"/>
  </cols>
  <sheetData>
    <row r="1" spans="1:14" s="6" customFormat="1" ht="18" x14ac:dyDescent="0.35">
      <c r="A1" s="6" t="s">
        <v>433</v>
      </c>
    </row>
    <row r="2" spans="1:14" x14ac:dyDescent="0.3">
      <c r="A2" t="s">
        <v>3</v>
      </c>
    </row>
    <row r="3" spans="1:14" x14ac:dyDescent="0.3">
      <c r="A3" s="183" t="s">
        <v>36</v>
      </c>
      <c r="B3" s="48"/>
      <c r="C3" s="48"/>
      <c r="D3" s="184" t="s">
        <v>15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4" x14ac:dyDescent="0.3">
      <c r="A4" s="183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265</v>
      </c>
      <c r="E6" s="107">
        <f>Assumptions!B30</f>
        <v>730000</v>
      </c>
      <c r="F6" s="107">
        <f>E6</f>
        <v>730000</v>
      </c>
      <c r="G6" s="107">
        <f t="shared" ref="G6:N6" si="0">F6</f>
        <v>730000</v>
      </c>
      <c r="H6" s="107">
        <f t="shared" si="0"/>
        <v>730000</v>
      </c>
      <c r="I6" s="107">
        <f t="shared" si="0"/>
        <v>730000</v>
      </c>
      <c r="J6" s="107">
        <f t="shared" si="0"/>
        <v>730000</v>
      </c>
      <c r="K6" s="107">
        <f t="shared" si="0"/>
        <v>730000</v>
      </c>
      <c r="L6" s="107">
        <f t="shared" si="0"/>
        <v>730000</v>
      </c>
      <c r="M6" s="107">
        <f t="shared" si="0"/>
        <v>730000</v>
      </c>
      <c r="N6" s="107">
        <f t="shared" si="0"/>
        <v>730000</v>
      </c>
    </row>
    <row r="7" spans="1:14" x14ac:dyDescent="0.3">
      <c r="A7" t="s">
        <v>1</v>
      </c>
      <c r="E7" s="32">
        <f>Assumptions!G17</f>
        <v>0.45</v>
      </c>
      <c r="F7" s="32">
        <f>Assumptions!H17</f>
        <v>0.6</v>
      </c>
      <c r="G7" s="32">
        <f>Assumptions!I17</f>
        <v>0.7</v>
      </c>
      <c r="H7" s="32">
        <f>Assumptions!J17</f>
        <v>0.8</v>
      </c>
      <c r="I7" s="32">
        <f>Assumptions!K17</f>
        <v>0.8</v>
      </c>
      <c r="J7" s="32">
        <f>Assumptions!L17</f>
        <v>0.8</v>
      </c>
      <c r="K7" s="32">
        <f>Assumptions!M17</f>
        <v>0.8</v>
      </c>
      <c r="L7" s="32">
        <f>Assumptions!N17</f>
        <v>0.8</v>
      </c>
      <c r="M7" s="32">
        <f>Assumptions!O17</f>
        <v>0.8</v>
      </c>
      <c r="N7" s="32">
        <f>Assumptions!P17</f>
        <v>0.8</v>
      </c>
    </row>
    <row r="8" spans="1:14" x14ac:dyDescent="0.3">
      <c r="A8" t="s">
        <v>266</v>
      </c>
      <c r="E8" s="107">
        <f>E6*E7</f>
        <v>328500</v>
      </c>
      <c r="F8" s="107">
        <f t="shared" ref="F8:N8" si="1">F6*F7</f>
        <v>438000</v>
      </c>
      <c r="G8" s="107">
        <f t="shared" si="1"/>
        <v>510999.99999999994</v>
      </c>
      <c r="H8" s="107">
        <f t="shared" si="1"/>
        <v>584000</v>
      </c>
      <c r="I8" s="107">
        <f t="shared" si="1"/>
        <v>584000</v>
      </c>
      <c r="J8" s="107">
        <f t="shared" si="1"/>
        <v>584000</v>
      </c>
      <c r="K8" s="107">
        <f t="shared" si="1"/>
        <v>584000</v>
      </c>
      <c r="L8" s="107">
        <f t="shared" si="1"/>
        <v>584000</v>
      </c>
      <c r="M8" s="107">
        <f t="shared" si="1"/>
        <v>584000</v>
      </c>
      <c r="N8" s="107">
        <f t="shared" si="1"/>
        <v>584000</v>
      </c>
    </row>
    <row r="9" spans="1:14" x14ac:dyDescent="0.3">
      <c r="A9" s="50" t="s">
        <v>267</v>
      </c>
      <c r="B9" s="50"/>
      <c r="C9" s="50"/>
      <c r="D9" s="50"/>
      <c r="E9" s="58">
        <f>(E8*Assumptions!$B$61)/10^6</f>
        <v>164.25</v>
      </c>
      <c r="F9" s="58">
        <f>(F8*Assumptions!$B$61)/10^6</f>
        <v>219</v>
      </c>
      <c r="G9" s="58">
        <f>(G8*Assumptions!$B$61)/10^6</f>
        <v>255.49999999999997</v>
      </c>
      <c r="H9" s="58">
        <f>(H8*Assumptions!$B$61)/10^6</f>
        <v>292</v>
      </c>
      <c r="I9" s="58">
        <f>(I8*Assumptions!$B$61)/10^6</f>
        <v>292</v>
      </c>
      <c r="J9" s="58">
        <f>(J8*Assumptions!$B$61)/10^6</f>
        <v>292</v>
      </c>
      <c r="K9" s="58">
        <f>(K8*Assumptions!$B$61)/10^6</f>
        <v>292</v>
      </c>
      <c r="L9" s="58">
        <f>(L8*Assumptions!$B$61)/10^6</f>
        <v>292</v>
      </c>
      <c r="M9" s="58">
        <f>(M8*Assumptions!$B$61)/10^6</f>
        <v>292</v>
      </c>
      <c r="N9" s="58">
        <f>(N8*Assumptions!$B$61)/10^6</f>
        <v>292</v>
      </c>
    </row>
  </sheetData>
  <mergeCells count="2">
    <mergeCell ref="A3:A4"/>
    <mergeCell ref="D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8"/>
  <sheetViews>
    <sheetView showGridLines="0" workbookViewId="0">
      <pane xSplit="3" ySplit="4" topLeftCell="D23" activePane="bottomRight" state="frozen"/>
      <selection activeCell="P5" sqref="P5"/>
      <selection pane="topRight" activeCell="P5" sqref="P5"/>
      <selection pane="bottomLeft" activeCell="P5" sqref="P5"/>
      <selection pane="bottomRight" activeCell="A2" sqref="A2"/>
    </sheetView>
  </sheetViews>
  <sheetFormatPr defaultColWidth="8.88671875" defaultRowHeight="14.4" x14ac:dyDescent="0.3"/>
  <cols>
    <col min="1" max="1" width="35.33203125" customWidth="1"/>
    <col min="2" max="2" width="6.109375" bestFit="1" customWidth="1"/>
    <col min="3" max="3" width="1.109375" customWidth="1"/>
    <col min="4" max="4" width="8" bestFit="1" customWidth="1"/>
    <col min="5" max="14" width="11.5546875" bestFit="1" customWidth="1"/>
  </cols>
  <sheetData>
    <row r="1" spans="1:14" s="6" customFormat="1" ht="18" x14ac:dyDescent="0.35">
      <c r="A1" s="6" t="s">
        <v>434</v>
      </c>
    </row>
    <row r="2" spans="1:14" x14ac:dyDescent="0.3">
      <c r="A2" t="s">
        <v>3</v>
      </c>
    </row>
    <row r="3" spans="1:14" x14ac:dyDescent="0.3">
      <c r="A3" s="183" t="s">
        <v>36</v>
      </c>
      <c r="B3" s="48"/>
      <c r="C3" s="48"/>
      <c r="D3" s="184" t="s">
        <v>15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4" x14ac:dyDescent="0.3">
      <c r="A4" s="183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268</v>
      </c>
      <c r="D6" s="15"/>
      <c r="E6" s="15">
        <f>'Annual Sales'!E8</f>
        <v>328500</v>
      </c>
      <c r="F6" s="15">
        <f>'Annual Sales'!F8</f>
        <v>438000</v>
      </c>
      <c r="G6" s="15">
        <f>'Annual Sales'!G8</f>
        <v>510999.99999999994</v>
      </c>
      <c r="H6" s="15">
        <f>'Annual Sales'!H8</f>
        <v>584000</v>
      </c>
      <c r="I6" s="15">
        <f>'Annual Sales'!I8</f>
        <v>584000</v>
      </c>
      <c r="J6" s="15">
        <f>'Annual Sales'!J8</f>
        <v>584000</v>
      </c>
      <c r="K6" s="15">
        <f>'Annual Sales'!K8</f>
        <v>584000</v>
      </c>
      <c r="L6" s="15">
        <f>'Annual Sales'!L8</f>
        <v>584000</v>
      </c>
      <c r="M6" s="15">
        <f>'Annual Sales'!M8</f>
        <v>584000</v>
      </c>
      <c r="N6" s="15">
        <f>'Annual Sales'!N8</f>
        <v>584000</v>
      </c>
    </row>
    <row r="7" spans="1:14" x14ac:dyDescent="0.3">
      <c r="A7" t="s">
        <v>99</v>
      </c>
      <c r="D7" s="15"/>
      <c r="E7" s="15">
        <f>((E6*Assumptions!$B$42)/10^6)+Assumptions!G39-Assumptions!F39</f>
        <v>95.121402924999998</v>
      </c>
      <c r="F7" s="15">
        <f>((F6*Assumptions!$B$42)/10^6)+Assumptions!H39-Assumptions!G39</f>
        <v>113.6952039</v>
      </c>
      <c r="G7" s="15">
        <f>((G6*Assumptions!$B$42)/10^6)+Assumptions!I39-Assumptions!H39</f>
        <v>130.54440455</v>
      </c>
      <c r="H7" s="15">
        <f>((H6*Assumptions!$B$42)/10^6)+Assumptions!J39-Assumptions!I39</f>
        <v>148.7936052</v>
      </c>
      <c r="I7" s="15">
        <f>((I6*Assumptions!$B$42)/10^6)+Assumptions!K39-Assumptions!J39</f>
        <v>145.99360519999999</v>
      </c>
      <c r="J7" s="15">
        <f>((J6*Assumptions!$B$42)/10^6)+Assumptions!L39-Assumptions!K39</f>
        <v>145.99360519999999</v>
      </c>
      <c r="K7" s="15">
        <f>((K6*Assumptions!$B$42)/10^6)+Assumptions!M39-Assumptions!L39</f>
        <v>145.99360519999999</v>
      </c>
      <c r="L7" s="15">
        <f>((L6*Assumptions!$B$42)/10^6)+Assumptions!N39-Assumptions!M39</f>
        <v>145.99360519999999</v>
      </c>
      <c r="M7" s="15">
        <f>((M6*Assumptions!$B$42)/10^6)+Assumptions!O39-Assumptions!N39</f>
        <v>145.99360519999999</v>
      </c>
      <c r="N7" s="15">
        <f>((N6*Assumptions!$B$42)/10^6)+Assumptions!P39-Assumptions!O39</f>
        <v>145.99360519999999</v>
      </c>
    </row>
    <row r="8" spans="1:14" x14ac:dyDescent="0.3">
      <c r="A8" t="s">
        <v>100</v>
      </c>
      <c r="D8" s="15"/>
      <c r="E8" s="15">
        <f>(E6*Assumptions!$B$46)/10^6</f>
        <v>1.3140000000000001</v>
      </c>
      <c r="F8" s="15">
        <f>(F6*Assumptions!$B$46)/10^6</f>
        <v>1.752</v>
      </c>
      <c r="G8" s="15">
        <f>(G6*Assumptions!$B$46)/10^6</f>
        <v>2.0439999999999996</v>
      </c>
      <c r="H8" s="15">
        <f>(H6*Assumptions!$B$46)/10^6</f>
        <v>2.3359999999999999</v>
      </c>
      <c r="I8" s="15">
        <f>(I6*Assumptions!$B$46)/10^6</f>
        <v>2.3359999999999999</v>
      </c>
      <c r="J8" s="15">
        <f>(J6*Assumptions!$B$46)/10^6</f>
        <v>2.3359999999999999</v>
      </c>
      <c r="K8" s="15">
        <f>(K6*Assumptions!$B$46)/10^6</f>
        <v>2.3359999999999999</v>
      </c>
      <c r="L8" s="15">
        <f>(L6*Assumptions!$B$46)/10^6</f>
        <v>2.3359999999999999</v>
      </c>
      <c r="M8" s="15">
        <f>(M6*Assumptions!$B$46)/10^6</f>
        <v>2.3359999999999999</v>
      </c>
      <c r="N8" s="15">
        <f>(N6*Assumptions!$B$46)/10^6</f>
        <v>2.3359999999999999</v>
      </c>
    </row>
    <row r="9" spans="1:14" x14ac:dyDescent="0.3">
      <c r="A9" t="s">
        <v>101</v>
      </c>
      <c r="B9" s="11">
        <f>Assumptions!B52</f>
        <v>7.4999999999999997E-2</v>
      </c>
      <c r="D9" s="15"/>
      <c r="E9" s="15">
        <f>Assumptions!B50+Assumptions!B51</f>
        <v>3.2</v>
      </c>
      <c r="F9" s="15">
        <f>E9*(1+$B$9)</f>
        <v>3.44</v>
      </c>
      <c r="G9" s="15">
        <f t="shared" ref="G9:N9" si="0">F9*(1+$B$9)</f>
        <v>3.698</v>
      </c>
      <c r="H9" s="15">
        <f t="shared" si="0"/>
        <v>3.9753499999999997</v>
      </c>
      <c r="I9" s="15">
        <f t="shared" si="0"/>
        <v>4.2735012499999998</v>
      </c>
      <c r="J9" s="15">
        <f t="shared" si="0"/>
        <v>4.59401384375</v>
      </c>
      <c r="K9" s="15">
        <f t="shared" si="0"/>
        <v>4.9385648820312502</v>
      </c>
      <c r="L9" s="15">
        <f t="shared" si="0"/>
        <v>5.308957248183594</v>
      </c>
      <c r="M9" s="15">
        <f t="shared" si="0"/>
        <v>5.707129041797363</v>
      </c>
      <c r="N9" s="15">
        <f t="shared" si="0"/>
        <v>6.1351637199321649</v>
      </c>
    </row>
    <row r="10" spans="1:14" x14ac:dyDescent="0.3">
      <c r="A10" t="s">
        <v>102</v>
      </c>
      <c r="B10" s="4">
        <v>0.1</v>
      </c>
      <c r="D10" s="15"/>
      <c r="E10" s="15">
        <f>$B$10*E7</f>
        <v>9.5121402924999998</v>
      </c>
      <c r="F10" s="15">
        <f t="shared" ref="F10:N10" si="1">$B$10*F7</f>
        <v>11.36952039</v>
      </c>
      <c r="G10" s="15">
        <f t="shared" si="1"/>
        <v>13.054440455</v>
      </c>
      <c r="H10" s="15">
        <f t="shared" si="1"/>
        <v>14.879360520000001</v>
      </c>
      <c r="I10" s="15">
        <f t="shared" si="1"/>
        <v>14.599360519999999</v>
      </c>
      <c r="J10" s="15">
        <f t="shared" si="1"/>
        <v>14.599360519999999</v>
      </c>
      <c r="K10" s="15">
        <f t="shared" si="1"/>
        <v>14.599360519999999</v>
      </c>
      <c r="L10" s="15">
        <f t="shared" si="1"/>
        <v>14.599360519999999</v>
      </c>
      <c r="M10" s="15">
        <f t="shared" si="1"/>
        <v>14.599360519999999</v>
      </c>
      <c r="N10" s="15">
        <f t="shared" si="1"/>
        <v>14.599360519999999</v>
      </c>
    </row>
    <row r="11" spans="1:14" x14ac:dyDescent="0.3">
      <c r="A11" s="54" t="s">
        <v>111</v>
      </c>
      <c r="D11" s="15"/>
      <c r="E11" s="15">
        <f>(E6*Assumptions!$B$66)/10^6</f>
        <v>0</v>
      </c>
      <c r="F11" s="15">
        <f>(F6*Assumptions!$B$66)/10^6</f>
        <v>0</v>
      </c>
      <c r="G11" s="15">
        <f>(G6*Assumptions!$B$66)/10^6</f>
        <v>0</v>
      </c>
      <c r="H11" s="15">
        <f>(H6*Assumptions!$B$66)/10^6</f>
        <v>0</v>
      </c>
      <c r="I11" s="15">
        <f>(I6*Assumptions!$B$66)/10^6</f>
        <v>0</v>
      </c>
      <c r="J11" s="15">
        <f>(J6*Assumptions!$B$66)/10^6</f>
        <v>0</v>
      </c>
      <c r="K11" s="15">
        <f>(K6*Assumptions!$B$66)/10^6</f>
        <v>0</v>
      </c>
      <c r="L11" s="15">
        <f>(L6*Assumptions!$B$66)/10^6</f>
        <v>0</v>
      </c>
      <c r="M11" s="15">
        <f>(M6*Assumptions!$B$66)/10^6</f>
        <v>0</v>
      </c>
      <c r="N11" s="15">
        <f>(N6*Assumptions!$B$66)/10^6</f>
        <v>0</v>
      </c>
    </row>
    <row r="12" spans="1:14" x14ac:dyDescent="0.3">
      <c r="A12" s="54" t="s">
        <v>105</v>
      </c>
      <c r="D12" s="15"/>
      <c r="E12" s="15">
        <f>(E6*Assumptions!$B$67)/10^6</f>
        <v>1.6425000000000001</v>
      </c>
      <c r="F12" s="15">
        <f>(F6*Assumptions!$B$67)/10^6</f>
        <v>2.19</v>
      </c>
      <c r="G12" s="15">
        <f>(G6*Assumptions!$B$67)/10^6</f>
        <v>2.5549999999999997</v>
      </c>
      <c r="H12" s="15">
        <f>(H6*Assumptions!$B$67)/10^6</f>
        <v>2.92</v>
      </c>
      <c r="I12" s="15">
        <f>(I6*Assumptions!$B$67)/10^6</f>
        <v>2.92</v>
      </c>
      <c r="J12" s="15">
        <f>(J6*Assumptions!$B$67)/10^6</f>
        <v>2.92</v>
      </c>
      <c r="K12" s="15">
        <f>(K6*Assumptions!$B$67)/10^6</f>
        <v>2.92</v>
      </c>
      <c r="L12" s="15">
        <f>(L6*Assumptions!$B$67)/10^6</f>
        <v>2.92</v>
      </c>
      <c r="M12" s="15">
        <f>(M6*Assumptions!$B$67)/10^6</f>
        <v>2.92</v>
      </c>
      <c r="N12" s="15">
        <f>(N6*Assumptions!$B$67)/10^6</f>
        <v>2.92</v>
      </c>
    </row>
    <row r="13" spans="1:14" x14ac:dyDescent="0.3">
      <c r="A13" s="54" t="s">
        <v>106</v>
      </c>
      <c r="D13" s="15"/>
      <c r="E13" s="15">
        <f>(E6*Assumptions!$B$68)/10^6</f>
        <v>0</v>
      </c>
      <c r="F13" s="15">
        <f>(F6*Assumptions!$B$68)/10^6</f>
        <v>0</v>
      </c>
      <c r="G13" s="15">
        <f>(G6*Assumptions!$B$68)/10^6</f>
        <v>0</v>
      </c>
      <c r="H13" s="15">
        <f>(H6*Assumptions!$B$68)/10^6</f>
        <v>0</v>
      </c>
      <c r="I13" s="15">
        <f>(I6*Assumptions!$B$68)/10^6</f>
        <v>0</v>
      </c>
      <c r="J13" s="15">
        <f>(J6*Assumptions!$B$68)/10^6</f>
        <v>0</v>
      </c>
      <c r="K13" s="15">
        <f>(K6*Assumptions!$B$68)/10^6</f>
        <v>0</v>
      </c>
      <c r="L13" s="15">
        <f>(L6*Assumptions!$B$68)/10^6</f>
        <v>0</v>
      </c>
      <c r="M13" s="15">
        <f>(M6*Assumptions!$B$68)/10^6</f>
        <v>0</v>
      </c>
      <c r="N13" s="15">
        <f>(N6*Assumptions!$B$68)/10^6</f>
        <v>0</v>
      </c>
    </row>
    <row r="14" spans="1:14" x14ac:dyDescent="0.3">
      <c r="A14" s="54" t="s">
        <v>271</v>
      </c>
      <c r="B14" s="4">
        <v>0.02</v>
      </c>
      <c r="D14" s="15"/>
      <c r="E14" s="15">
        <f>$B$14*'Annual Sales'!E9</f>
        <v>3.2850000000000001</v>
      </c>
      <c r="F14" s="15">
        <f>$B$14*'Annual Sales'!F9</f>
        <v>4.38</v>
      </c>
      <c r="G14" s="15">
        <f>$B$14*'Annual Sales'!G9</f>
        <v>5.1099999999999994</v>
      </c>
      <c r="H14" s="15">
        <f>$B$14*'Annual Sales'!H9</f>
        <v>5.84</v>
      </c>
      <c r="I14" s="15">
        <f>$B$14*'Annual Sales'!I9</f>
        <v>5.84</v>
      </c>
      <c r="J14" s="15">
        <f>$B$14*'Annual Sales'!J9</f>
        <v>5.84</v>
      </c>
      <c r="K14" s="15">
        <f>$B$14*'Annual Sales'!K9</f>
        <v>5.84</v>
      </c>
      <c r="L14" s="15">
        <f>$B$14*'Annual Sales'!L9</f>
        <v>5.84</v>
      </c>
      <c r="M14" s="15">
        <f>$B$14*'Annual Sales'!M9</f>
        <v>5.84</v>
      </c>
      <c r="N14" s="15">
        <f>$B$14*'Annual Sales'!N9</f>
        <v>5.84</v>
      </c>
    </row>
    <row r="15" spans="1:14" x14ac:dyDescent="0.3">
      <c r="A15" t="s">
        <v>113</v>
      </c>
      <c r="D15" s="15"/>
      <c r="E15" s="15">
        <f>IF(E4&gt;Assumptions!$B$74,0,'Annual Sales'!E9*Assumptions!$B$73)</f>
        <v>3.2850000000000001</v>
      </c>
      <c r="F15" s="15">
        <f>IF(F4&gt;Assumptions!$B$74,0,'Annual Sales'!F9*Assumptions!$B$73)</f>
        <v>4.38</v>
      </c>
      <c r="G15" s="15">
        <f>IF(G4&gt;Assumptions!$B$74,0,'Annual Sales'!G9*Assumptions!$B$73)</f>
        <v>5.1099999999999994</v>
      </c>
      <c r="H15" s="15">
        <f>IF(H4&gt;Assumptions!$B$74,0,'Annual Sales'!H9*Assumptions!$B$73)</f>
        <v>5.84</v>
      </c>
      <c r="I15" s="15">
        <f>IF(I4&gt;Assumptions!$B$74,0,'Annual Sales'!I9*Assumptions!$B$73)</f>
        <v>5.84</v>
      </c>
      <c r="J15" s="15">
        <f>IF(J4&gt;Assumptions!$B$74,0,'Annual Sales'!J9*Assumptions!$B$73)</f>
        <v>0</v>
      </c>
      <c r="K15" s="15">
        <f>IF(K4&gt;Assumptions!$B$74,0,'Annual Sales'!K9*Assumptions!$B$73)</f>
        <v>0</v>
      </c>
      <c r="L15" s="15">
        <f>IF(L4&gt;Assumptions!$B$74,0,'Annual Sales'!L9*Assumptions!$B$73)</f>
        <v>0</v>
      </c>
      <c r="M15" s="15">
        <f>IF(M4&gt;Assumptions!$B$74,0,'Annual Sales'!M9*Assumptions!$B$73)</f>
        <v>0</v>
      </c>
      <c r="N15" s="15">
        <f>IF(N4&gt;Assumptions!$B$74,0,'Annual Sales'!N9*Assumptions!$B$73)</f>
        <v>0</v>
      </c>
    </row>
    <row r="16" spans="1:14" x14ac:dyDescent="0.3">
      <c r="A16" t="s">
        <v>114</v>
      </c>
      <c r="B16" s="4">
        <v>0.1</v>
      </c>
      <c r="D16" s="15"/>
      <c r="E16" s="15">
        <f>Assumptions!G31</f>
        <v>1.8</v>
      </c>
      <c r="F16" s="15">
        <f>E16*(1+$B$16)</f>
        <v>1.9800000000000002</v>
      </c>
      <c r="G16" s="15">
        <f t="shared" ref="G16:N16" si="2">F16*(1+$B$16)</f>
        <v>2.1780000000000004</v>
      </c>
      <c r="H16" s="15">
        <f t="shared" si="2"/>
        <v>2.3958000000000008</v>
      </c>
      <c r="I16" s="15">
        <f t="shared" si="2"/>
        <v>2.6353800000000009</v>
      </c>
      <c r="J16" s="15">
        <f t="shared" si="2"/>
        <v>2.8989180000000014</v>
      </c>
      <c r="K16" s="15">
        <f t="shared" si="2"/>
        <v>3.1888098000000018</v>
      </c>
      <c r="L16" s="15">
        <f t="shared" si="2"/>
        <v>3.5076907800000021</v>
      </c>
      <c r="M16" s="15">
        <f t="shared" si="2"/>
        <v>3.8584598580000025</v>
      </c>
      <c r="N16" s="15">
        <f t="shared" si="2"/>
        <v>4.244305843800003</v>
      </c>
    </row>
    <row r="17" spans="1:14" x14ac:dyDescent="0.3">
      <c r="A17" s="55" t="s">
        <v>117</v>
      </c>
      <c r="D17" s="15"/>
      <c r="E17" s="15">
        <f>IF((Assumptions!$B$9-D17)&gt;0,MIN(Assumptions!$B$70,(Assumptions!$B$9-D17)),0)</f>
        <v>0.4</v>
      </c>
      <c r="F17" s="15">
        <f>IF((Assumptions!$B$9-E17)&gt;0,MIN(Assumptions!$B$70,(Assumptions!$B$9-E17)),0)</f>
        <v>0.4</v>
      </c>
      <c r="G17" s="15">
        <f>IF((Assumptions!$B$9-F17)&gt;0,MIN(Assumptions!$B$70,(Assumptions!$B$9-F17)),0)</f>
        <v>0.4</v>
      </c>
      <c r="H17" s="15">
        <f>IF((Assumptions!$B$9-G17)&gt;0,MIN(Assumptions!$B$70,(Assumptions!$B$9-G17)),0)</f>
        <v>0.4</v>
      </c>
      <c r="I17" s="15">
        <f>IF((Assumptions!$B$9-H17)&gt;0,MIN(Assumptions!$B$70,(Assumptions!$B$9-H17)),0)</f>
        <v>0.4</v>
      </c>
      <c r="J17" s="15">
        <f>IF((Assumptions!$B$9-I17)&gt;0,MIN(Assumptions!$B$70,(Assumptions!$B$9-I17)),0)</f>
        <v>0.4</v>
      </c>
      <c r="K17" s="15">
        <f>IF((Assumptions!$B$9-J17)&gt;0,MIN(Assumptions!$B$70,(Assumptions!$B$9-J17)),0)</f>
        <v>0.4</v>
      </c>
      <c r="L17" s="15">
        <f>IF((Assumptions!$B$9-K17)&gt;0,MIN(Assumptions!$B$70,(Assumptions!$B$9-K17)),0)</f>
        <v>0.4</v>
      </c>
      <c r="M17" s="15">
        <f>IF((Assumptions!$B$9-L17)&gt;0,MIN(Assumptions!$B$70,(Assumptions!$B$9-L17)),0)</f>
        <v>0.4</v>
      </c>
      <c r="N17" s="15">
        <f>IF((Assumptions!$B$9-M17)&gt;0,MIN(Assumptions!$B$70,(Assumptions!$B$9-M17)),0)</f>
        <v>0.4</v>
      </c>
    </row>
    <row r="18" spans="1:14" x14ac:dyDescent="0.3">
      <c r="A18" s="5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3">
      <c r="A19" s="56" t="s">
        <v>82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3">
      <c r="A20" t="s">
        <v>16</v>
      </c>
      <c r="D20" s="15"/>
      <c r="E20" s="57">
        <f>D22</f>
        <v>132</v>
      </c>
      <c r="F20" s="57">
        <f t="shared" ref="F20:G20" si="3">E22</f>
        <v>132</v>
      </c>
      <c r="G20" s="57">
        <f t="shared" si="3"/>
        <v>132</v>
      </c>
      <c r="H20" s="57">
        <f t="shared" ref="H20:N20" si="4">G22</f>
        <v>115.5</v>
      </c>
      <c r="I20" s="57">
        <f t="shared" si="4"/>
        <v>99</v>
      </c>
      <c r="J20" s="57">
        <f t="shared" si="4"/>
        <v>82.5</v>
      </c>
      <c r="K20" s="57">
        <f t="shared" si="4"/>
        <v>66</v>
      </c>
      <c r="L20" s="57">
        <f t="shared" si="4"/>
        <v>49.5</v>
      </c>
      <c r="M20" s="57">
        <f t="shared" si="4"/>
        <v>33</v>
      </c>
      <c r="N20" s="57">
        <f t="shared" si="4"/>
        <v>16.5</v>
      </c>
    </row>
    <row r="21" spans="1:14" x14ac:dyDescent="0.3">
      <c r="A21" s="39" t="s">
        <v>84</v>
      </c>
      <c r="D21" s="15"/>
      <c r="E21" s="57">
        <f>IF(E4&gt;Assumptions!$B$56,Assumptions!$B$20/Assumptions!$B$57*Assumptions!$B$58,0)</f>
        <v>0</v>
      </c>
      <c r="F21" s="57">
        <f>IF(F4&gt;Assumptions!$B$56,Assumptions!$B$20/Assumptions!$B$57*Assumptions!$B$58,0)</f>
        <v>0</v>
      </c>
      <c r="G21" s="57">
        <f>IF(G4&gt;Assumptions!$B$56,Assumptions!$B$20/Assumptions!$B$57*Assumptions!$B$58,0)</f>
        <v>16.5</v>
      </c>
      <c r="H21" s="57">
        <f>IF(H4&gt;Assumptions!$B$56,Assumptions!$B$20/Assumptions!$B$57*Assumptions!$B$58,0)</f>
        <v>16.5</v>
      </c>
      <c r="I21" s="57">
        <f>IF(I4&gt;Assumptions!$B$56,Assumptions!$B$20/Assumptions!$B$57*Assumptions!$B$58,0)</f>
        <v>16.5</v>
      </c>
      <c r="J21" s="57">
        <f>IF(J4&gt;Assumptions!$B$56,Assumptions!$B$20/Assumptions!$B$57*Assumptions!$B$58,0)</f>
        <v>16.5</v>
      </c>
      <c r="K21" s="57">
        <f>IF(K4&gt;Assumptions!$B$56,Assumptions!$B$20/Assumptions!$B$57*Assumptions!$B$58,0)</f>
        <v>16.5</v>
      </c>
      <c r="L21" s="57">
        <f>IF(L4&gt;Assumptions!$B$56,Assumptions!$B$20/Assumptions!$B$57*Assumptions!$B$58,0)</f>
        <v>16.5</v>
      </c>
      <c r="M21" s="57">
        <f>IF(M4&gt;Assumptions!$B$56,Assumptions!$B$20/Assumptions!$B$57*Assumptions!$B$58,0)</f>
        <v>16.5</v>
      </c>
      <c r="N21" s="57">
        <f>IF(N4&gt;Assumptions!$B$56,Assumptions!$B$20/Assumptions!$B$57*Assumptions!$B$58,0)</f>
        <v>16.5</v>
      </c>
    </row>
    <row r="22" spans="1:14" x14ac:dyDescent="0.3">
      <c r="A22" s="3" t="s">
        <v>17</v>
      </c>
      <c r="B22" s="3"/>
      <c r="C22" s="3"/>
      <c r="D22" s="61">
        <f>Assumptions!B20</f>
        <v>132</v>
      </c>
      <c r="E22" s="67">
        <f>E20-E21</f>
        <v>132</v>
      </c>
      <c r="F22" s="67">
        <f t="shared" ref="F22:N22" si="5">F20-F21</f>
        <v>132</v>
      </c>
      <c r="G22" s="67">
        <f t="shared" si="5"/>
        <v>115.5</v>
      </c>
      <c r="H22" s="67">
        <f t="shared" si="5"/>
        <v>99</v>
      </c>
      <c r="I22" s="67">
        <f t="shared" si="5"/>
        <v>82.5</v>
      </c>
      <c r="J22" s="67">
        <f t="shared" si="5"/>
        <v>66</v>
      </c>
      <c r="K22" s="67">
        <f t="shared" si="5"/>
        <v>49.5</v>
      </c>
      <c r="L22" s="67">
        <f t="shared" si="5"/>
        <v>33</v>
      </c>
      <c r="M22" s="67">
        <f t="shared" si="5"/>
        <v>16.5</v>
      </c>
      <c r="N22" s="67">
        <f t="shared" si="5"/>
        <v>0</v>
      </c>
    </row>
    <row r="23" spans="1:14" x14ac:dyDescent="0.3">
      <c r="A23" t="s">
        <v>18</v>
      </c>
      <c r="D23" s="15"/>
      <c r="E23" s="15">
        <f>AVERAGE(E22,E20)*Assumptions!$F$55</f>
        <v>17.16</v>
      </c>
      <c r="F23" s="15">
        <f>AVERAGE(F22,F20)*Assumptions!$F$55</f>
        <v>17.16</v>
      </c>
      <c r="G23" s="15">
        <f>AVERAGE(G22,G20)*Assumptions!$F$55</f>
        <v>16.087500000000002</v>
      </c>
      <c r="H23" s="15">
        <f>AVERAGE(H22,H20)*Assumptions!$F$55</f>
        <v>13.942500000000001</v>
      </c>
      <c r="I23" s="15">
        <f>AVERAGE(I22,I20)*Assumptions!$F$55</f>
        <v>11.797500000000001</v>
      </c>
      <c r="J23" s="15">
        <f>AVERAGE(J22,J20)*Assumptions!$F$55</f>
        <v>9.6524999999999999</v>
      </c>
      <c r="K23" s="15">
        <f>AVERAGE(K22,K20)*Assumptions!$F$55</f>
        <v>7.5075000000000003</v>
      </c>
      <c r="L23" s="15">
        <f>AVERAGE(L22,L20)*Assumptions!$F$55</f>
        <v>5.3624999999999998</v>
      </c>
      <c r="M23" s="15">
        <f>AVERAGE(M22,M20)*Assumptions!$F$55</f>
        <v>3.2175000000000002</v>
      </c>
      <c r="N23" s="15">
        <f>AVERAGE(N22,N20)*Assumptions!$F$55</f>
        <v>1.0725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3">
      <c r="A25" s="23" t="s">
        <v>118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t="s">
        <v>119</v>
      </c>
      <c r="D26" s="15"/>
      <c r="E26" s="15">
        <f>Assumptions!G41</f>
        <v>17.3</v>
      </c>
      <c r="F26" s="15">
        <f>Assumptions!H41</f>
        <v>22.9</v>
      </c>
      <c r="G26" s="15">
        <f>Assumptions!I41</f>
        <v>26.7</v>
      </c>
      <c r="H26" s="15">
        <f>Assumptions!J41</f>
        <v>30.5</v>
      </c>
      <c r="I26" s="15">
        <f>Assumptions!K41</f>
        <v>30.5</v>
      </c>
      <c r="J26" s="15">
        <f>Assumptions!L41</f>
        <v>30.5</v>
      </c>
      <c r="K26" s="15">
        <f>Assumptions!M41</f>
        <v>30.5</v>
      </c>
      <c r="L26" s="15">
        <f>Assumptions!N41</f>
        <v>30.5</v>
      </c>
      <c r="M26" s="15">
        <f>Assumptions!O41</f>
        <v>30.5</v>
      </c>
      <c r="N26" s="15">
        <f>Assumptions!P41</f>
        <v>30.5</v>
      </c>
    </row>
    <row r="27" spans="1:14" x14ac:dyDescent="0.3">
      <c r="A27" t="s">
        <v>120</v>
      </c>
      <c r="D27" s="15"/>
      <c r="E27" s="15">
        <f>E26*Assumptions!$F$56</f>
        <v>2.0760000000000001</v>
      </c>
      <c r="F27" s="15">
        <f>F26*Assumptions!$F$56</f>
        <v>2.7479999999999998</v>
      </c>
      <c r="G27" s="15">
        <f>G26*Assumptions!$F$56</f>
        <v>3.2039999999999997</v>
      </c>
      <c r="H27" s="15">
        <f>H26*Assumptions!$F$56</f>
        <v>3.6599999999999997</v>
      </c>
      <c r="I27" s="15">
        <f>I26*Assumptions!$F$56</f>
        <v>3.6599999999999997</v>
      </c>
      <c r="J27" s="15">
        <f>J26*Assumptions!$F$56</f>
        <v>3.6599999999999997</v>
      </c>
      <c r="K27" s="15">
        <f>K26*Assumptions!$F$56</f>
        <v>3.6599999999999997</v>
      </c>
      <c r="L27" s="15">
        <f>L26*Assumptions!$F$56</f>
        <v>3.6599999999999997</v>
      </c>
      <c r="M27" s="15">
        <f>M26*Assumptions!$F$56</f>
        <v>3.6599999999999997</v>
      </c>
      <c r="N27" s="15">
        <f>N26*Assumptions!$F$56</f>
        <v>3.6599999999999997</v>
      </c>
    </row>
    <row r="28" spans="1:14" x14ac:dyDescent="0.3"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3">
      <c r="A29" s="9" t="s">
        <v>121</v>
      </c>
      <c r="B29" s="9"/>
      <c r="C29" s="9"/>
      <c r="D29" s="58"/>
      <c r="E29" s="58">
        <f>E23+E27</f>
        <v>19.236000000000001</v>
      </c>
      <c r="F29" s="58">
        <f t="shared" ref="F29:N29" si="6">F23+F27</f>
        <v>19.908000000000001</v>
      </c>
      <c r="G29" s="58">
        <f t="shared" si="6"/>
        <v>19.291500000000003</v>
      </c>
      <c r="H29" s="58">
        <f t="shared" si="6"/>
        <v>17.602499999999999</v>
      </c>
      <c r="I29" s="58">
        <f t="shared" si="6"/>
        <v>15.457500000000001</v>
      </c>
      <c r="J29" s="58">
        <f t="shared" si="6"/>
        <v>13.3125</v>
      </c>
      <c r="K29" s="58">
        <f t="shared" si="6"/>
        <v>11.1675</v>
      </c>
      <c r="L29" s="58">
        <f t="shared" si="6"/>
        <v>9.0224999999999991</v>
      </c>
      <c r="M29" s="58">
        <f t="shared" si="6"/>
        <v>6.8774999999999995</v>
      </c>
      <c r="N29" s="58">
        <f t="shared" si="6"/>
        <v>4.7324999999999999</v>
      </c>
    </row>
    <row r="30" spans="1:14" x14ac:dyDescent="0.3"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3">
      <c r="A31" s="1" t="s">
        <v>122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3">
      <c r="A32" s="16" t="s">
        <v>38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3">
      <c r="A33" t="s">
        <v>123</v>
      </c>
      <c r="D33" s="15"/>
      <c r="E33" s="15">
        <f>D35</f>
        <v>10.9</v>
      </c>
      <c r="F33" s="15">
        <f t="shared" ref="F33:N33" si="7">E35</f>
        <v>10.9</v>
      </c>
      <c r="G33" s="15">
        <f t="shared" si="7"/>
        <v>10.9</v>
      </c>
      <c r="H33" s="15">
        <f t="shared" si="7"/>
        <v>10.9</v>
      </c>
      <c r="I33" s="15">
        <f t="shared" si="7"/>
        <v>10.9</v>
      </c>
      <c r="J33" s="15">
        <f t="shared" si="7"/>
        <v>10.9</v>
      </c>
      <c r="K33" s="15">
        <f t="shared" si="7"/>
        <v>10.9</v>
      </c>
      <c r="L33" s="15">
        <f t="shared" si="7"/>
        <v>10.9</v>
      </c>
      <c r="M33" s="15">
        <f t="shared" si="7"/>
        <v>10.9</v>
      </c>
      <c r="N33" s="15">
        <f t="shared" si="7"/>
        <v>10.9</v>
      </c>
    </row>
    <row r="34" spans="1:14" x14ac:dyDescent="0.3">
      <c r="A34" t="s">
        <v>124</v>
      </c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pans="1:14" x14ac:dyDescent="0.3">
      <c r="A35" s="3" t="s">
        <v>125</v>
      </c>
      <c r="B35" s="3"/>
      <c r="C35" s="3"/>
      <c r="D35" s="61">
        <f>Assumptions!B7</f>
        <v>10.9</v>
      </c>
      <c r="E35" s="61">
        <f>SUM(E33:E34)</f>
        <v>10.9</v>
      </c>
      <c r="F35" s="61">
        <f t="shared" ref="F35:N35" si="8">SUM(F33:F34)</f>
        <v>10.9</v>
      </c>
      <c r="G35" s="61">
        <f t="shared" si="8"/>
        <v>10.9</v>
      </c>
      <c r="H35" s="61">
        <f t="shared" si="8"/>
        <v>10.9</v>
      </c>
      <c r="I35" s="61">
        <f t="shared" si="8"/>
        <v>10.9</v>
      </c>
      <c r="J35" s="61">
        <f t="shared" si="8"/>
        <v>10.9</v>
      </c>
      <c r="K35" s="61">
        <f t="shared" si="8"/>
        <v>10.9</v>
      </c>
      <c r="L35" s="61">
        <f t="shared" si="8"/>
        <v>10.9</v>
      </c>
      <c r="M35" s="61">
        <f t="shared" si="8"/>
        <v>10.9</v>
      </c>
      <c r="N35" s="61">
        <f t="shared" si="8"/>
        <v>10.9</v>
      </c>
    </row>
    <row r="36" spans="1:14" x14ac:dyDescent="0.3">
      <c r="A36" t="s">
        <v>126</v>
      </c>
      <c r="D36" s="15"/>
      <c r="E36" s="88">
        <f>IF(Assumptions!$B$28&gt;1,IF(Assumptions!$B$28&gt;2,Assumptions!$H$61,Assumptions!$G$61),Assumptions!$F$61)</f>
        <v>3.3399999999999999E-2</v>
      </c>
      <c r="F36" s="88">
        <f>IF(Assumptions!$B$28&gt;1,IF(Assumptions!$B$28&gt;2,Assumptions!$H$61,Assumptions!$G$61),Assumptions!$F$61)</f>
        <v>3.3399999999999999E-2</v>
      </c>
      <c r="G36" s="88">
        <f>IF(Assumptions!$B$28&gt;1,IF(Assumptions!$B$28&gt;2,Assumptions!$H$61,Assumptions!$G$61),Assumptions!$F$61)</f>
        <v>3.3399999999999999E-2</v>
      </c>
      <c r="H36" s="88">
        <f>IF(Assumptions!$B$28&gt;1,IF(Assumptions!$B$28&gt;2,Assumptions!$H$61,Assumptions!$G$61),Assumptions!$F$61)</f>
        <v>3.3399999999999999E-2</v>
      </c>
      <c r="I36" s="88">
        <f>IF(Assumptions!$B$28&gt;1,IF(Assumptions!$B$28&gt;2,Assumptions!$H$61,Assumptions!$G$61),Assumptions!$F$61)</f>
        <v>3.3399999999999999E-2</v>
      </c>
      <c r="J36" s="88">
        <f>IF(Assumptions!$B$28&gt;1,IF(Assumptions!$B$28&gt;2,Assumptions!$H$61,Assumptions!$G$61),Assumptions!$F$61)</f>
        <v>3.3399999999999999E-2</v>
      </c>
      <c r="K36" s="88">
        <f>IF(Assumptions!$B$28&gt;1,IF(Assumptions!$B$28&gt;2,Assumptions!$H$61,Assumptions!$G$61),Assumptions!$F$61)</f>
        <v>3.3399999999999999E-2</v>
      </c>
      <c r="L36" s="88">
        <f>IF(Assumptions!$B$28&gt;1,IF(Assumptions!$B$28&gt;2,Assumptions!$H$61,Assumptions!$G$61),Assumptions!$F$61)</f>
        <v>3.3399999999999999E-2</v>
      </c>
      <c r="M36" s="88">
        <f>IF(Assumptions!$B$28&gt;1,IF(Assumptions!$B$28&gt;2,Assumptions!$H$61,Assumptions!$G$61),Assumptions!$F$61)</f>
        <v>3.3399999999999999E-2</v>
      </c>
      <c r="N36" s="88">
        <f>IF(Assumptions!$B$28&gt;1,IF(Assumptions!$B$28&gt;2,Assumptions!$H$61,Assumptions!$G$61),Assumptions!$F$61)</f>
        <v>3.3399999999999999E-2</v>
      </c>
    </row>
    <row r="37" spans="1:14" x14ac:dyDescent="0.3">
      <c r="A37" t="s">
        <v>19</v>
      </c>
      <c r="D37" s="15"/>
      <c r="E37" s="15">
        <f>E35*E36</f>
        <v>0.36405999999999999</v>
      </c>
      <c r="F37" s="15">
        <f t="shared" ref="F37:N37" si="9">F35*F36</f>
        <v>0.36405999999999999</v>
      </c>
      <c r="G37" s="15">
        <f t="shared" si="9"/>
        <v>0.36405999999999999</v>
      </c>
      <c r="H37" s="15">
        <f t="shared" si="9"/>
        <v>0.36405999999999999</v>
      </c>
      <c r="I37" s="15">
        <f t="shared" si="9"/>
        <v>0.36405999999999999</v>
      </c>
      <c r="J37" s="15">
        <f t="shared" si="9"/>
        <v>0.36405999999999999</v>
      </c>
      <c r="K37" s="15">
        <f t="shared" si="9"/>
        <v>0.36405999999999999</v>
      </c>
      <c r="L37" s="15">
        <f t="shared" si="9"/>
        <v>0.36405999999999999</v>
      </c>
      <c r="M37" s="15">
        <f t="shared" si="9"/>
        <v>0.36405999999999999</v>
      </c>
      <c r="N37" s="15">
        <f t="shared" si="9"/>
        <v>0.36405999999999999</v>
      </c>
    </row>
    <row r="38" spans="1:14" x14ac:dyDescent="0.3"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3">
      <c r="A39" s="16" t="s">
        <v>39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3">
      <c r="A40" t="s">
        <v>123</v>
      </c>
      <c r="D40" s="15"/>
      <c r="E40" s="15">
        <f>D42</f>
        <v>154.80000000000001</v>
      </c>
      <c r="F40" s="15">
        <f t="shared" ref="F40:N40" si="10">E42</f>
        <v>154.80000000000001</v>
      </c>
      <c r="G40" s="15">
        <f t="shared" si="10"/>
        <v>154.80000000000001</v>
      </c>
      <c r="H40" s="15">
        <f t="shared" si="10"/>
        <v>157.30000000000001</v>
      </c>
      <c r="I40" s="15">
        <f t="shared" si="10"/>
        <v>159.80000000000001</v>
      </c>
      <c r="J40" s="15">
        <f t="shared" si="10"/>
        <v>162.30000000000001</v>
      </c>
      <c r="K40" s="15">
        <f t="shared" si="10"/>
        <v>164.8</v>
      </c>
      <c r="L40" s="15">
        <f t="shared" si="10"/>
        <v>169.8</v>
      </c>
      <c r="M40" s="15">
        <f t="shared" si="10"/>
        <v>174.8</v>
      </c>
      <c r="N40" s="15">
        <f t="shared" si="10"/>
        <v>179.8</v>
      </c>
    </row>
    <row r="41" spans="1:14" x14ac:dyDescent="0.3">
      <c r="A41" t="s">
        <v>124</v>
      </c>
      <c r="D41" s="15"/>
      <c r="E41" s="15">
        <f>Assumptions!G35</f>
        <v>0</v>
      </c>
      <c r="F41" s="15">
        <f>Assumptions!H35</f>
        <v>0</v>
      </c>
      <c r="G41" s="15">
        <f>Assumptions!I35</f>
        <v>2.5</v>
      </c>
      <c r="H41" s="15">
        <f>Assumptions!J35</f>
        <v>2.5</v>
      </c>
      <c r="I41" s="15">
        <f>Assumptions!K35</f>
        <v>2.5</v>
      </c>
      <c r="J41" s="15">
        <f>Assumptions!L35</f>
        <v>2.5</v>
      </c>
      <c r="K41" s="15">
        <f>Assumptions!M35</f>
        <v>5</v>
      </c>
      <c r="L41" s="15">
        <f>Assumptions!N35</f>
        <v>5</v>
      </c>
      <c r="M41" s="15">
        <f>Assumptions!O35</f>
        <v>5</v>
      </c>
      <c r="N41" s="15">
        <f>Assumptions!P35</f>
        <v>5</v>
      </c>
    </row>
    <row r="42" spans="1:14" x14ac:dyDescent="0.3">
      <c r="A42" s="3" t="s">
        <v>125</v>
      </c>
      <c r="B42" s="3"/>
      <c r="C42" s="3"/>
      <c r="D42" s="61">
        <f>Assumptions!B8</f>
        <v>154.80000000000001</v>
      </c>
      <c r="E42" s="61">
        <f>SUM(E40:E41)</f>
        <v>154.80000000000001</v>
      </c>
      <c r="F42" s="61">
        <f t="shared" ref="F42" si="11">SUM(F40:F41)</f>
        <v>154.80000000000001</v>
      </c>
      <c r="G42" s="61">
        <f t="shared" ref="G42" si="12">SUM(G40:G41)</f>
        <v>157.30000000000001</v>
      </c>
      <c r="H42" s="61">
        <f t="shared" ref="H42" si="13">SUM(H40:H41)</f>
        <v>159.80000000000001</v>
      </c>
      <c r="I42" s="61">
        <f t="shared" ref="I42" si="14">SUM(I40:I41)</f>
        <v>162.30000000000001</v>
      </c>
      <c r="J42" s="61">
        <f t="shared" ref="J42" si="15">SUM(J40:J41)</f>
        <v>164.8</v>
      </c>
      <c r="K42" s="61">
        <f t="shared" ref="K42" si="16">SUM(K40:K41)</f>
        <v>169.8</v>
      </c>
      <c r="L42" s="61">
        <f t="shared" ref="L42" si="17">SUM(L40:L41)</f>
        <v>174.8</v>
      </c>
      <c r="M42" s="61">
        <f t="shared" ref="M42" si="18">SUM(M40:M41)</f>
        <v>179.8</v>
      </c>
      <c r="N42" s="61">
        <f t="shared" ref="N42" si="19">SUM(N40:N41)</f>
        <v>184.8</v>
      </c>
    </row>
    <row r="43" spans="1:14" x14ac:dyDescent="0.3">
      <c r="A43" t="s">
        <v>126</v>
      </c>
      <c r="D43" s="15"/>
      <c r="E43" s="88">
        <f>IF(Assumptions!$B$28&gt;1,IF(Assumptions!$B$28&gt;2,Assumptions!$H$62,Assumptions!$G$62),Assumptions!$F$62)</f>
        <v>8.09E-2</v>
      </c>
      <c r="F43" s="88">
        <f>IF(Assumptions!$B$28&gt;1,IF(Assumptions!$B$28&gt;2,Assumptions!$H$62,Assumptions!$G$62),Assumptions!$F$62)</f>
        <v>8.09E-2</v>
      </c>
      <c r="G43" s="88">
        <f>IF(Assumptions!$B$28&gt;1,IF(Assumptions!$B$28&gt;2,Assumptions!$H$62,Assumptions!$G$62),Assumptions!$F$62)</f>
        <v>8.09E-2</v>
      </c>
      <c r="H43" s="88">
        <f>IF(Assumptions!$B$28&gt;1,IF(Assumptions!$B$28&gt;2,Assumptions!$H$62,Assumptions!$G$62),Assumptions!$F$62)</f>
        <v>8.09E-2</v>
      </c>
      <c r="I43" s="88">
        <f>IF(Assumptions!$B$28&gt;1,IF(Assumptions!$B$28&gt;2,Assumptions!$H$62,Assumptions!$G$62),Assumptions!$F$62)</f>
        <v>8.09E-2</v>
      </c>
      <c r="J43" s="88">
        <f>IF(Assumptions!$B$28&gt;1,IF(Assumptions!$B$28&gt;2,Assumptions!$H$62,Assumptions!$G$62),Assumptions!$F$62)</f>
        <v>8.09E-2</v>
      </c>
      <c r="K43" s="88">
        <f>IF(Assumptions!$B$28&gt;1,IF(Assumptions!$B$28&gt;2,Assumptions!$H$62,Assumptions!$G$62),Assumptions!$F$62)</f>
        <v>8.09E-2</v>
      </c>
      <c r="L43" s="88">
        <f>IF(Assumptions!$B$28&gt;1,IF(Assumptions!$B$28&gt;2,Assumptions!$H$62,Assumptions!$G$62),Assumptions!$F$62)</f>
        <v>8.09E-2</v>
      </c>
      <c r="M43" s="88">
        <f>IF(Assumptions!$B$28&gt;1,IF(Assumptions!$B$28&gt;2,Assumptions!$H$62,Assumptions!$G$62),Assumptions!$F$62)</f>
        <v>8.09E-2</v>
      </c>
      <c r="N43" s="88">
        <f>IF(Assumptions!$B$28&gt;1,IF(Assumptions!$B$28&gt;2,Assumptions!$H$62,Assumptions!$G$62),Assumptions!$F$62)</f>
        <v>8.09E-2</v>
      </c>
    </row>
    <row r="44" spans="1:14" s="155" customFormat="1" x14ac:dyDescent="0.3">
      <c r="A44" s="155" t="s">
        <v>19</v>
      </c>
      <c r="D44" s="156"/>
      <c r="E44" s="156">
        <f>E42*E43</f>
        <v>12.52332</v>
      </c>
      <c r="F44" s="156">
        <f>F42*Assumptions!$G$62</f>
        <v>12.52332</v>
      </c>
      <c r="G44" s="156">
        <f>G42*Assumptions!$G$62</f>
        <v>12.725570000000001</v>
      </c>
      <c r="H44" s="156">
        <f>H42*Assumptions!$G$62</f>
        <v>12.927820000000001</v>
      </c>
      <c r="I44" s="156">
        <f>I42*Assumptions!$G$62</f>
        <v>13.130070000000002</v>
      </c>
      <c r="J44" s="156">
        <f>J42*Assumptions!$G$62</f>
        <v>13.332320000000001</v>
      </c>
      <c r="K44" s="156">
        <f>K42*Assumptions!$G$62</f>
        <v>13.736820000000002</v>
      </c>
      <c r="L44" s="156">
        <f>L42*Assumptions!$G$62</f>
        <v>14.14132</v>
      </c>
      <c r="M44" s="156">
        <f>M42*Assumptions!$G$62</f>
        <v>14.545820000000001</v>
      </c>
      <c r="N44" s="156">
        <f>N42*Assumptions!$G$62</f>
        <v>14.950320000000001</v>
      </c>
    </row>
    <row r="45" spans="1:14" x14ac:dyDescent="0.3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3">
      <c r="A46" s="9" t="s">
        <v>131</v>
      </c>
      <c r="B46" s="9"/>
      <c r="C46" s="9"/>
      <c r="D46" s="58"/>
      <c r="E46" s="58">
        <f>E37+E44</f>
        <v>12.88738</v>
      </c>
      <c r="F46" s="58">
        <f t="shared" ref="F46:N46" si="20">F37+F44</f>
        <v>12.88738</v>
      </c>
      <c r="G46" s="58">
        <f t="shared" si="20"/>
        <v>13.089630000000001</v>
      </c>
      <c r="H46" s="58">
        <f t="shared" si="20"/>
        <v>13.291880000000001</v>
      </c>
      <c r="I46" s="58">
        <f t="shared" si="20"/>
        <v>13.494130000000002</v>
      </c>
      <c r="J46" s="58">
        <f t="shared" si="20"/>
        <v>13.696380000000001</v>
      </c>
      <c r="K46" s="58">
        <f t="shared" si="20"/>
        <v>14.100880000000002</v>
      </c>
      <c r="L46" s="58">
        <f t="shared" si="20"/>
        <v>14.505380000000001</v>
      </c>
      <c r="M46" s="58">
        <f t="shared" si="20"/>
        <v>14.909880000000001</v>
      </c>
      <c r="N46" s="58">
        <f t="shared" si="20"/>
        <v>15.314380000000002</v>
      </c>
    </row>
    <row r="47" spans="1:14" x14ac:dyDescent="0.3">
      <c r="A47" s="10"/>
      <c r="B47" s="10"/>
      <c r="C47" s="10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4" x14ac:dyDescent="0.3">
      <c r="A48" s="1" t="s">
        <v>127</v>
      </c>
      <c r="B48" s="10"/>
      <c r="C48" s="10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</row>
    <row r="49" spans="1:14" x14ac:dyDescent="0.3">
      <c r="A49" s="16" t="s">
        <v>38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3">
      <c r="A50" t="s">
        <v>123</v>
      </c>
      <c r="D50" s="15"/>
      <c r="E50" s="15">
        <f>D55</f>
        <v>10.9</v>
      </c>
      <c r="F50" s="15">
        <f>E55</f>
        <v>9.81</v>
      </c>
      <c r="G50" s="15">
        <f t="shared" ref="G50:N50" si="21">F55</f>
        <v>8.8290000000000006</v>
      </c>
      <c r="H50" s="15">
        <f t="shared" si="21"/>
        <v>7.9461000000000004</v>
      </c>
      <c r="I50" s="15">
        <f t="shared" si="21"/>
        <v>7.1514900000000008</v>
      </c>
      <c r="J50" s="15">
        <f t="shared" si="21"/>
        <v>6.4363410000000005</v>
      </c>
      <c r="K50" s="15">
        <f t="shared" si="21"/>
        <v>5.7927069000000007</v>
      </c>
      <c r="L50" s="15">
        <f t="shared" si="21"/>
        <v>5.2134362100000002</v>
      </c>
      <c r="M50" s="15">
        <f t="shared" si="21"/>
        <v>4.6920925890000005</v>
      </c>
      <c r="N50" s="15">
        <f t="shared" si="21"/>
        <v>4.2228833301000002</v>
      </c>
    </row>
    <row r="51" spans="1:14" x14ac:dyDescent="0.3">
      <c r="A51" t="s">
        <v>124</v>
      </c>
      <c r="D51" s="15"/>
      <c r="E51" s="15">
        <f>E34</f>
        <v>0</v>
      </c>
      <c r="F51" s="15">
        <f t="shared" ref="F51:N51" si="22">F34</f>
        <v>0</v>
      </c>
      <c r="G51" s="15">
        <f t="shared" si="22"/>
        <v>0</v>
      </c>
      <c r="H51" s="15">
        <f t="shared" si="22"/>
        <v>0</v>
      </c>
      <c r="I51" s="15">
        <f t="shared" si="22"/>
        <v>0</v>
      </c>
      <c r="J51" s="15">
        <f t="shared" si="22"/>
        <v>0</v>
      </c>
      <c r="K51" s="15">
        <f t="shared" si="22"/>
        <v>0</v>
      </c>
      <c r="L51" s="15">
        <f t="shared" si="22"/>
        <v>0</v>
      </c>
      <c r="M51" s="15">
        <f t="shared" si="22"/>
        <v>0</v>
      </c>
      <c r="N51" s="15">
        <f t="shared" si="22"/>
        <v>0</v>
      </c>
    </row>
    <row r="52" spans="1:14" x14ac:dyDescent="0.3">
      <c r="A52" s="3" t="s">
        <v>129</v>
      </c>
      <c r="B52" s="3"/>
      <c r="C52" s="3"/>
      <c r="D52" s="61"/>
      <c r="E52" s="61">
        <f>SUM(E50:E51)</f>
        <v>10.9</v>
      </c>
      <c r="F52" s="61">
        <f t="shared" ref="F52:N52" si="23">SUM(F50:F51)</f>
        <v>9.81</v>
      </c>
      <c r="G52" s="61">
        <f t="shared" si="23"/>
        <v>8.8290000000000006</v>
      </c>
      <c r="H52" s="61">
        <f t="shared" si="23"/>
        <v>7.9461000000000004</v>
      </c>
      <c r="I52" s="61">
        <f t="shared" si="23"/>
        <v>7.1514900000000008</v>
      </c>
      <c r="J52" s="61">
        <f t="shared" si="23"/>
        <v>6.4363410000000005</v>
      </c>
      <c r="K52" s="61">
        <f t="shared" si="23"/>
        <v>5.7927069000000007</v>
      </c>
      <c r="L52" s="61">
        <f t="shared" si="23"/>
        <v>5.2134362100000002</v>
      </c>
      <c r="M52" s="61">
        <f t="shared" si="23"/>
        <v>4.6920925890000005</v>
      </c>
      <c r="N52" s="61">
        <f t="shared" si="23"/>
        <v>4.2228833301000002</v>
      </c>
    </row>
    <row r="53" spans="1:14" x14ac:dyDescent="0.3">
      <c r="A53" t="s">
        <v>126</v>
      </c>
      <c r="D53" s="15"/>
      <c r="E53" s="88">
        <f>IF(Assumptions!$B$28&gt;1,IF(Assumptions!$B$28&gt;2,Assumptions!$H$66,Assumptions!$G$66),Assumptions!$F$66)</f>
        <v>0.1</v>
      </c>
      <c r="F53" s="88">
        <f>IF(Assumptions!$B$28&gt;1,IF(Assumptions!$B$28&gt;2,Assumptions!$H$66,Assumptions!$G$66),Assumptions!$F$66)</f>
        <v>0.1</v>
      </c>
      <c r="G53" s="88">
        <f>IF(Assumptions!$B$28&gt;1,IF(Assumptions!$B$28&gt;2,Assumptions!$H$66,Assumptions!$G$66),Assumptions!$F$66)</f>
        <v>0.1</v>
      </c>
      <c r="H53" s="88">
        <f>IF(Assumptions!$B$28&gt;1,IF(Assumptions!$B$28&gt;2,Assumptions!$H$66,Assumptions!$G$66),Assumptions!$F$66)</f>
        <v>0.1</v>
      </c>
      <c r="I53" s="88">
        <f>IF(Assumptions!$B$28&gt;1,IF(Assumptions!$B$28&gt;2,Assumptions!$H$66,Assumptions!$G$66),Assumptions!$F$66)</f>
        <v>0.1</v>
      </c>
      <c r="J53" s="88">
        <f>IF(Assumptions!$B$28&gt;1,IF(Assumptions!$B$28&gt;2,Assumptions!$H$66,Assumptions!$G$66),Assumptions!$F$66)</f>
        <v>0.1</v>
      </c>
      <c r="K53" s="88">
        <f>IF(Assumptions!$B$28&gt;1,IF(Assumptions!$B$28&gt;2,Assumptions!$H$66,Assumptions!$G$66),Assumptions!$F$66)</f>
        <v>0.1</v>
      </c>
      <c r="L53" s="88">
        <f>IF(Assumptions!$B$28&gt;1,IF(Assumptions!$B$28&gt;2,Assumptions!$H$66,Assumptions!$G$66),Assumptions!$F$66)</f>
        <v>0.1</v>
      </c>
      <c r="M53" s="88">
        <f>IF(Assumptions!$B$28&gt;1,IF(Assumptions!$B$28&gt;2,Assumptions!$H$66,Assumptions!$G$66),Assumptions!$F$66)</f>
        <v>0.1</v>
      </c>
      <c r="N53" s="88">
        <f>IF(Assumptions!$B$28&gt;1,IF(Assumptions!$B$28&gt;2,Assumptions!$H$66,Assumptions!$G$66),Assumptions!$F$66)</f>
        <v>0.1</v>
      </c>
    </row>
    <row r="54" spans="1:14" x14ac:dyDescent="0.3">
      <c r="A54" t="s">
        <v>19</v>
      </c>
      <c r="D54" s="15"/>
      <c r="E54" s="15">
        <f>E52*E53</f>
        <v>1.0900000000000001</v>
      </c>
      <c r="F54" s="15">
        <f t="shared" ref="F54:N54" si="24">F52*F53</f>
        <v>0.98100000000000009</v>
      </c>
      <c r="G54" s="15">
        <f t="shared" si="24"/>
        <v>0.88290000000000013</v>
      </c>
      <c r="H54" s="15">
        <f t="shared" si="24"/>
        <v>0.79461000000000004</v>
      </c>
      <c r="I54" s="15">
        <f t="shared" si="24"/>
        <v>0.71514900000000015</v>
      </c>
      <c r="J54" s="15">
        <f t="shared" si="24"/>
        <v>0.6436341000000001</v>
      </c>
      <c r="K54" s="15">
        <f t="shared" si="24"/>
        <v>0.57927069000000009</v>
      </c>
      <c r="L54" s="15">
        <f t="shared" si="24"/>
        <v>0.52134362100000009</v>
      </c>
      <c r="M54" s="15">
        <f t="shared" si="24"/>
        <v>0.46920925890000009</v>
      </c>
      <c r="N54" s="15">
        <f t="shared" si="24"/>
        <v>0.42228833301000002</v>
      </c>
    </row>
    <row r="55" spans="1:14" x14ac:dyDescent="0.3">
      <c r="A55" s="3" t="s">
        <v>125</v>
      </c>
      <c r="B55" s="3"/>
      <c r="C55" s="3"/>
      <c r="D55" s="61">
        <f>Assumptions!B7</f>
        <v>10.9</v>
      </c>
      <c r="E55" s="61">
        <f>E52-E54</f>
        <v>9.81</v>
      </c>
      <c r="F55" s="61">
        <f t="shared" ref="F55:N55" si="25">F52-F54</f>
        <v>8.8290000000000006</v>
      </c>
      <c r="G55" s="61">
        <f t="shared" si="25"/>
        <v>7.9461000000000004</v>
      </c>
      <c r="H55" s="61">
        <f t="shared" si="25"/>
        <v>7.1514900000000008</v>
      </c>
      <c r="I55" s="61">
        <f t="shared" si="25"/>
        <v>6.4363410000000005</v>
      </c>
      <c r="J55" s="61">
        <f t="shared" si="25"/>
        <v>5.7927069000000007</v>
      </c>
      <c r="K55" s="61">
        <f t="shared" si="25"/>
        <v>5.2134362100000002</v>
      </c>
      <c r="L55" s="61">
        <f t="shared" si="25"/>
        <v>4.6920925890000005</v>
      </c>
      <c r="M55" s="61">
        <f t="shared" si="25"/>
        <v>4.2228833301000002</v>
      </c>
      <c r="N55" s="61">
        <f t="shared" si="25"/>
        <v>3.8005949970900001</v>
      </c>
    </row>
    <row r="56" spans="1:14" x14ac:dyDescent="0.3">
      <c r="A56" s="10"/>
      <c r="B56" s="10"/>
      <c r="C56" s="10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</row>
    <row r="57" spans="1:14" x14ac:dyDescent="0.3">
      <c r="A57" s="59" t="s">
        <v>39</v>
      </c>
      <c r="B57" s="10"/>
      <c r="C57" s="10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</row>
    <row r="58" spans="1:14" x14ac:dyDescent="0.3">
      <c r="A58" t="s">
        <v>123</v>
      </c>
      <c r="D58" s="15"/>
      <c r="E58" s="15">
        <f>D63</f>
        <v>154.80000000000001</v>
      </c>
      <c r="F58" s="15">
        <f>E63</f>
        <v>116.10000000000001</v>
      </c>
      <c r="G58" s="15">
        <f t="shared" ref="G58:N58" si="26">F63</f>
        <v>87.075000000000003</v>
      </c>
      <c r="H58" s="15">
        <f t="shared" si="26"/>
        <v>67.181250000000006</v>
      </c>
      <c r="I58" s="15">
        <f t="shared" si="26"/>
        <v>52.260937500000004</v>
      </c>
      <c r="J58" s="15">
        <f t="shared" si="26"/>
        <v>41.070703125000001</v>
      </c>
      <c r="K58" s="15">
        <f t="shared" si="26"/>
        <v>32.678027343750003</v>
      </c>
      <c r="L58" s="15">
        <f t="shared" si="26"/>
        <v>28.258520507812502</v>
      </c>
      <c r="M58" s="15">
        <f t="shared" si="26"/>
        <v>24.943890380859379</v>
      </c>
      <c r="N58" s="15">
        <f t="shared" si="26"/>
        <v>22.457917785644533</v>
      </c>
    </row>
    <row r="59" spans="1:14" x14ac:dyDescent="0.3">
      <c r="A59" t="s">
        <v>124</v>
      </c>
      <c r="D59" s="15"/>
      <c r="E59" s="15">
        <f>E41</f>
        <v>0</v>
      </c>
      <c r="F59" s="15">
        <f t="shared" ref="F59:N59" si="27">F41</f>
        <v>0</v>
      </c>
      <c r="G59" s="15">
        <f t="shared" si="27"/>
        <v>2.5</v>
      </c>
      <c r="H59" s="15">
        <f t="shared" si="27"/>
        <v>2.5</v>
      </c>
      <c r="I59" s="15">
        <f t="shared" si="27"/>
        <v>2.5</v>
      </c>
      <c r="J59" s="15">
        <f t="shared" si="27"/>
        <v>2.5</v>
      </c>
      <c r="K59" s="15">
        <f t="shared" si="27"/>
        <v>5</v>
      </c>
      <c r="L59" s="15">
        <f t="shared" si="27"/>
        <v>5</v>
      </c>
      <c r="M59" s="15">
        <f t="shared" si="27"/>
        <v>5</v>
      </c>
      <c r="N59" s="15">
        <f t="shared" si="27"/>
        <v>5</v>
      </c>
    </row>
    <row r="60" spans="1:14" x14ac:dyDescent="0.3">
      <c r="A60" s="3" t="s">
        <v>129</v>
      </c>
      <c r="B60" s="3"/>
      <c r="C60" s="3"/>
      <c r="D60" s="61"/>
      <c r="E60" s="61">
        <f>SUM(E58:E59)</f>
        <v>154.80000000000001</v>
      </c>
      <c r="F60" s="61">
        <f t="shared" ref="F60" si="28">SUM(F58:F59)</f>
        <v>116.10000000000001</v>
      </c>
      <c r="G60" s="61">
        <f t="shared" ref="G60" si="29">SUM(G58:G59)</f>
        <v>89.575000000000003</v>
      </c>
      <c r="H60" s="61">
        <f t="shared" ref="H60" si="30">SUM(H58:H59)</f>
        <v>69.681250000000006</v>
      </c>
      <c r="I60" s="61">
        <f t="shared" ref="I60" si="31">SUM(I58:I59)</f>
        <v>54.760937500000004</v>
      </c>
      <c r="J60" s="61">
        <f t="shared" ref="J60" si="32">SUM(J58:J59)</f>
        <v>43.570703125000001</v>
      </c>
      <c r="K60" s="61">
        <f t="shared" ref="K60" si="33">SUM(K58:K59)</f>
        <v>37.678027343750003</v>
      </c>
      <c r="L60" s="61">
        <f t="shared" ref="L60" si="34">SUM(L58:L59)</f>
        <v>33.258520507812506</v>
      </c>
      <c r="M60" s="61">
        <f t="shared" ref="M60" si="35">SUM(M58:M59)</f>
        <v>29.943890380859379</v>
      </c>
      <c r="N60" s="61">
        <f t="shared" ref="N60" si="36">SUM(N58:N59)</f>
        <v>27.457917785644533</v>
      </c>
    </row>
    <row r="61" spans="1:14" x14ac:dyDescent="0.3">
      <c r="A61" t="s">
        <v>126</v>
      </c>
      <c r="D61" s="15"/>
      <c r="E61" s="88">
        <f>IF(Assumptions!$B$28&gt;1,IF(Assumptions!$B$28&gt;2,Assumptions!$H$67,Assumptions!$G$67),Assumptions!$F$67)</f>
        <v>0.25</v>
      </c>
      <c r="F61" s="88">
        <f>IF(Assumptions!$B$28&gt;1,IF(Assumptions!$B$28&gt;2,Assumptions!$H$67,Assumptions!$G$67),Assumptions!$F$67)</f>
        <v>0.25</v>
      </c>
      <c r="G61" s="88">
        <f>IF(Assumptions!$B$28&gt;1,IF(Assumptions!$B$28&gt;2,Assumptions!$H$67,Assumptions!$G$67),Assumptions!$F$67)</f>
        <v>0.25</v>
      </c>
      <c r="H61" s="88">
        <f>IF(Assumptions!$B$28&gt;1,IF(Assumptions!$B$28&gt;2,Assumptions!$H$67,Assumptions!$G$67),Assumptions!$F$67)</f>
        <v>0.25</v>
      </c>
      <c r="I61" s="88">
        <f>IF(Assumptions!$B$28&gt;1,IF(Assumptions!$B$28&gt;2,Assumptions!$H$67,Assumptions!$G$67),Assumptions!$F$67)</f>
        <v>0.25</v>
      </c>
      <c r="J61" s="88">
        <f>IF(Assumptions!$B$28&gt;1,IF(Assumptions!$B$28&gt;2,Assumptions!$H$67,Assumptions!$G$67),Assumptions!$F$67)</f>
        <v>0.25</v>
      </c>
      <c r="K61" s="88">
        <f>IF(Assumptions!$B$28&gt;1,IF(Assumptions!$B$28&gt;2,Assumptions!$H$67,Assumptions!$G$67),Assumptions!$F$67)</f>
        <v>0.25</v>
      </c>
      <c r="L61" s="88">
        <f>IF(Assumptions!$B$28&gt;1,IF(Assumptions!$B$28&gt;2,Assumptions!$H$67,Assumptions!$G$67),Assumptions!$F$67)</f>
        <v>0.25</v>
      </c>
      <c r="M61" s="88">
        <f>IF(Assumptions!$B$28&gt;1,IF(Assumptions!$B$28&gt;2,Assumptions!$H$67,Assumptions!$G$67),Assumptions!$F$67)</f>
        <v>0.25</v>
      </c>
      <c r="N61" s="88">
        <f>IF(Assumptions!$B$28&gt;1,IF(Assumptions!$B$28&gt;2,Assumptions!$H$67,Assumptions!$G$67),Assumptions!$F$67)</f>
        <v>0.25</v>
      </c>
    </row>
    <row r="62" spans="1:14" x14ac:dyDescent="0.3">
      <c r="A62" t="s">
        <v>19</v>
      </c>
      <c r="D62" s="15"/>
      <c r="E62" s="15">
        <f>E60*E61</f>
        <v>38.700000000000003</v>
      </c>
      <c r="F62" s="15">
        <f t="shared" ref="F62" si="37">F60*F61</f>
        <v>29.025000000000002</v>
      </c>
      <c r="G62" s="15">
        <f t="shared" ref="G62" si="38">G60*G61</f>
        <v>22.393750000000001</v>
      </c>
      <c r="H62" s="15">
        <f t="shared" ref="H62" si="39">H60*H61</f>
        <v>17.420312500000001</v>
      </c>
      <c r="I62" s="15">
        <f t="shared" ref="I62" si="40">I60*I61</f>
        <v>13.690234375000001</v>
      </c>
      <c r="J62" s="15">
        <f t="shared" ref="J62" si="41">J60*J61</f>
        <v>10.89267578125</v>
      </c>
      <c r="K62" s="15">
        <f t="shared" ref="K62" si="42">K60*K61</f>
        <v>9.4195068359375007</v>
      </c>
      <c r="L62" s="15">
        <f t="shared" ref="L62" si="43">L60*L61</f>
        <v>8.3146301269531264</v>
      </c>
      <c r="M62" s="15">
        <f t="shared" ref="M62" si="44">M60*M61</f>
        <v>7.4859725952148448</v>
      </c>
      <c r="N62" s="15">
        <f t="shared" ref="N62" si="45">N60*N61</f>
        <v>6.8644794464111332</v>
      </c>
    </row>
    <row r="63" spans="1:14" x14ac:dyDescent="0.3">
      <c r="A63" s="3" t="s">
        <v>125</v>
      </c>
      <c r="B63" s="3"/>
      <c r="C63" s="3"/>
      <c r="D63" s="61">
        <f>D42</f>
        <v>154.80000000000001</v>
      </c>
      <c r="E63" s="61">
        <f>E60-E62</f>
        <v>116.10000000000001</v>
      </c>
      <c r="F63" s="61">
        <f t="shared" ref="F63" si="46">F60-F62</f>
        <v>87.075000000000003</v>
      </c>
      <c r="G63" s="61">
        <f t="shared" ref="G63" si="47">G60-G62</f>
        <v>67.181250000000006</v>
      </c>
      <c r="H63" s="61">
        <f t="shared" ref="H63" si="48">H60-H62</f>
        <v>52.260937500000004</v>
      </c>
      <c r="I63" s="61">
        <f t="shared" ref="I63" si="49">I60-I62</f>
        <v>41.070703125000001</v>
      </c>
      <c r="J63" s="61">
        <f t="shared" ref="J63" si="50">J60-J62</f>
        <v>32.678027343750003</v>
      </c>
      <c r="K63" s="61">
        <f t="shared" ref="K63" si="51">K60-K62</f>
        <v>28.258520507812502</v>
      </c>
      <c r="L63" s="61">
        <f t="shared" ref="L63" si="52">L60-L62</f>
        <v>24.943890380859379</v>
      </c>
      <c r="M63" s="61">
        <f t="shared" ref="M63" si="53">M60-M62</f>
        <v>22.457917785644533</v>
      </c>
      <c r="N63" s="61">
        <f t="shared" ref="N63" si="54">N60-N62</f>
        <v>20.593438339233401</v>
      </c>
    </row>
    <row r="64" spans="1:14" x14ac:dyDescent="0.3">
      <c r="A64" s="10"/>
      <c r="B64" s="10"/>
      <c r="C64" s="10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</row>
    <row r="65" spans="1:14" x14ac:dyDescent="0.3">
      <c r="A65" s="60" t="s">
        <v>130</v>
      </c>
      <c r="B65" s="9"/>
      <c r="C65" s="9"/>
      <c r="D65" s="58"/>
      <c r="E65" s="58">
        <f>E54+E62</f>
        <v>39.790000000000006</v>
      </c>
      <c r="F65" s="58">
        <f t="shared" ref="F65:N65" si="55">F54+F62</f>
        <v>30.006000000000004</v>
      </c>
      <c r="G65" s="58">
        <f t="shared" si="55"/>
        <v>23.27665</v>
      </c>
      <c r="H65" s="58">
        <f t="shared" si="55"/>
        <v>18.2149225</v>
      </c>
      <c r="I65" s="58">
        <f t="shared" si="55"/>
        <v>14.405383375000001</v>
      </c>
      <c r="J65" s="58">
        <f t="shared" si="55"/>
        <v>11.53630988125</v>
      </c>
      <c r="K65" s="58">
        <f t="shared" si="55"/>
        <v>9.9987775259375002</v>
      </c>
      <c r="L65" s="58">
        <f t="shared" si="55"/>
        <v>8.8359737479531262</v>
      </c>
      <c r="M65" s="58">
        <f t="shared" si="55"/>
        <v>7.9551818541148451</v>
      </c>
      <c r="N65" s="58">
        <f t="shared" si="55"/>
        <v>7.2867677794211332</v>
      </c>
    </row>
    <row r="66" spans="1:14" x14ac:dyDescent="0.3">
      <c r="A66" s="13"/>
    </row>
    <row r="67" spans="1:14" x14ac:dyDescent="0.3">
      <c r="A67" s="13"/>
    </row>
    <row r="68" spans="1:14" x14ac:dyDescent="0.3">
      <c r="A68" s="13"/>
    </row>
  </sheetData>
  <mergeCells count="2">
    <mergeCell ref="A3:A4"/>
    <mergeCell ref="D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showGridLines="0" workbookViewId="0">
      <pane xSplit="3" ySplit="4" topLeftCell="D5" activePane="bottomRight" state="frozen"/>
      <selection activeCell="P5" sqref="P5"/>
      <selection pane="topRight" activeCell="P5" sqref="P5"/>
      <selection pane="bottomLeft" activeCell="P5" sqref="P5"/>
      <selection pane="bottomRight" activeCell="F18" sqref="F18"/>
    </sheetView>
  </sheetViews>
  <sheetFormatPr defaultColWidth="8.88671875" defaultRowHeight="14.4" x14ac:dyDescent="0.3"/>
  <cols>
    <col min="1" max="1" width="35.33203125" customWidth="1"/>
    <col min="2" max="2" width="6.109375" bestFit="1" customWidth="1"/>
    <col min="3" max="3" width="1.109375" customWidth="1"/>
    <col min="4" max="4" width="10.6640625" bestFit="1" customWidth="1"/>
  </cols>
  <sheetData>
    <row r="1" spans="1:14" s="6" customFormat="1" ht="18" x14ac:dyDescent="0.35">
      <c r="A1" s="6" t="s">
        <v>435</v>
      </c>
    </row>
    <row r="2" spans="1:14" x14ac:dyDescent="0.3">
      <c r="A2" t="s">
        <v>3</v>
      </c>
    </row>
    <row r="3" spans="1:14" x14ac:dyDescent="0.3">
      <c r="A3" s="183" t="s">
        <v>36</v>
      </c>
      <c r="B3" s="48"/>
      <c r="C3" s="48"/>
      <c r="D3" s="184" t="s">
        <v>15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4" x14ac:dyDescent="0.3">
      <c r="A4" s="183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23</v>
      </c>
      <c r="D6" s="15"/>
      <c r="E6" s="57">
        <f>'Income Statement'!E42</f>
        <v>25.566576782499997</v>
      </c>
      <c r="F6" s="57">
        <f>'Income Statement'!F42</f>
        <v>46.817895710000002</v>
      </c>
      <c r="G6" s="57">
        <f>'Income Statement'!G42</f>
        <v>61.22502499499997</v>
      </c>
      <c r="H6" s="57">
        <f>'Income Statement'!H42</f>
        <v>76.525504280000007</v>
      </c>
      <c r="I6" s="57">
        <f>'Income Statement'!I42</f>
        <v>78.210523030000004</v>
      </c>
      <c r="J6" s="57">
        <f>'Income Statement'!J42</f>
        <v>85.409222436250019</v>
      </c>
      <c r="K6" s="57">
        <f>'Income Statement'!K42</f>
        <v>86.515279597968757</v>
      </c>
      <c r="L6" s="57">
        <f>'Income Statement'!L42</f>
        <v>87.566506251816421</v>
      </c>
      <c r="M6" s="57">
        <f>'Income Statement'!M42</f>
        <v>88.558065380202635</v>
      </c>
      <c r="N6" s="57">
        <f>'Income Statement'!N42</f>
        <v>89.484684716267836</v>
      </c>
    </row>
    <row r="7" spans="1:14" x14ac:dyDescent="0.3">
      <c r="A7" s="12" t="s">
        <v>24</v>
      </c>
      <c r="D7" s="15"/>
      <c r="E7" s="57">
        <f>'Income Statement'!E32</f>
        <v>12.88738</v>
      </c>
      <c r="F7" s="57">
        <f>'Income Statement'!F32</f>
        <v>12.88738</v>
      </c>
      <c r="G7" s="57">
        <f>'Income Statement'!G32</f>
        <v>13.089630000000001</v>
      </c>
      <c r="H7" s="57">
        <f>'Income Statement'!H32</f>
        <v>13.291880000000001</v>
      </c>
      <c r="I7" s="57">
        <f>'Income Statement'!I32</f>
        <v>13.494130000000002</v>
      </c>
      <c r="J7" s="57">
        <f>'Income Statement'!J32</f>
        <v>13.696380000000001</v>
      </c>
      <c r="K7" s="57">
        <f>'Income Statement'!K32</f>
        <v>14.100880000000002</v>
      </c>
      <c r="L7" s="57">
        <f>'Income Statement'!L32</f>
        <v>14.505380000000001</v>
      </c>
      <c r="M7" s="57">
        <f>'Income Statement'!M32</f>
        <v>14.909880000000001</v>
      </c>
      <c r="N7" s="57">
        <f>'Income Statement'!N32</f>
        <v>15.314380000000002</v>
      </c>
    </row>
    <row r="8" spans="1:14" x14ac:dyDescent="0.3">
      <c r="A8" s="12" t="s">
        <v>25</v>
      </c>
      <c r="D8" s="15"/>
      <c r="E8" s="57">
        <f>-'Annual Expenses'!E65</f>
        <v>-39.790000000000006</v>
      </c>
      <c r="F8" s="57">
        <f>-'Annual Expenses'!F65</f>
        <v>-30.006000000000004</v>
      </c>
      <c r="G8" s="57">
        <f>-'Annual Expenses'!G65</f>
        <v>-23.27665</v>
      </c>
      <c r="H8" s="57">
        <f>-'Annual Expenses'!H65</f>
        <v>-18.2149225</v>
      </c>
      <c r="I8" s="57">
        <f>-'Annual Expenses'!I65</f>
        <v>-14.405383375000001</v>
      </c>
      <c r="J8" s="57">
        <f>-'Annual Expenses'!J65</f>
        <v>-11.53630988125</v>
      </c>
      <c r="K8" s="57">
        <f>-'Annual Expenses'!K65</f>
        <v>-9.9987775259375002</v>
      </c>
      <c r="L8" s="57">
        <f>-'Annual Expenses'!L65</f>
        <v>-8.8359737479531262</v>
      </c>
      <c r="M8" s="57">
        <f>-'Annual Expenses'!M65</f>
        <v>-7.9551818541148451</v>
      </c>
      <c r="N8" s="57">
        <f>-'Annual Expenses'!N65</f>
        <v>-7.2867677794211332</v>
      </c>
    </row>
    <row r="9" spans="1:14" x14ac:dyDescent="0.3">
      <c r="A9" s="3" t="s">
        <v>160</v>
      </c>
      <c r="B9" s="3"/>
      <c r="C9" s="3"/>
      <c r="D9" s="61"/>
      <c r="E9" s="67">
        <f>SUM(E6:E8)</f>
        <v>-1.3360432175000057</v>
      </c>
      <c r="F9" s="67">
        <f t="shared" ref="F9:N9" si="0">SUM(F6:F8)</f>
        <v>29.699275709999998</v>
      </c>
      <c r="G9" s="67">
        <f t="shared" si="0"/>
        <v>51.038004994999966</v>
      </c>
      <c r="H9" s="67">
        <f t="shared" si="0"/>
        <v>71.602461780000013</v>
      </c>
      <c r="I9" s="67">
        <f t="shared" si="0"/>
        <v>77.299269655000003</v>
      </c>
      <c r="J9" s="67">
        <f t="shared" si="0"/>
        <v>87.569292555000018</v>
      </c>
      <c r="K9" s="67">
        <f t="shared" si="0"/>
        <v>90.617382072031262</v>
      </c>
      <c r="L9" s="67">
        <f t="shared" si="0"/>
        <v>93.23591250386329</v>
      </c>
      <c r="M9" s="67">
        <f t="shared" si="0"/>
        <v>95.512763526087795</v>
      </c>
      <c r="N9" s="67">
        <f t="shared" si="0"/>
        <v>97.512296936846695</v>
      </c>
    </row>
    <row r="10" spans="1:14" x14ac:dyDescent="0.3">
      <c r="A10" s="13" t="s">
        <v>161</v>
      </c>
      <c r="D10" s="15"/>
      <c r="E10" s="15">
        <f>IF(D10&lt;=0,MIN(D10+E9),E9)</f>
        <v>-1.3360432175000057</v>
      </c>
      <c r="F10" s="15">
        <f t="shared" ref="F10:N10" si="1">IF(E10&lt;=0,MIN(E10+F9),F9)</f>
        <v>28.363232492499993</v>
      </c>
      <c r="G10" s="15">
        <f t="shared" si="1"/>
        <v>51.038004994999966</v>
      </c>
      <c r="H10" s="15">
        <f t="shared" si="1"/>
        <v>71.602461780000013</v>
      </c>
      <c r="I10" s="15">
        <f t="shared" si="1"/>
        <v>77.299269655000003</v>
      </c>
      <c r="J10" s="15">
        <f t="shared" si="1"/>
        <v>87.569292555000018</v>
      </c>
      <c r="K10" s="15">
        <f t="shared" si="1"/>
        <v>90.617382072031262</v>
      </c>
      <c r="L10" s="15">
        <f t="shared" si="1"/>
        <v>93.23591250386329</v>
      </c>
      <c r="M10" s="15">
        <f t="shared" si="1"/>
        <v>95.512763526087795</v>
      </c>
      <c r="N10" s="15">
        <f t="shared" si="1"/>
        <v>97.512296936846695</v>
      </c>
    </row>
    <row r="11" spans="1:14" x14ac:dyDescent="0.3">
      <c r="A11" s="60" t="s">
        <v>162</v>
      </c>
      <c r="B11" s="9"/>
      <c r="C11" s="9"/>
      <c r="D11" s="58"/>
      <c r="E11" s="58">
        <f>IF(E10&lt;0,0,E10*Assumptions!$B$60)</f>
        <v>0</v>
      </c>
      <c r="F11" s="58">
        <f>IF(F10&lt;0,0,F10*Assumptions!$B$60)</f>
        <v>7.0908081231249982</v>
      </c>
      <c r="G11" s="58">
        <f>IF(G10&lt;0,0,G10*Assumptions!$B$60)</f>
        <v>12.759501248749991</v>
      </c>
      <c r="H11" s="58">
        <f>IF(H10&lt;0,0,H10*Assumptions!$B$60)</f>
        <v>17.900615445000003</v>
      </c>
      <c r="I11" s="58">
        <f>IF(I10&lt;0,0,I10*Assumptions!$B$60)</f>
        <v>19.324817413750001</v>
      </c>
      <c r="J11" s="58">
        <f>IF(J10&lt;0,0,J10*Assumptions!$B$60)</f>
        <v>21.892323138750005</v>
      </c>
      <c r="K11" s="58">
        <f>IF(K10&lt;0,0,K10*Assumptions!$B$60)</f>
        <v>22.654345518007815</v>
      </c>
      <c r="L11" s="58">
        <f>IF(L10&lt;0,0,L10*Assumptions!$B$60)</f>
        <v>23.308978125965822</v>
      </c>
      <c r="M11" s="58">
        <f>IF(M10&lt;0,0,M10*Assumptions!$B$60)</f>
        <v>23.878190881521949</v>
      </c>
      <c r="N11" s="58">
        <f>IF(N10&lt;0,0,N10*Assumptions!$B$60)</f>
        <v>24.378074234211674</v>
      </c>
    </row>
    <row r="12" spans="1:14" x14ac:dyDescent="0.3">
      <c r="A12" s="13" t="s">
        <v>163</v>
      </c>
      <c r="D12" s="15"/>
      <c r="E12" s="15">
        <f>IF(E11&gt;0,0,E11)</f>
        <v>0</v>
      </c>
      <c r="F12" s="15">
        <f t="shared" ref="F12:I12" si="2">IF(F11&gt;0,0,F11)</f>
        <v>0</v>
      </c>
      <c r="G12" s="15">
        <f>IF(G11&gt;0,0,G11)</f>
        <v>0</v>
      </c>
      <c r="H12" s="15">
        <f t="shared" si="2"/>
        <v>0</v>
      </c>
      <c r="I12" s="15">
        <f t="shared" si="2"/>
        <v>0</v>
      </c>
      <c r="J12" s="15">
        <f>J11</f>
        <v>21.892323138750005</v>
      </c>
      <c r="K12" s="15">
        <f t="shared" ref="K12:N12" si="3">K11</f>
        <v>22.654345518007815</v>
      </c>
      <c r="L12" s="15">
        <f t="shared" si="3"/>
        <v>23.308978125965822</v>
      </c>
      <c r="M12" s="15">
        <f t="shared" si="3"/>
        <v>23.878190881521949</v>
      </c>
      <c r="N12" s="15">
        <f t="shared" si="3"/>
        <v>24.378074234211674</v>
      </c>
    </row>
    <row r="13" spans="1:14" x14ac:dyDescent="0.3"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3"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3"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3"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4:14" x14ac:dyDescent="0.3"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4:14" x14ac:dyDescent="0.3"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4:14" x14ac:dyDescent="0.3"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4:14" x14ac:dyDescent="0.3"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</sheetData>
  <mergeCells count="2">
    <mergeCell ref="A3:A4"/>
    <mergeCell ref="D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5"/>
  <sheetViews>
    <sheetView showGridLines="0" workbookViewId="0">
      <pane xSplit="3" ySplit="4" topLeftCell="D20" activePane="bottomRight" state="frozen"/>
      <selection activeCell="P5" sqref="P5"/>
      <selection pane="topRight" activeCell="P5" sqref="P5"/>
      <selection pane="bottomLeft" activeCell="P5" sqref="P5"/>
      <selection pane="bottomRight" activeCell="D50" sqref="D50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5" max="6" width="9" bestFit="1" customWidth="1"/>
    <col min="7" max="14" width="9.6640625" bestFit="1" customWidth="1"/>
  </cols>
  <sheetData>
    <row r="1" spans="1:14" s="6" customFormat="1" ht="18" x14ac:dyDescent="0.35">
      <c r="A1" s="6" t="s">
        <v>436</v>
      </c>
    </row>
    <row r="2" spans="1:14" x14ac:dyDescent="0.3">
      <c r="A2" t="s">
        <v>3</v>
      </c>
    </row>
    <row r="3" spans="1:14" x14ac:dyDescent="0.3">
      <c r="A3" s="183" t="s">
        <v>36</v>
      </c>
      <c r="B3" s="48"/>
      <c r="C3" s="48"/>
      <c r="D3" s="184" t="s">
        <v>15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4" x14ac:dyDescent="0.3">
      <c r="A4" s="183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21</v>
      </c>
      <c r="E6" s="15">
        <f>'Annual Sales'!E9</f>
        <v>164.25</v>
      </c>
      <c r="F6" s="15">
        <f>'Annual Sales'!F9</f>
        <v>219</v>
      </c>
      <c r="G6" s="15">
        <f>'Annual Sales'!G9</f>
        <v>255.49999999999997</v>
      </c>
      <c r="H6" s="15">
        <f>'Annual Sales'!H9</f>
        <v>292</v>
      </c>
      <c r="I6" s="15">
        <f>'Annual Sales'!I9</f>
        <v>292</v>
      </c>
      <c r="J6" s="15">
        <f>'Annual Sales'!J9</f>
        <v>292</v>
      </c>
      <c r="K6" s="15">
        <f>'Annual Sales'!K9</f>
        <v>292</v>
      </c>
      <c r="L6" s="15">
        <f>'Annual Sales'!L9</f>
        <v>292</v>
      </c>
      <c r="M6" s="15">
        <f>'Annual Sales'!M9</f>
        <v>292</v>
      </c>
      <c r="N6" s="15">
        <f>'Annual Sales'!N9</f>
        <v>292</v>
      </c>
    </row>
    <row r="7" spans="1:14" x14ac:dyDescent="0.3">
      <c r="A7" t="s">
        <v>132</v>
      </c>
      <c r="E7" s="66">
        <f>Assumptions!G20</f>
        <v>0</v>
      </c>
      <c r="F7" s="66">
        <f>Assumptions!H20</f>
        <v>0</v>
      </c>
      <c r="G7" s="66">
        <f>Assumptions!I20</f>
        <v>0</v>
      </c>
      <c r="H7" s="66">
        <f>Assumptions!J20</f>
        <v>0</v>
      </c>
      <c r="I7" s="66">
        <f>Assumptions!K20</f>
        <v>0</v>
      </c>
      <c r="J7" s="66">
        <f>Assumptions!L20</f>
        <v>0</v>
      </c>
      <c r="K7" s="66">
        <f>Assumptions!M20</f>
        <v>0</v>
      </c>
      <c r="L7" s="66">
        <f>Assumptions!N20</f>
        <v>0</v>
      </c>
      <c r="M7" s="66">
        <f>Assumptions!O20</f>
        <v>0</v>
      </c>
      <c r="N7" s="66">
        <f>Assumptions!P20</f>
        <v>0</v>
      </c>
    </row>
    <row r="8" spans="1:14" x14ac:dyDescent="0.3">
      <c r="A8" s="3" t="s">
        <v>133</v>
      </c>
      <c r="B8" s="3"/>
      <c r="C8" s="3"/>
      <c r="D8" s="3"/>
      <c r="E8" s="61">
        <f>E6-E7</f>
        <v>164.25</v>
      </c>
      <c r="F8" s="61">
        <f t="shared" ref="F8:N8" si="0">F6-F7</f>
        <v>219</v>
      </c>
      <c r="G8" s="61">
        <f t="shared" si="0"/>
        <v>255.49999999999997</v>
      </c>
      <c r="H8" s="61">
        <f t="shared" si="0"/>
        <v>292</v>
      </c>
      <c r="I8" s="61">
        <f t="shared" si="0"/>
        <v>292</v>
      </c>
      <c r="J8" s="61">
        <f t="shared" si="0"/>
        <v>292</v>
      </c>
      <c r="K8" s="61">
        <f t="shared" si="0"/>
        <v>292</v>
      </c>
      <c r="L8" s="61">
        <f t="shared" si="0"/>
        <v>292</v>
      </c>
      <c r="M8" s="61">
        <f t="shared" si="0"/>
        <v>292</v>
      </c>
      <c r="N8" s="61">
        <f t="shared" si="0"/>
        <v>292</v>
      </c>
    </row>
    <row r="9" spans="1:14" x14ac:dyDescent="0.3">
      <c r="A9" s="109" t="s">
        <v>134</v>
      </c>
      <c r="B9" s="10"/>
      <c r="C9" s="10"/>
      <c r="D9" s="10"/>
      <c r="E9" s="66">
        <f>Assumptions!G18</f>
        <v>0</v>
      </c>
      <c r="F9" s="66">
        <f>Assumptions!H18</f>
        <v>0</v>
      </c>
      <c r="G9" s="66">
        <f>Assumptions!I18</f>
        <v>0</v>
      </c>
      <c r="H9" s="66">
        <f>Assumptions!J18</f>
        <v>0</v>
      </c>
      <c r="I9" s="66">
        <f>Assumptions!K18</f>
        <v>0</v>
      </c>
      <c r="J9" s="66">
        <f>Assumptions!L18</f>
        <v>0</v>
      </c>
      <c r="K9" s="66">
        <f>Assumptions!M18</f>
        <v>0</v>
      </c>
      <c r="L9" s="66">
        <f>Assumptions!N18</f>
        <v>0</v>
      </c>
      <c r="M9" s="66">
        <f>Assumptions!O18</f>
        <v>0</v>
      </c>
      <c r="N9" s="66">
        <f>Assumptions!P18</f>
        <v>0</v>
      </c>
    </row>
    <row r="10" spans="1:14" x14ac:dyDescent="0.3">
      <c r="A10" s="69" t="s">
        <v>135</v>
      </c>
      <c r="B10" s="3"/>
      <c r="C10" s="3"/>
      <c r="D10" s="3"/>
      <c r="E10" s="61">
        <f>E8+E9</f>
        <v>164.25</v>
      </c>
      <c r="F10" s="61">
        <f t="shared" ref="F10:N10" si="1">F8+F9</f>
        <v>219</v>
      </c>
      <c r="G10" s="61">
        <f t="shared" si="1"/>
        <v>255.49999999999997</v>
      </c>
      <c r="H10" s="61">
        <f t="shared" si="1"/>
        <v>292</v>
      </c>
      <c r="I10" s="61">
        <f t="shared" si="1"/>
        <v>292</v>
      </c>
      <c r="J10" s="61">
        <f t="shared" si="1"/>
        <v>292</v>
      </c>
      <c r="K10" s="61">
        <f t="shared" si="1"/>
        <v>292</v>
      </c>
      <c r="L10" s="61">
        <f t="shared" si="1"/>
        <v>292</v>
      </c>
      <c r="M10" s="61">
        <f t="shared" si="1"/>
        <v>292</v>
      </c>
      <c r="N10" s="61">
        <f t="shared" si="1"/>
        <v>292</v>
      </c>
    </row>
    <row r="11" spans="1:14" x14ac:dyDescent="0.3">
      <c r="A11" t="s">
        <v>136</v>
      </c>
      <c r="E11" s="66">
        <f>Assumptions!G19</f>
        <v>0</v>
      </c>
      <c r="F11" s="66">
        <f>Assumptions!H19</f>
        <v>0</v>
      </c>
      <c r="G11" s="66">
        <f>Assumptions!I19</f>
        <v>0</v>
      </c>
      <c r="H11" s="66">
        <f>Assumptions!J19</f>
        <v>0</v>
      </c>
      <c r="I11" s="66">
        <f>Assumptions!K19</f>
        <v>0</v>
      </c>
      <c r="J11" s="66">
        <f>Assumptions!L19</f>
        <v>0</v>
      </c>
      <c r="K11" s="66">
        <f>Assumptions!M19</f>
        <v>0</v>
      </c>
      <c r="L11" s="66">
        <f>Assumptions!N19</f>
        <v>0</v>
      </c>
      <c r="M11" s="66">
        <f>Assumptions!O19</f>
        <v>0</v>
      </c>
      <c r="N11" s="66">
        <f>Assumptions!P19</f>
        <v>0</v>
      </c>
    </row>
    <row r="12" spans="1:14" x14ac:dyDescent="0.3">
      <c r="A12" s="63" t="s">
        <v>137</v>
      </c>
      <c r="B12" s="3"/>
      <c r="C12" s="3"/>
      <c r="D12" s="3"/>
      <c r="E12" s="61">
        <f>E10+E11</f>
        <v>164.25</v>
      </c>
      <c r="F12" s="61">
        <f t="shared" ref="F12:N12" si="2">F10+F11</f>
        <v>219</v>
      </c>
      <c r="G12" s="61">
        <f t="shared" si="2"/>
        <v>255.49999999999997</v>
      </c>
      <c r="H12" s="61">
        <f t="shared" si="2"/>
        <v>292</v>
      </c>
      <c r="I12" s="61">
        <f t="shared" si="2"/>
        <v>292</v>
      </c>
      <c r="J12" s="61">
        <f t="shared" si="2"/>
        <v>292</v>
      </c>
      <c r="K12" s="61">
        <f t="shared" si="2"/>
        <v>292</v>
      </c>
      <c r="L12" s="61">
        <f t="shared" si="2"/>
        <v>292</v>
      </c>
      <c r="M12" s="61">
        <f t="shared" si="2"/>
        <v>292</v>
      </c>
      <c r="N12" s="61">
        <f t="shared" si="2"/>
        <v>292</v>
      </c>
    </row>
    <row r="13" spans="1:14" x14ac:dyDescent="0.3">
      <c r="A13" s="64"/>
      <c r="B13" s="10"/>
      <c r="C13" s="10"/>
      <c r="D13" s="10"/>
      <c r="E13" s="65"/>
      <c r="F13" s="65"/>
      <c r="G13" s="65"/>
      <c r="H13" s="65"/>
      <c r="I13" s="65"/>
      <c r="J13" s="65"/>
      <c r="K13" s="65"/>
      <c r="L13" s="65"/>
      <c r="M13" s="65"/>
      <c r="N13" s="65"/>
    </row>
    <row r="14" spans="1:14" x14ac:dyDescent="0.3">
      <c r="A14" s="16" t="s">
        <v>138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3">
      <c r="A15" t="s">
        <v>139</v>
      </c>
      <c r="E15" s="15">
        <f>'Annual Expenses'!E7</f>
        <v>95.121402924999998</v>
      </c>
      <c r="F15" s="15">
        <f>'Annual Expenses'!F7</f>
        <v>113.6952039</v>
      </c>
      <c r="G15" s="15">
        <f>'Annual Expenses'!G7</f>
        <v>130.54440455</v>
      </c>
      <c r="H15" s="15">
        <f>'Annual Expenses'!H7</f>
        <v>148.7936052</v>
      </c>
      <c r="I15" s="15">
        <f>'Annual Expenses'!I7</f>
        <v>145.99360519999999</v>
      </c>
      <c r="J15" s="15">
        <f>'Annual Expenses'!J7</f>
        <v>145.99360519999999</v>
      </c>
      <c r="K15" s="15">
        <f>'Annual Expenses'!K7</f>
        <v>145.99360519999999</v>
      </c>
      <c r="L15" s="15">
        <f>'Annual Expenses'!L7</f>
        <v>145.99360519999999</v>
      </c>
      <c r="M15" s="15">
        <f>'Annual Expenses'!M7</f>
        <v>145.99360519999999</v>
      </c>
      <c r="N15" s="15">
        <f>'Annual Expenses'!N7</f>
        <v>145.99360519999999</v>
      </c>
    </row>
    <row r="16" spans="1:14" x14ac:dyDescent="0.3">
      <c r="A16" t="s">
        <v>65</v>
      </c>
      <c r="E16" s="15">
        <f>Assumptions!G21</f>
        <v>0</v>
      </c>
      <c r="F16" s="15">
        <f>Assumptions!H21</f>
        <v>0</v>
      </c>
      <c r="G16" s="15">
        <f>Assumptions!I21</f>
        <v>0</v>
      </c>
      <c r="H16" s="15">
        <f>Assumptions!J21</f>
        <v>0</v>
      </c>
      <c r="I16" s="15">
        <f>Assumptions!K21</f>
        <v>0</v>
      </c>
      <c r="J16" s="15">
        <f>Assumptions!L21</f>
        <v>0</v>
      </c>
      <c r="K16" s="15">
        <f>Assumptions!M21</f>
        <v>0</v>
      </c>
      <c r="L16" s="15">
        <f>Assumptions!N21</f>
        <v>0</v>
      </c>
      <c r="M16" s="15">
        <f>Assumptions!O21</f>
        <v>0</v>
      </c>
      <c r="N16" s="15">
        <f>Assumptions!P21</f>
        <v>0</v>
      </c>
    </row>
    <row r="17" spans="1:14" x14ac:dyDescent="0.3">
      <c r="A17" s="10" t="s">
        <v>66</v>
      </c>
      <c r="B17" s="10"/>
      <c r="C17" s="10"/>
      <c r="D17" s="10"/>
      <c r="E17" s="65">
        <f>Assumptions!G22</f>
        <v>0</v>
      </c>
      <c r="F17" s="65">
        <f>Assumptions!H22</f>
        <v>0</v>
      </c>
      <c r="G17" s="65">
        <f>Assumptions!I22</f>
        <v>0</v>
      </c>
      <c r="H17" s="65">
        <f>Assumptions!J22</f>
        <v>0</v>
      </c>
      <c r="I17" s="65">
        <f>Assumptions!K22</f>
        <v>0</v>
      </c>
      <c r="J17" s="65">
        <f>Assumptions!L22</f>
        <v>0</v>
      </c>
      <c r="K17" s="65">
        <f>Assumptions!M22</f>
        <v>0</v>
      </c>
      <c r="L17" s="65">
        <f>Assumptions!N22</f>
        <v>0</v>
      </c>
      <c r="M17" s="65">
        <f>Assumptions!O22</f>
        <v>0</v>
      </c>
      <c r="N17" s="65">
        <f>Assumptions!P22</f>
        <v>0</v>
      </c>
    </row>
    <row r="18" spans="1:14" x14ac:dyDescent="0.3">
      <c r="A18" t="s">
        <v>67</v>
      </c>
      <c r="E18" s="15">
        <f>'Annual Expenses'!E11</f>
        <v>0</v>
      </c>
      <c r="F18" s="15">
        <f>'Annual Expenses'!F11</f>
        <v>0</v>
      </c>
      <c r="G18" s="15">
        <f>'Annual Expenses'!G11</f>
        <v>0</v>
      </c>
      <c r="H18" s="15">
        <f>'Annual Expenses'!H11</f>
        <v>0</v>
      </c>
      <c r="I18" s="15">
        <f>'Annual Expenses'!I11</f>
        <v>0</v>
      </c>
      <c r="J18" s="15">
        <f>'Annual Expenses'!J11</f>
        <v>0</v>
      </c>
      <c r="K18" s="15">
        <f>'Annual Expenses'!K11</f>
        <v>0</v>
      </c>
      <c r="L18" s="15">
        <f>'Annual Expenses'!L11</f>
        <v>0</v>
      </c>
      <c r="M18" s="15">
        <f>'Annual Expenses'!M11</f>
        <v>0</v>
      </c>
      <c r="N18" s="15">
        <f>'Annual Expenses'!N11</f>
        <v>0</v>
      </c>
    </row>
    <row r="19" spans="1:14" x14ac:dyDescent="0.3">
      <c r="A19" t="s">
        <v>140</v>
      </c>
      <c r="E19" s="15">
        <f>'Annual Expenses'!E12</f>
        <v>1.6425000000000001</v>
      </c>
      <c r="F19" s="15">
        <f>'Annual Expenses'!F12</f>
        <v>2.19</v>
      </c>
      <c r="G19" s="15">
        <f>'Annual Expenses'!G12</f>
        <v>2.5549999999999997</v>
      </c>
      <c r="H19" s="15">
        <f>'Annual Expenses'!H12</f>
        <v>2.92</v>
      </c>
      <c r="I19" s="15">
        <f>'Annual Expenses'!I12</f>
        <v>2.92</v>
      </c>
      <c r="J19" s="15">
        <f>'Annual Expenses'!J12</f>
        <v>2.92</v>
      </c>
      <c r="K19" s="15">
        <f>'Annual Expenses'!K12</f>
        <v>2.92</v>
      </c>
      <c r="L19" s="15">
        <f>'Annual Expenses'!L12</f>
        <v>2.92</v>
      </c>
      <c r="M19" s="15">
        <f>'Annual Expenses'!M12</f>
        <v>2.92</v>
      </c>
      <c r="N19" s="15">
        <f>'Annual Expenses'!N12</f>
        <v>2.92</v>
      </c>
    </row>
    <row r="20" spans="1:14" x14ac:dyDescent="0.3">
      <c r="A20" t="s">
        <v>141</v>
      </c>
      <c r="E20" s="15">
        <f>'Annual Expenses'!E8</f>
        <v>1.3140000000000001</v>
      </c>
      <c r="F20" s="15">
        <f>'Annual Expenses'!F8</f>
        <v>1.752</v>
      </c>
      <c r="G20" s="15">
        <f>'Annual Expenses'!G8</f>
        <v>2.0439999999999996</v>
      </c>
      <c r="H20" s="15">
        <f>'Annual Expenses'!H8</f>
        <v>2.3359999999999999</v>
      </c>
      <c r="I20" s="15">
        <f>'Annual Expenses'!I8</f>
        <v>2.3359999999999999</v>
      </c>
      <c r="J20" s="15">
        <f>'Annual Expenses'!J8</f>
        <v>2.3359999999999999</v>
      </c>
      <c r="K20" s="15">
        <f>'Annual Expenses'!K8</f>
        <v>2.3359999999999999</v>
      </c>
      <c r="L20" s="15">
        <f>'Annual Expenses'!L8</f>
        <v>2.3359999999999999</v>
      </c>
      <c r="M20" s="15">
        <f>'Annual Expenses'!M8</f>
        <v>2.3359999999999999</v>
      </c>
      <c r="N20" s="15">
        <f>'Annual Expenses'!N8</f>
        <v>2.3359999999999999</v>
      </c>
    </row>
    <row r="21" spans="1:14" x14ac:dyDescent="0.3">
      <c r="A21" t="s">
        <v>2</v>
      </c>
      <c r="E21" s="15">
        <f>Assumptions!G24</f>
        <v>0</v>
      </c>
      <c r="F21" s="15">
        <f>Assumptions!H24</f>
        <v>0</v>
      </c>
      <c r="G21" s="15">
        <f>Assumptions!I24</f>
        <v>0</v>
      </c>
      <c r="H21" s="15">
        <f>Assumptions!J24</f>
        <v>0</v>
      </c>
      <c r="I21" s="15">
        <f>Assumptions!K24</f>
        <v>0</v>
      </c>
      <c r="J21" s="15">
        <f>Assumptions!L24</f>
        <v>0</v>
      </c>
      <c r="K21" s="15">
        <f>Assumptions!M24</f>
        <v>0</v>
      </c>
      <c r="L21" s="15">
        <f>Assumptions!N24</f>
        <v>0</v>
      </c>
      <c r="M21" s="15">
        <f>Assumptions!O24</f>
        <v>0</v>
      </c>
      <c r="N21" s="15">
        <f>Assumptions!P24</f>
        <v>0</v>
      </c>
    </row>
    <row r="22" spans="1:14" x14ac:dyDescent="0.3">
      <c r="A22" t="s">
        <v>142</v>
      </c>
      <c r="E22" s="15">
        <f>'Annual Expenses'!E9</f>
        <v>3.2</v>
      </c>
      <c r="F22" s="15">
        <f>'Annual Expenses'!F9</f>
        <v>3.44</v>
      </c>
      <c r="G22" s="15">
        <f>'Annual Expenses'!G9</f>
        <v>3.698</v>
      </c>
      <c r="H22" s="15">
        <f>'Annual Expenses'!H9</f>
        <v>3.9753499999999997</v>
      </c>
      <c r="I22" s="15">
        <f>'Annual Expenses'!I9</f>
        <v>4.2735012499999998</v>
      </c>
      <c r="J22" s="15">
        <f>'Annual Expenses'!J9</f>
        <v>4.59401384375</v>
      </c>
      <c r="K22" s="15">
        <f>'Annual Expenses'!K9</f>
        <v>4.9385648820312502</v>
      </c>
      <c r="L22" s="15">
        <f>'Annual Expenses'!L9</f>
        <v>5.308957248183594</v>
      </c>
      <c r="M22" s="15">
        <f>'Annual Expenses'!M9</f>
        <v>5.707129041797363</v>
      </c>
      <c r="N22" s="15">
        <f>'Annual Expenses'!N9</f>
        <v>6.1351637199321649</v>
      </c>
    </row>
    <row r="23" spans="1:14" x14ac:dyDescent="0.3">
      <c r="A23" t="s">
        <v>112</v>
      </c>
      <c r="E23" s="15">
        <f>'Annual Expenses'!E13</f>
        <v>0</v>
      </c>
      <c r="F23" s="15">
        <f>'Annual Expenses'!F13</f>
        <v>0</v>
      </c>
      <c r="G23" s="15">
        <f>'Annual Expenses'!G13</f>
        <v>0</v>
      </c>
      <c r="H23" s="15">
        <f>'Annual Expenses'!H13</f>
        <v>0</v>
      </c>
      <c r="I23" s="15">
        <f>'Annual Expenses'!I13</f>
        <v>0</v>
      </c>
      <c r="J23" s="15">
        <f>'Annual Expenses'!J13</f>
        <v>0</v>
      </c>
      <c r="K23" s="15">
        <f>'Annual Expenses'!K13</f>
        <v>0</v>
      </c>
      <c r="L23" s="15">
        <f>'Annual Expenses'!L13</f>
        <v>0</v>
      </c>
      <c r="M23" s="15">
        <f>'Annual Expenses'!M13</f>
        <v>0</v>
      </c>
      <c r="N23" s="15">
        <f>'Annual Expenses'!N13</f>
        <v>0</v>
      </c>
    </row>
    <row r="24" spans="1:14" x14ac:dyDescent="0.3">
      <c r="A24" t="s">
        <v>143</v>
      </c>
      <c r="E24" s="15">
        <f>'Annual Expenses'!E10</f>
        <v>9.5121402924999998</v>
      </c>
      <c r="F24" s="15">
        <f>'Annual Expenses'!F10</f>
        <v>11.36952039</v>
      </c>
      <c r="G24" s="15">
        <f>'Annual Expenses'!G10</f>
        <v>13.054440455</v>
      </c>
      <c r="H24" s="15">
        <f>'Annual Expenses'!H10</f>
        <v>14.879360520000001</v>
      </c>
      <c r="I24" s="15">
        <f>'Annual Expenses'!I10</f>
        <v>14.599360519999999</v>
      </c>
      <c r="J24" s="15">
        <f>'Annual Expenses'!J10</f>
        <v>14.599360519999999</v>
      </c>
      <c r="K24" s="15">
        <f>'Annual Expenses'!K10</f>
        <v>14.599360519999999</v>
      </c>
      <c r="L24" s="15">
        <f>'Annual Expenses'!L10</f>
        <v>14.599360519999999</v>
      </c>
      <c r="M24" s="15">
        <f>'Annual Expenses'!M10</f>
        <v>14.599360519999999</v>
      </c>
      <c r="N24" s="15">
        <f>'Annual Expenses'!N10</f>
        <v>14.599360519999999</v>
      </c>
    </row>
    <row r="25" spans="1:14" x14ac:dyDescent="0.3">
      <c r="A25" t="s">
        <v>144</v>
      </c>
      <c r="E25" s="15">
        <f>Assumptions!F39-Assumptions!G39</f>
        <v>-13</v>
      </c>
      <c r="F25" s="15">
        <f>Assumptions!G39-Assumptions!H39</f>
        <v>-4.1999999999999993</v>
      </c>
      <c r="G25" s="15">
        <f>Assumptions!H39-Assumptions!I39</f>
        <v>-2.8000000000000007</v>
      </c>
      <c r="H25" s="15">
        <f>Assumptions!I39-Assumptions!J39</f>
        <v>-2.8000000000000007</v>
      </c>
      <c r="I25" s="15">
        <f>Assumptions!J39-Assumptions!K39</f>
        <v>0</v>
      </c>
      <c r="J25" s="15">
        <f>Assumptions!K39-Assumptions!L39</f>
        <v>0</v>
      </c>
      <c r="K25" s="15">
        <f>Assumptions!L39-Assumptions!M39</f>
        <v>0</v>
      </c>
      <c r="L25" s="15">
        <f>Assumptions!M39-Assumptions!N39</f>
        <v>0</v>
      </c>
      <c r="M25" s="15">
        <f>Assumptions!N39-Assumptions!O39</f>
        <v>0</v>
      </c>
      <c r="N25" s="15">
        <f>Assumptions!O39-Assumptions!P39</f>
        <v>0</v>
      </c>
    </row>
    <row r="26" spans="1:14" x14ac:dyDescent="0.3">
      <c r="A26" s="63" t="s">
        <v>145</v>
      </c>
      <c r="B26" s="3"/>
      <c r="C26" s="3"/>
      <c r="D26" s="3"/>
      <c r="E26" s="61">
        <f>SUM(E15:E25)</f>
        <v>97.790043217499999</v>
      </c>
      <c r="F26" s="61">
        <f t="shared" ref="F26:N26" si="3">SUM(F15:F25)</f>
        <v>128.24672429</v>
      </c>
      <c r="G26" s="61">
        <f t="shared" si="3"/>
        <v>149.095845005</v>
      </c>
      <c r="H26" s="61">
        <f t="shared" si="3"/>
        <v>170.10431571999999</v>
      </c>
      <c r="I26" s="61">
        <f t="shared" si="3"/>
        <v>170.12246697</v>
      </c>
      <c r="J26" s="61">
        <f t="shared" si="3"/>
        <v>170.44297956374999</v>
      </c>
      <c r="K26" s="61">
        <f t="shared" si="3"/>
        <v>170.78753060203124</v>
      </c>
      <c r="L26" s="61">
        <f t="shared" si="3"/>
        <v>171.15792296818358</v>
      </c>
      <c r="M26" s="61">
        <f t="shared" si="3"/>
        <v>171.55609476179737</v>
      </c>
      <c r="N26" s="61">
        <f t="shared" si="3"/>
        <v>171.98412943993216</v>
      </c>
    </row>
    <row r="27" spans="1:14" x14ac:dyDescent="0.3">
      <c r="A27" s="50" t="s">
        <v>22</v>
      </c>
      <c r="B27" s="9"/>
      <c r="C27" s="9"/>
      <c r="D27" s="9"/>
      <c r="E27" s="58">
        <f>E12-E26</f>
        <v>66.459956782500001</v>
      </c>
      <c r="F27" s="58">
        <f t="shared" ref="F27:N27" si="4">F12-F26</f>
        <v>90.753275709999997</v>
      </c>
      <c r="G27" s="58">
        <f t="shared" si="4"/>
        <v>106.40415499499997</v>
      </c>
      <c r="H27" s="58">
        <f t="shared" si="4"/>
        <v>121.89568428000001</v>
      </c>
      <c r="I27" s="58">
        <f t="shared" si="4"/>
        <v>121.87753303</v>
      </c>
      <c r="J27" s="58">
        <f t="shared" si="4"/>
        <v>121.55702043625001</v>
      </c>
      <c r="K27" s="58">
        <f t="shared" si="4"/>
        <v>121.21246939796876</v>
      </c>
      <c r="L27" s="58">
        <f t="shared" si="4"/>
        <v>120.84207703181642</v>
      </c>
      <c r="M27" s="58">
        <f t="shared" si="4"/>
        <v>120.44390523820263</v>
      </c>
      <c r="N27" s="58">
        <f t="shared" si="4"/>
        <v>120.01587056006784</v>
      </c>
    </row>
    <row r="28" spans="1:14" x14ac:dyDescent="0.3">
      <c r="A28" t="s">
        <v>114</v>
      </c>
      <c r="E28" s="15">
        <f>'Annual Expenses'!E16</f>
        <v>1.8</v>
      </c>
      <c r="F28" s="15">
        <f>'Annual Expenses'!F16</f>
        <v>1.9800000000000002</v>
      </c>
      <c r="G28" s="15">
        <f>'Annual Expenses'!G16</f>
        <v>2.1780000000000004</v>
      </c>
      <c r="H28" s="15">
        <f>'Annual Expenses'!H16</f>
        <v>2.3958000000000008</v>
      </c>
      <c r="I28" s="15">
        <f>'Annual Expenses'!I16</f>
        <v>2.6353800000000009</v>
      </c>
      <c r="J28" s="15">
        <f>'Annual Expenses'!J16</f>
        <v>2.8989180000000014</v>
      </c>
      <c r="K28" s="15">
        <f>'Annual Expenses'!K16</f>
        <v>3.1888098000000018</v>
      </c>
      <c r="L28" s="15">
        <f>'Annual Expenses'!L16</f>
        <v>3.5076907800000021</v>
      </c>
      <c r="M28" s="15">
        <f>'Annual Expenses'!M16</f>
        <v>3.8584598580000025</v>
      </c>
      <c r="N28" s="15">
        <f>'Annual Expenses'!N16</f>
        <v>4.244305843800003</v>
      </c>
    </row>
    <row r="29" spans="1:14" x14ac:dyDescent="0.3">
      <c r="A29" t="s">
        <v>271</v>
      </c>
      <c r="E29" s="15">
        <f>'Annual Expenses'!E14</f>
        <v>3.2850000000000001</v>
      </c>
      <c r="F29" s="15">
        <f>'Annual Expenses'!F14</f>
        <v>4.38</v>
      </c>
      <c r="G29" s="15">
        <f>'Annual Expenses'!G14</f>
        <v>5.1099999999999994</v>
      </c>
      <c r="H29" s="15">
        <f>'Annual Expenses'!H14</f>
        <v>5.84</v>
      </c>
      <c r="I29" s="15">
        <f>'Annual Expenses'!I14</f>
        <v>5.84</v>
      </c>
      <c r="J29" s="15">
        <f>'Annual Expenses'!J14</f>
        <v>5.84</v>
      </c>
      <c r="K29" s="15">
        <f>'Annual Expenses'!K14</f>
        <v>5.84</v>
      </c>
      <c r="L29" s="15">
        <f>'Annual Expenses'!L14</f>
        <v>5.84</v>
      </c>
      <c r="M29" s="15">
        <f>'Annual Expenses'!M14</f>
        <v>5.84</v>
      </c>
      <c r="N29" s="15">
        <f>'Annual Expenses'!N14</f>
        <v>5.84</v>
      </c>
    </row>
    <row r="30" spans="1:14" x14ac:dyDescent="0.3">
      <c r="A30" t="s">
        <v>113</v>
      </c>
      <c r="E30" s="15">
        <f>'Annual Expenses'!E15</f>
        <v>3.2850000000000001</v>
      </c>
      <c r="F30" s="15">
        <f>'Annual Expenses'!F15</f>
        <v>4.38</v>
      </c>
      <c r="G30" s="15">
        <f>'Annual Expenses'!G15</f>
        <v>5.1099999999999994</v>
      </c>
      <c r="H30" s="15">
        <f>'Annual Expenses'!H15</f>
        <v>5.84</v>
      </c>
      <c r="I30" s="15">
        <f>'Annual Expenses'!I15</f>
        <v>5.84</v>
      </c>
      <c r="J30" s="15">
        <f>'Annual Expenses'!J15</f>
        <v>0</v>
      </c>
      <c r="K30" s="15">
        <f>'Annual Expenses'!K15</f>
        <v>0</v>
      </c>
      <c r="L30" s="15">
        <f>'Annual Expenses'!L15</f>
        <v>0</v>
      </c>
      <c r="M30" s="15">
        <f>'Annual Expenses'!M15</f>
        <v>0</v>
      </c>
      <c r="N30" s="15">
        <f>'Annual Expenses'!N15</f>
        <v>0</v>
      </c>
    </row>
    <row r="31" spans="1:14" x14ac:dyDescent="0.3">
      <c r="A31" t="s">
        <v>146</v>
      </c>
      <c r="E31" s="15">
        <f>Assumptions!G25</f>
        <v>0</v>
      </c>
      <c r="F31" s="15">
        <f>Assumptions!H25</f>
        <v>0</v>
      </c>
      <c r="G31" s="15">
        <f>Assumptions!I25</f>
        <v>0</v>
      </c>
      <c r="H31" s="15">
        <f>Assumptions!J25</f>
        <v>0</v>
      </c>
      <c r="I31" s="15">
        <f>Assumptions!K25</f>
        <v>0</v>
      </c>
      <c r="J31" s="15">
        <f>Assumptions!L25</f>
        <v>0</v>
      </c>
      <c r="K31" s="15">
        <f>Assumptions!M25</f>
        <v>0</v>
      </c>
      <c r="L31" s="15">
        <f>Assumptions!N25</f>
        <v>0</v>
      </c>
      <c r="M31" s="15">
        <f>Assumptions!O25</f>
        <v>0</v>
      </c>
      <c r="N31" s="15">
        <f>Assumptions!P25</f>
        <v>0</v>
      </c>
    </row>
    <row r="32" spans="1:14" x14ac:dyDescent="0.3">
      <c r="A32" t="s">
        <v>20</v>
      </c>
      <c r="E32" s="15">
        <f>'Annual Expenses'!E46</f>
        <v>12.88738</v>
      </c>
      <c r="F32" s="15">
        <f>'Annual Expenses'!F46</f>
        <v>12.88738</v>
      </c>
      <c r="G32" s="15">
        <f>'Annual Expenses'!G46</f>
        <v>13.089630000000001</v>
      </c>
      <c r="H32" s="15">
        <f>'Annual Expenses'!H46</f>
        <v>13.291880000000001</v>
      </c>
      <c r="I32" s="15">
        <f>'Annual Expenses'!I46</f>
        <v>13.494130000000002</v>
      </c>
      <c r="J32" s="15">
        <f>'Annual Expenses'!J46</f>
        <v>13.696380000000001</v>
      </c>
      <c r="K32" s="15">
        <f>'Annual Expenses'!K46</f>
        <v>14.100880000000002</v>
      </c>
      <c r="L32" s="15">
        <f>'Annual Expenses'!L46</f>
        <v>14.505380000000001</v>
      </c>
      <c r="M32" s="15">
        <f>'Annual Expenses'!M46</f>
        <v>14.909880000000001</v>
      </c>
      <c r="N32" s="15">
        <f>'Annual Expenses'!N46</f>
        <v>15.314380000000002</v>
      </c>
    </row>
    <row r="33" spans="1:14" x14ac:dyDescent="0.3">
      <c r="A33" t="s">
        <v>147</v>
      </c>
      <c r="E33" s="15">
        <f>'Annual Expenses'!E17</f>
        <v>0.4</v>
      </c>
      <c r="F33" s="15">
        <f>'Annual Expenses'!F17</f>
        <v>0.4</v>
      </c>
      <c r="G33" s="15">
        <f>'Annual Expenses'!G17</f>
        <v>0.4</v>
      </c>
      <c r="H33" s="15">
        <f>'Annual Expenses'!H17</f>
        <v>0.4</v>
      </c>
      <c r="I33" s="15">
        <f>'Annual Expenses'!I17</f>
        <v>0.4</v>
      </c>
      <c r="J33" s="15">
        <f>'Annual Expenses'!J17</f>
        <v>0.4</v>
      </c>
      <c r="K33" s="15">
        <f>'Annual Expenses'!K17</f>
        <v>0.4</v>
      </c>
      <c r="L33" s="15">
        <f>'Annual Expenses'!L17</f>
        <v>0.4</v>
      </c>
      <c r="M33" s="15">
        <f>'Annual Expenses'!M17</f>
        <v>0.4</v>
      </c>
      <c r="N33" s="15">
        <f>'Annual Expenses'!N17</f>
        <v>0.4</v>
      </c>
    </row>
    <row r="34" spans="1:14" x14ac:dyDescent="0.3">
      <c r="A34" t="s">
        <v>70</v>
      </c>
      <c r="E34" s="15">
        <f>Assumptions!G26</f>
        <v>0</v>
      </c>
      <c r="F34" s="15">
        <f>Assumptions!H26</f>
        <v>0</v>
      </c>
      <c r="G34" s="15">
        <f>Assumptions!I26</f>
        <v>0</v>
      </c>
      <c r="H34" s="15">
        <f>Assumptions!J26</f>
        <v>0</v>
      </c>
      <c r="I34" s="15">
        <f>Assumptions!K26</f>
        <v>0</v>
      </c>
      <c r="J34" s="15">
        <f>Assumptions!L26</f>
        <v>0</v>
      </c>
      <c r="K34" s="15">
        <f>Assumptions!M26</f>
        <v>0</v>
      </c>
      <c r="L34" s="15">
        <f>Assumptions!N26</f>
        <v>0</v>
      </c>
      <c r="M34" s="15">
        <f>Assumptions!O26</f>
        <v>0</v>
      </c>
      <c r="N34" s="15">
        <f>Assumptions!P26</f>
        <v>0</v>
      </c>
    </row>
    <row r="35" spans="1:14" x14ac:dyDescent="0.3">
      <c r="A35" s="68" t="s">
        <v>148</v>
      </c>
      <c r="E35" s="15">
        <f>-1*Assumptions!G27</f>
        <v>0</v>
      </c>
      <c r="F35" s="15">
        <f>-1*Assumptions!H27</f>
        <v>0</v>
      </c>
      <c r="G35" s="15">
        <f>-1*Assumptions!I27</f>
        <v>0</v>
      </c>
      <c r="H35" s="15">
        <f>-1*Assumptions!J27</f>
        <v>0</v>
      </c>
      <c r="I35" s="15">
        <f>-1*Assumptions!K27</f>
        <v>0</v>
      </c>
      <c r="J35" s="15">
        <f>-1*Assumptions!L27</f>
        <v>0</v>
      </c>
      <c r="K35" s="15">
        <f>-1*Assumptions!M27</f>
        <v>0</v>
      </c>
      <c r="L35" s="15">
        <f>-1*Assumptions!N27</f>
        <v>0</v>
      </c>
      <c r="M35" s="15">
        <f>-1*Assumptions!O27</f>
        <v>0</v>
      </c>
      <c r="N35" s="15">
        <f>-1*Assumptions!P27</f>
        <v>0</v>
      </c>
    </row>
    <row r="36" spans="1:14" x14ac:dyDescent="0.3">
      <c r="A36" s="63" t="s">
        <v>149</v>
      </c>
      <c r="B36" s="3"/>
      <c r="C36" s="3"/>
      <c r="D36" s="3"/>
      <c r="E36" s="61">
        <f>SUM(E28:E35)</f>
        <v>21.65738</v>
      </c>
      <c r="F36" s="61">
        <f t="shared" ref="F36:N36" si="5">SUM(F28:F35)</f>
        <v>24.027380000000001</v>
      </c>
      <c r="G36" s="61">
        <f t="shared" si="5"/>
        <v>25.887630000000001</v>
      </c>
      <c r="H36" s="61">
        <f t="shared" si="5"/>
        <v>27.767679999999999</v>
      </c>
      <c r="I36" s="61">
        <f t="shared" si="5"/>
        <v>28.209510000000002</v>
      </c>
      <c r="J36" s="61">
        <f t="shared" si="5"/>
        <v>22.835298000000002</v>
      </c>
      <c r="K36" s="61">
        <f t="shared" si="5"/>
        <v>23.5296898</v>
      </c>
      <c r="L36" s="61">
        <f t="shared" si="5"/>
        <v>24.253070780000002</v>
      </c>
      <c r="M36" s="61">
        <f t="shared" si="5"/>
        <v>25.008339858000003</v>
      </c>
      <c r="N36" s="61">
        <f t="shared" si="5"/>
        <v>25.798685843800001</v>
      </c>
    </row>
    <row r="37" spans="1:14" x14ac:dyDescent="0.3">
      <c r="A37" s="63" t="s">
        <v>150</v>
      </c>
      <c r="B37" s="3"/>
      <c r="C37" s="3"/>
      <c r="D37" s="3"/>
      <c r="E37" s="61">
        <f>E27-E36</f>
        <v>44.802576782499997</v>
      </c>
      <c r="F37" s="61">
        <f t="shared" ref="F37:N37" si="6">F27-F36</f>
        <v>66.725895710000003</v>
      </c>
      <c r="G37" s="61">
        <f t="shared" si="6"/>
        <v>80.516524994999969</v>
      </c>
      <c r="H37" s="61">
        <f t="shared" si="6"/>
        <v>94.128004280000013</v>
      </c>
      <c r="I37" s="61">
        <f t="shared" si="6"/>
        <v>93.668023030000001</v>
      </c>
      <c r="J37" s="61">
        <f t="shared" si="6"/>
        <v>98.721722436250019</v>
      </c>
      <c r="K37" s="61">
        <f t="shared" si="6"/>
        <v>97.682779597968761</v>
      </c>
      <c r="L37" s="61">
        <f t="shared" si="6"/>
        <v>96.589006251816414</v>
      </c>
      <c r="M37" s="61">
        <f t="shared" si="6"/>
        <v>95.435565380202632</v>
      </c>
      <c r="N37" s="61">
        <f t="shared" si="6"/>
        <v>94.217184716267838</v>
      </c>
    </row>
    <row r="38" spans="1:14" x14ac:dyDescent="0.3">
      <c r="A38" t="s">
        <v>151</v>
      </c>
      <c r="E38" s="15">
        <f>'Annual Expenses'!E29</f>
        <v>19.236000000000001</v>
      </c>
      <c r="F38" s="15">
        <f>'Annual Expenses'!F29</f>
        <v>19.908000000000001</v>
      </c>
      <c r="G38" s="15">
        <f>'Annual Expenses'!G29</f>
        <v>19.291500000000003</v>
      </c>
      <c r="H38" s="15">
        <f>'Annual Expenses'!H29</f>
        <v>17.602499999999999</v>
      </c>
      <c r="I38" s="15">
        <f>'Annual Expenses'!I29</f>
        <v>15.457500000000001</v>
      </c>
      <c r="J38" s="15">
        <f>'Annual Expenses'!J29</f>
        <v>13.3125</v>
      </c>
      <c r="K38" s="15">
        <f>'Annual Expenses'!K29</f>
        <v>11.1675</v>
      </c>
      <c r="L38" s="15">
        <f>'Annual Expenses'!L29</f>
        <v>9.0224999999999991</v>
      </c>
      <c r="M38" s="15">
        <f>'Annual Expenses'!M29</f>
        <v>6.8774999999999995</v>
      </c>
      <c r="N38" s="15">
        <f>'Annual Expenses'!N29</f>
        <v>4.7324999999999999</v>
      </c>
    </row>
    <row r="39" spans="1:14" x14ac:dyDescent="0.3">
      <c r="A39" t="s">
        <v>73</v>
      </c>
      <c r="E39" s="15">
        <f>Assumptions!G30</f>
        <v>0</v>
      </c>
      <c r="F39" s="15">
        <f>Assumptions!H30</f>
        <v>0</v>
      </c>
      <c r="G39" s="15">
        <f>Assumptions!I30</f>
        <v>0</v>
      </c>
      <c r="H39" s="15">
        <f>Assumptions!J30</f>
        <v>0</v>
      </c>
      <c r="I39" s="15">
        <f>Assumptions!K30</f>
        <v>0</v>
      </c>
      <c r="J39" s="15">
        <f>Assumptions!L30</f>
        <v>0</v>
      </c>
      <c r="K39" s="15">
        <f>Assumptions!M30</f>
        <v>0</v>
      </c>
      <c r="L39" s="15">
        <f>Assumptions!N30</f>
        <v>0</v>
      </c>
      <c r="M39" s="15">
        <f>Assumptions!O30</f>
        <v>0</v>
      </c>
      <c r="N39" s="15">
        <f>Assumptions!P30</f>
        <v>0</v>
      </c>
    </row>
    <row r="40" spans="1:14" x14ac:dyDescent="0.3">
      <c r="A40" t="s">
        <v>72</v>
      </c>
      <c r="E40" s="15">
        <f>Assumptions!G28</f>
        <v>0</v>
      </c>
      <c r="F40" s="15">
        <f>Assumptions!H28</f>
        <v>0</v>
      </c>
      <c r="G40" s="15">
        <f>Assumptions!I28</f>
        <v>0</v>
      </c>
      <c r="H40" s="15">
        <f>Assumptions!J28</f>
        <v>0</v>
      </c>
      <c r="I40" s="15">
        <f>Assumptions!K28</f>
        <v>0</v>
      </c>
      <c r="J40" s="15">
        <f>Assumptions!L28</f>
        <v>0</v>
      </c>
      <c r="K40" s="15">
        <f>Assumptions!M28</f>
        <v>0</v>
      </c>
      <c r="L40" s="15">
        <f>Assumptions!N28</f>
        <v>0</v>
      </c>
      <c r="M40" s="15">
        <f>Assumptions!O28</f>
        <v>0</v>
      </c>
      <c r="N40" s="15">
        <f>Assumptions!P28</f>
        <v>0</v>
      </c>
    </row>
    <row r="41" spans="1:14" x14ac:dyDescent="0.3">
      <c r="A41" s="10" t="s">
        <v>152</v>
      </c>
      <c r="B41" s="10"/>
      <c r="C41" s="10"/>
      <c r="D41" s="10"/>
      <c r="E41" s="65">
        <f>Assumptions!G29</f>
        <v>0</v>
      </c>
      <c r="F41" s="65">
        <f>Assumptions!H29</f>
        <v>0</v>
      </c>
      <c r="G41" s="65">
        <f>Assumptions!I29</f>
        <v>0</v>
      </c>
      <c r="H41" s="65">
        <f>Assumptions!J29</f>
        <v>0</v>
      </c>
      <c r="I41" s="65">
        <f>Assumptions!K29</f>
        <v>0</v>
      </c>
      <c r="J41" s="65">
        <f>Assumptions!L29</f>
        <v>0</v>
      </c>
      <c r="K41" s="65">
        <f>Assumptions!M29</f>
        <v>0</v>
      </c>
      <c r="L41" s="65">
        <f>Assumptions!N29</f>
        <v>0</v>
      </c>
      <c r="M41" s="65">
        <f>Assumptions!O29</f>
        <v>0</v>
      </c>
      <c r="N41" s="65">
        <f>Assumptions!P29</f>
        <v>0</v>
      </c>
    </row>
    <row r="42" spans="1:14" x14ac:dyDescent="0.3">
      <c r="A42" s="69" t="s">
        <v>153</v>
      </c>
      <c r="B42" s="3"/>
      <c r="C42" s="3"/>
      <c r="D42" s="3"/>
      <c r="E42" s="61">
        <f>SUM(E37,E40:E41)-SUM(E38:E39)</f>
        <v>25.566576782499997</v>
      </c>
      <c r="F42" s="61">
        <f t="shared" ref="F42:N42" si="7">SUM(F37,F40:F41)-SUM(F38:F39)</f>
        <v>46.817895710000002</v>
      </c>
      <c r="G42" s="61">
        <f t="shared" si="7"/>
        <v>61.22502499499997</v>
      </c>
      <c r="H42" s="61">
        <f t="shared" si="7"/>
        <v>76.525504280000007</v>
      </c>
      <c r="I42" s="61">
        <f t="shared" si="7"/>
        <v>78.210523030000004</v>
      </c>
      <c r="J42" s="61">
        <f t="shared" si="7"/>
        <v>85.409222436250019</v>
      </c>
      <c r="K42" s="61">
        <f t="shared" si="7"/>
        <v>86.515279597968757</v>
      </c>
      <c r="L42" s="61">
        <f t="shared" si="7"/>
        <v>87.566506251816421</v>
      </c>
      <c r="M42" s="61">
        <f t="shared" si="7"/>
        <v>88.558065380202635</v>
      </c>
      <c r="N42" s="61">
        <f t="shared" si="7"/>
        <v>89.484684716267836</v>
      </c>
    </row>
    <row r="43" spans="1:14" x14ac:dyDescent="0.3">
      <c r="A43" s="59" t="s">
        <v>154</v>
      </c>
      <c r="B43" s="10"/>
      <c r="C43" s="10"/>
      <c r="D43" s="10"/>
      <c r="E43" s="65">
        <f>'Tax Schedule'!E11</f>
        <v>0</v>
      </c>
      <c r="F43" s="65">
        <f>'Tax Schedule'!F11</f>
        <v>7.0908081231249982</v>
      </c>
      <c r="G43" s="65">
        <f>'Tax Schedule'!G11</f>
        <v>12.759501248749991</v>
      </c>
      <c r="H43" s="65">
        <f>'Tax Schedule'!H11</f>
        <v>17.900615445000003</v>
      </c>
      <c r="I43" s="65">
        <f>'Tax Schedule'!I11</f>
        <v>19.324817413750001</v>
      </c>
      <c r="J43" s="65">
        <f>'Tax Schedule'!J11</f>
        <v>21.892323138750005</v>
      </c>
      <c r="K43" s="65">
        <f>'Tax Schedule'!K11</f>
        <v>22.654345518007815</v>
      </c>
      <c r="L43" s="65">
        <f>'Tax Schedule'!L11</f>
        <v>23.308978125965822</v>
      </c>
      <c r="M43" s="65">
        <f>'Tax Schedule'!M11</f>
        <v>23.878190881521949</v>
      </c>
      <c r="N43" s="65">
        <f>'Tax Schedule'!N11</f>
        <v>24.378074234211674</v>
      </c>
    </row>
    <row r="44" spans="1:14" x14ac:dyDescent="0.3">
      <c r="A44" s="69" t="s">
        <v>155</v>
      </c>
      <c r="B44" s="3"/>
      <c r="C44" s="3"/>
      <c r="D44" s="3"/>
      <c r="E44" s="61">
        <f>E42-E43</f>
        <v>25.566576782499997</v>
      </c>
      <c r="F44" s="61">
        <f t="shared" ref="F44:N44" si="8">F42-F43</f>
        <v>39.727087586875001</v>
      </c>
      <c r="G44" s="61">
        <f t="shared" si="8"/>
        <v>48.465523746249978</v>
      </c>
      <c r="H44" s="61">
        <f t="shared" si="8"/>
        <v>58.624888835000007</v>
      </c>
      <c r="I44" s="61">
        <f t="shared" si="8"/>
        <v>58.885705616250007</v>
      </c>
      <c r="J44" s="61">
        <f t="shared" si="8"/>
        <v>63.516899297500018</v>
      </c>
      <c r="K44" s="61">
        <f t="shared" si="8"/>
        <v>63.860934079960941</v>
      </c>
      <c r="L44" s="61">
        <f t="shared" si="8"/>
        <v>64.257528125850598</v>
      </c>
      <c r="M44" s="61">
        <f t="shared" si="8"/>
        <v>64.679874498680689</v>
      </c>
      <c r="N44" s="61">
        <f t="shared" si="8"/>
        <v>65.106610482056169</v>
      </c>
    </row>
    <row r="45" spans="1:14" x14ac:dyDescent="0.3">
      <c r="A45" s="70" t="s">
        <v>156</v>
      </c>
      <c r="B45" s="10"/>
      <c r="C45" s="10"/>
      <c r="D45" s="10"/>
      <c r="E45" s="65">
        <f>E44+E32+E33</f>
        <v>38.853956782499999</v>
      </c>
      <c r="F45" s="65">
        <f t="shared" ref="F45:N45" si="9">F44+F32+F33</f>
        <v>53.014467586875</v>
      </c>
      <c r="G45" s="65">
        <f t="shared" si="9"/>
        <v>61.955153746249977</v>
      </c>
      <c r="H45" s="65">
        <f t="shared" si="9"/>
        <v>72.316768835000019</v>
      </c>
      <c r="I45" s="65">
        <f t="shared" si="9"/>
        <v>72.779835616250011</v>
      </c>
      <c r="J45" s="65">
        <f t="shared" si="9"/>
        <v>77.613279297500029</v>
      </c>
      <c r="K45" s="65">
        <f t="shared" si="9"/>
        <v>78.361814079960951</v>
      </c>
      <c r="L45" s="65">
        <f t="shared" si="9"/>
        <v>79.162908125850606</v>
      </c>
      <c r="M45" s="65">
        <f t="shared" si="9"/>
        <v>79.989754498680696</v>
      </c>
      <c r="N45" s="65">
        <f t="shared" si="9"/>
        <v>80.820990482056175</v>
      </c>
    </row>
    <row r="46" spans="1:14" x14ac:dyDescent="0.3">
      <c r="A46" s="70"/>
      <c r="B46" s="10"/>
      <c r="C46" s="10"/>
      <c r="D46" s="10"/>
      <c r="E46" s="65"/>
      <c r="F46" s="65"/>
      <c r="G46" s="65"/>
      <c r="H46" s="65"/>
      <c r="I46" s="65"/>
      <c r="J46" s="65"/>
      <c r="K46" s="65"/>
      <c r="L46" s="65"/>
      <c r="M46" s="65"/>
      <c r="N46" s="65"/>
    </row>
    <row r="47" spans="1:14" x14ac:dyDescent="0.3">
      <c r="A47" s="23" t="s">
        <v>157</v>
      </c>
      <c r="B47" s="10"/>
      <c r="C47" s="10"/>
      <c r="D47" s="10"/>
      <c r="E47" s="65"/>
      <c r="F47" s="65"/>
      <c r="G47" s="66"/>
      <c r="H47" s="66"/>
      <c r="I47" s="66"/>
      <c r="J47" s="66"/>
      <c r="K47" s="66"/>
      <c r="L47" s="66"/>
      <c r="M47" s="66"/>
      <c r="N47" s="66"/>
    </row>
    <row r="48" spans="1:14" x14ac:dyDescent="0.3">
      <c r="A48" s="71" t="s">
        <v>75</v>
      </c>
      <c r="B48" s="10"/>
      <c r="C48" s="10"/>
      <c r="D48" s="10"/>
      <c r="E48" s="65">
        <f>IF((D50+E44)&gt;0,MIN(Assumptions!G33,(D50+E44)),0)</f>
        <v>0</v>
      </c>
      <c r="F48" s="65">
        <f>IF((SUM($D$50:E50)+F44)&gt;0,MIN(Assumptions!H33,((SUM($D$50:E50))),0))</f>
        <v>0</v>
      </c>
      <c r="G48" s="65">
        <f>IF((SUM($D$50:F50)+G44)&gt;0,MIN(Assumptions!I33,((SUM($D$50:F50))),0))</f>
        <v>0</v>
      </c>
      <c r="H48" s="65">
        <f>IF((SUM($D$50:G50)+H44)&gt;0,MIN(Assumptions!J33,((SUM($D$50:G50))),0))</f>
        <v>0</v>
      </c>
      <c r="I48" s="65">
        <f>IF((SUM($D$50:H50)+I44)&gt;0,MIN(Assumptions!K33,((SUM($D$50:H50))),0))</f>
        <v>0</v>
      </c>
      <c r="J48" s="65">
        <f>IF((SUM($D$50:I50)+J44)&gt;0,MIN(Assumptions!L33,((SUM($D$50:I50))),0))</f>
        <v>0</v>
      </c>
      <c r="K48" s="65">
        <f>IF((SUM($D$50:J50)+K44)&gt;0,MIN(Assumptions!M33,((SUM($D$50:J50))),0))</f>
        <v>0</v>
      </c>
      <c r="L48" s="65">
        <f>IF((SUM($D$50:K50)+L44)&gt;0,MIN(Assumptions!N33,((SUM($D$50:K50))),0))</f>
        <v>0</v>
      </c>
      <c r="M48" s="65">
        <f>IF((SUM($D$50:L50)+M44)&gt;0,MIN(Assumptions!O33,((SUM($D$50:L50))),0))</f>
        <v>0</v>
      </c>
      <c r="N48" s="65">
        <f>IF((SUM($D$50:M50)+N44)&gt;0,MIN(Assumptions!P33,((SUM($D$50:M50))),0))</f>
        <v>0</v>
      </c>
    </row>
    <row r="49" spans="1:14" x14ac:dyDescent="0.3">
      <c r="A49" s="71" t="s">
        <v>0</v>
      </c>
      <c r="B49" s="10"/>
      <c r="C49" s="10"/>
      <c r="D49" s="10"/>
      <c r="E49" s="65">
        <f>IF((D50+E44)&gt;0,MIN(Assumptions!$B$17*Assumptions!G34,(D50+E44)),0)</f>
        <v>0</v>
      </c>
      <c r="F49" s="65">
        <f>IF((E50+F44)&gt;0,MIN(Assumptions!$B$17*Assumptions!H34,(E50+F44)),0)</f>
        <v>6.65</v>
      </c>
      <c r="G49" s="65">
        <f>IF((F50+G44)&gt;0,MIN(Assumptions!$B$17*Assumptions!I34,(F50+G44)),0)</f>
        <v>9.9749999999999996</v>
      </c>
      <c r="H49" s="65">
        <f>IF((G50+H44)&gt;0,MIN(Assumptions!$B$17*Assumptions!J34,(G50+H44)),0)</f>
        <v>13.3</v>
      </c>
      <c r="I49" s="65">
        <f>IF((H50+I44)&gt;0,MIN(Assumptions!$B$17*Assumptions!K34,(H50+I44)),0)</f>
        <v>13.3</v>
      </c>
      <c r="J49" s="65">
        <f>IF((I50+J44)&gt;0,MIN(Assumptions!$B$17*Assumptions!L34,(I50+J44)),0)</f>
        <v>13.3</v>
      </c>
      <c r="K49" s="65">
        <f>IF((J50+K44)&gt;0,MIN(Assumptions!$B$17*Assumptions!M34,(J50+K44)),0)</f>
        <v>13.3</v>
      </c>
      <c r="L49" s="65">
        <f>IF((K50+L44)&gt;0,MIN(Assumptions!$B$17*Assumptions!N34,(K50+L44)),0)</f>
        <v>13.3</v>
      </c>
      <c r="M49" s="65">
        <f>IF((L50+M44)&gt;0,MIN(Assumptions!$B$17*Assumptions!O34,(L50+M44)),0)</f>
        <v>13.3</v>
      </c>
      <c r="N49" s="65">
        <f>IF((M50+N44)&gt;0,MIN(Assumptions!$B$17*Assumptions!P34,(M50+N44)),0)</f>
        <v>13.3</v>
      </c>
    </row>
    <row r="50" spans="1:14" x14ac:dyDescent="0.3">
      <c r="A50" s="70" t="s">
        <v>158</v>
      </c>
      <c r="B50" s="10"/>
      <c r="C50" s="10"/>
      <c r="D50" s="10"/>
      <c r="E50" s="65">
        <f>E44-E48-E49</f>
        <v>25.566576782499997</v>
      </c>
      <c r="F50" s="65">
        <f t="shared" ref="F50:N50" si="10">F44-F48-F49</f>
        <v>33.077087586875003</v>
      </c>
      <c r="G50" s="65">
        <f t="shared" si="10"/>
        <v>38.490523746249977</v>
      </c>
      <c r="H50" s="65">
        <f t="shared" si="10"/>
        <v>45.32488883500001</v>
      </c>
      <c r="I50" s="65">
        <f t="shared" si="10"/>
        <v>45.58570561625001</v>
      </c>
      <c r="J50" s="65">
        <f t="shared" si="10"/>
        <v>50.216899297500021</v>
      </c>
      <c r="K50" s="65">
        <f t="shared" si="10"/>
        <v>50.560934079960944</v>
      </c>
      <c r="L50" s="65">
        <f t="shared" si="10"/>
        <v>50.957528125850601</v>
      </c>
      <c r="M50" s="65">
        <f t="shared" si="10"/>
        <v>51.379874498680692</v>
      </c>
      <c r="N50" s="65">
        <f t="shared" si="10"/>
        <v>51.806610482056172</v>
      </c>
    </row>
    <row r="51" spans="1:14" x14ac:dyDescent="0.3">
      <c r="A51" s="70" t="s">
        <v>159</v>
      </c>
      <c r="B51" s="10"/>
      <c r="C51" s="10"/>
      <c r="D51" s="10"/>
      <c r="E51" s="65">
        <f>D51+E50</f>
        <v>25.566576782499997</v>
      </c>
      <c r="F51" s="65">
        <f>E51+F50</f>
        <v>58.643664369375003</v>
      </c>
      <c r="G51" s="65">
        <f t="shared" ref="G51:N51" si="11">F51+G50</f>
        <v>97.13418811562498</v>
      </c>
      <c r="H51" s="65">
        <f t="shared" si="11"/>
        <v>142.45907695062499</v>
      </c>
      <c r="I51" s="65">
        <f t="shared" si="11"/>
        <v>188.044782566875</v>
      </c>
      <c r="J51" s="65">
        <f t="shared" si="11"/>
        <v>238.26168186437502</v>
      </c>
      <c r="K51" s="65">
        <f t="shared" si="11"/>
        <v>288.82261594433595</v>
      </c>
      <c r="L51" s="65">
        <f t="shared" si="11"/>
        <v>339.78014407018657</v>
      </c>
      <c r="M51" s="65">
        <f t="shared" si="11"/>
        <v>391.16001856886726</v>
      </c>
      <c r="N51" s="65">
        <f t="shared" si="11"/>
        <v>442.96662905092342</v>
      </c>
    </row>
    <row r="52" spans="1:14" x14ac:dyDescent="0.3">
      <c r="A52" s="23"/>
      <c r="B52" s="10"/>
      <c r="C52" s="10"/>
      <c r="D52" s="10"/>
      <c r="F52" s="65"/>
      <c r="G52" s="65"/>
      <c r="H52" s="65"/>
      <c r="I52" s="65"/>
      <c r="J52" s="65"/>
      <c r="K52" s="65"/>
      <c r="L52" s="65"/>
      <c r="M52" s="65"/>
      <c r="N52" s="65"/>
    </row>
    <row r="53" spans="1:14" x14ac:dyDescent="0.3">
      <c r="A53" s="23"/>
      <c r="B53" s="10"/>
      <c r="C53" s="10"/>
      <c r="D53" s="10"/>
      <c r="E53" s="65"/>
      <c r="F53" s="65"/>
      <c r="G53" s="66"/>
      <c r="H53" s="66"/>
      <c r="I53" s="66"/>
      <c r="J53" s="66"/>
      <c r="K53" s="66"/>
      <c r="L53" s="66"/>
      <c r="M53" s="66"/>
      <c r="N53" s="66"/>
    </row>
    <row r="54" spans="1:14" x14ac:dyDescent="0.3">
      <c r="A54" s="23"/>
      <c r="B54" s="10"/>
      <c r="C54" s="10"/>
      <c r="D54" s="10"/>
      <c r="E54" s="65"/>
      <c r="F54" s="65"/>
      <c r="G54" s="66"/>
      <c r="H54" s="66"/>
      <c r="I54" s="66"/>
      <c r="J54" s="66"/>
      <c r="K54" s="66"/>
      <c r="L54" s="66"/>
      <c r="M54" s="66"/>
      <c r="N54" s="66"/>
    </row>
    <row r="55" spans="1:14" x14ac:dyDescent="0.3">
      <c r="A55" s="23"/>
      <c r="B55" s="10"/>
      <c r="C55" s="10"/>
      <c r="D55" s="10"/>
      <c r="E55" s="65"/>
      <c r="F55" s="65"/>
      <c r="G55" s="66"/>
      <c r="H55" s="66"/>
      <c r="I55" s="66"/>
      <c r="J55" s="66"/>
      <c r="K55" s="66"/>
      <c r="L55" s="66"/>
      <c r="M55" s="66"/>
      <c r="N55" s="66"/>
    </row>
  </sheetData>
  <mergeCells count="2">
    <mergeCell ref="A3:A4"/>
    <mergeCell ref="D3:N3"/>
  </mergeCells>
  <pageMargins left="0.7" right="0.7" top="0.75" bottom="0.75" header="0.3" footer="0.3"/>
  <ignoredErrors>
    <ignoredError sqref="E11:N11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4"/>
  <sheetViews>
    <sheetView showGridLines="0" workbookViewId="0">
      <pane xSplit="3" ySplit="4" topLeftCell="D8" activePane="bottomRight" state="frozen"/>
      <selection activeCell="P5" sqref="P5"/>
      <selection pane="topRight" activeCell="P5" sqref="P5"/>
      <selection pane="bottomLeft" activeCell="P5" sqref="P5"/>
      <selection pane="bottomRight" activeCell="D18" sqref="D18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11" max="14" width="9.5546875" bestFit="1" customWidth="1"/>
  </cols>
  <sheetData>
    <row r="1" spans="1:14" s="6" customFormat="1" ht="18" x14ac:dyDescent="0.35">
      <c r="A1" s="6" t="s">
        <v>437</v>
      </c>
    </row>
    <row r="2" spans="1:14" x14ac:dyDescent="0.3">
      <c r="A2" t="s">
        <v>3</v>
      </c>
    </row>
    <row r="3" spans="1:14" x14ac:dyDescent="0.3">
      <c r="A3" s="183" t="s">
        <v>36</v>
      </c>
      <c r="B3" s="48"/>
      <c r="C3" s="48"/>
      <c r="D3" s="184" t="s">
        <v>15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4" x14ac:dyDescent="0.3">
      <c r="A4" s="183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s="23" t="s">
        <v>164</v>
      </c>
      <c r="D6" s="15"/>
      <c r="E6" s="57">
        <f>'Income Statement'!E37</f>
        <v>44.802576782499997</v>
      </c>
      <c r="F6" s="57">
        <f>'Income Statement'!F37</f>
        <v>66.725895710000003</v>
      </c>
      <c r="G6" s="57">
        <f>'Income Statement'!G37</f>
        <v>80.516524994999969</v>
      </c>
      <c r="H6" s="57">
        <f>'Income Statement'!H37</f>
        <v>94.128004280000013</v>
      </c>
      <c r="I6" s="57">
        <f>'Income Statement'!I37</f>
        <v>93.668023030000001</v>
      </c>
      <c r="J6" s="57">
        <f>'Income Statement'!J37</f>
        <v>98.721722436250019</v>
      </c>
      <c r="K6" s="57">
        <f>'Income Statement'!K37</f>
        <v>97.682779597968761</v>
      </c>
      <c r="L6" s="57">
        <f>'Income Statement'!L37</f>
        <v>96.589006251816414</v>
      </c>
      <c r="M6" s="57">
        <f>'Income Statement'!M37</f>
        <v>95.435565380202632</v>
      </c>
      <c r="N6" s="57">
        <f>'Income Statement'!N37</f>
        <v>94.217184716267838</v>
      </c>
    </row>
    <row r="7" spans="1:14" x14ac:dyDescent="0.3">
      <c r="A7" s="70" t="s">
        <v>165</v>
      </c>
      <c r="D7" s="15"/>
      <c r="E7" s="57">
        <f>-'Tax Schedule'!E11</f>
        <v>0</v>
      </c>
      <c r="F7" s="57">
        <f>-'Tax Schedule'!F11</f>
        <v>-7.0908081231249982</v>
      </c>
      <c r="G7" s="57">
        <f>-'Tax Schedule'!G11</f>
        <v>-12.759501248749991</v>
      </c>
      <c r="H7" s="57">
        <f>-'Tax Schedule'!H11</f>
        <v>-17.900615445000003</v>
      </c>
      <c r="I7" s="57">
        <f>-'Tax Schedule'!I11</f>
        <v>-19.324817413750001</v>
      </c>
      <c r="J7" s="57">
        <f>-'Tax Schedule'!J11</f>
        <v>-21.892323138750005</v>
      </c>
      <c r="K7" s="57">
        <f>-'Tax Schedule'!K11</f>
        <v>-22.654345518007815</v>
      </c>
      <c r="L7" s="57">
        <f>-'Tax Schedule'!L11</f>
        <v>-23.308978125965822</v>
      </c>
      <c r="M7" s="57">
        <f>-'Tax Schedule'!M11</f>
        <v>-23.878190881521949</v>
      </c>
      <c r="N7" s="57">
        <f>-'Tax Schedule'!N11</f>
        <v>-24.378074234211674</v>
      </c>
    </row>
    <row r="8" spans="1:14" x14ac:dyDescent="0.3">
      <c r="A8" s="74" t="s">
        <v>166</v>
      </c>
      <c r="B8" s="3"/>
      <c r="C8" s="3"/>
      <c r="D8" s="61"/>
      <c r="E8" s="67">
        <f>SUM(E6:E7)</f>
        <v>44.802576782499997</v>
      </c>
      <c r="F8" s="67">
        <f t="shared" ref="F8:N8" si="0">SUM(F6:F7)</f>
        <v>59.635087586875002</v>
      </c>
      <c r="G8" s="67">
        <f t="shared" si="0"/>
        <v>67.757023746249985</v>
      </c>
      <c r="H8" s="67">
        <f t="shared" si="0"/>
        <v>76.227388835000014</v>
      </c>
      <c r="I8" s="67">
        <f t="shared" si="0"/>
        <v>74.343205616250003</v>
      </c>
      <c r="J8" s="67">
        <f t="shared" si="0"/>
        <v>76.829399297500018</v>
      </c>
      <c r="K8" s="67">
        <f t="shared" si="0"/>
        <v>75.028434079960945</v>
      </c>
      <c r="L8" s="67">
        <f t="shared" si="0"/>
        <v>73.280028125850592</v>
      </c>
      <c r="M8" s="67">
        <f t="shared" si="0"/>
        <v>71.557374498680687</v>
      </c>
      <c r="N8" s="67">
        <f t="shared" si="0"/>
        <v>69.839110482056157</v>
      </c>
    </row>
    <row r="9" spans="1:14" x14ac:dyDescent="0.3">
      <c r="D9" s="15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1:14" x14ac:dyDescent="0.3">
      <c r="A10" s="23" t="s">
        <v>167</v>
      </c>
      <c r="D10" s="15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1:14" x14ac:dyDescent="0.3">
      <c r="A11" s="70" t="s">
        <v>168</v>
      </c>
      <c r="D11" s="15"/>
      <c r="E11" s="57">
        <f>'Income Statement'!E32</f>
        <v>12.88738</v>
      </c>
      <c r="F11" s="57">
        <f>'Income Statement'!F32</f>
        <v>12.88738</v>
      </c>
      <c r="G11" s="57">
        <f>'Income Statement'!G32</f>
        <v>13.089630000000001</v>
      </c>
      <c r="H11" s="57">
        <f>'Income Statement'!H32</f>
        <v>13.291880000000001</v>
      </c>
      <c r="I11" s="57">
        <f>'Income Statement'!I32</f>
        <v>13.494130000000002</v>
      </c>
      <c r="J11" s="57">
        <f>'Income Statement'!J32</f>
        <v>13.696380000000001</v>
      </c>
      <c r="K11" s="57">
        <f>'Income Statement'!K32</f>
        <v>14.100880000000002</v>
      </c>
      <c r="L11" s="57">
        <f>'Income Statement'!L32</f>
        <v>14.505380000000001</v>
      </c>
      <c r="M11" s="57">
        <f>'Income Statement'!M32</f>
        <v>14.909880000000001</v>
      </c>
      <c r="N11" s="57">
        <f>'Income Statement'!N32</f>
        <v>15.314380000000002</v>
      </c>
    </row>
    <row r="12" spans="1:14" x14ac:dyDescent="0.3">
      <c r="A12" s="70" t="s">
        <v>169</v>
      </c>
      <c r="D12" s="15"/>
      <c r="E12" s="57">
        <f>'Income Statement'!E33</f>
        <v>0.4</v>
      </c>
      <c r="F12" s="57">
        <f>'Income Statement'!F33</f>
        <v>0.4</v>
      </c>
      <c r="G12" s="57">
        <f>'Income Statement'!G33</f>
        <v>0.4</v>
      </c>
      <c r="H12" s="57">
        <f>'Income Statement'!H33</f>
        <v>0.4</v>
      </c>
      <c r="I12" s="57">
        <f>'Income Statement'!I33</f>
        <v>0.4</v>
      </c>
      <c r="J12" s="57">
        <f>'Income Statement'!J33</f>
        <v>0.4</v>
      </c>
      <c r="K12" s="57">
        <f>'Income Statement'!K33</f>
        <v>0.4</v>
      </c>
      <c r="L12" s="57">
        <f>'Income Statement'!L33</f>
        <v>0.4</v>
      </c>
      <c r="M12" s="57">
        <f>'Income Statement'!M33</f>
        <v>0.4</v>
      </c>
      <c r="N12" s="57">
        <f>'Income Statement'!N33</f>
        <v>0.4</v>
      </c>
    </row>
    <row r="13" spans="1:14" x14ac:dyDescent="0.3">
      <c r="A13" s="72" t="s">
        <v>174</v>
      </c>
      <c r="B13" s="3"/>
      <c r="C13" s="3"/>
      <c r="D13" s="61"/>
      <c r="E13" s="67">
        <f>E8+E11+E12</f>
        <v>58.089956782499996</v>
      </c>
      <c r="F13" s="67">
        <f t="shared" ref="F13:N13" si="1">F8+F11+F12</f>
        <v>72.922467586875001</v>
      </c>
      <c r="G13" s="67">
        <f t="shared" si="1"/>
        <v>81.24665374624999</v>
      </c>
      <c r="H13" s="67">
        <f t="shared" si="1"/>
        <v>89.919268835000025</v>
      </c>
      <c r="I13" s="67">
        <f t="shared" si="1"/>
        <v>88.237335616250007</v>
      </c>
      <c r="J13" s="67">
        <f t="shared" si="1"/>
        <v>90.925779297500029</v>
      </c>
      <c r="K13" s="67">
        <f t="shared" si="1"/>
        <v>89.529314079960955</v>
      </c>
      <c r="L13" s="67">
        <f t="shared" si="1"/>
        <v>88.1854081258506</v>
      </c>
      <c r="M13" s="67">
        <f t="shared" si="1"/>
        <v>86.867254498680694</v>
      </c>
      <c r="N13" s="67">
        <f t="shared" si="1"/>
        <v>85.553490482056162</v>
      </c>
    </row>
    <row r="14" spans="1:14" x14ac:dyDescent="0.3">
      <c r="D14" s="15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 x14ac:dyDescent="0.3">
      <c r="A15" s="23" t="s">
        <v>170</v>
      </c>
      <c r="D15" s="15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 x14ac:dyDescent="0.3">
      <c r="A16" s="70" t="s">
        <v>171</v>
      </c>
      <c r="D16" s="15">
        <f>Assumptions!E38-Assumptions!F38</f>
        <v>-9</v>
      </c>
      <c r="E16" s="15">
        <f>Assumptions!F38-Assumptions!G38</f>
        <v>-23.1</v>
      </c>
      <c r="F16" s="15">
        <f>Assumptions!G38-Assumptions!H38</f>
        <v>-10.600000000000001</v>
      </c>
      <c r="G16" s="15">
        <f>Assumptions!H38-Assumptions!I38</f>
        <v>-7.0999999999999943</v>
      </c>
      <c r="H16" s="15">
        <f>Assumptions!I38-Assumptions!J38</f>
        <v>-7.1000000000000014</v>
      </c>
      <c r="I16" s="15">
        <f>Assumptions!J38-Assumptions!K38</f>
        <v>0</v>
      </c>
      <c r="J16" s="15">
        <f>Assumptions!K38-Assumptions!L38</f>
        <v>0</v>
      </c>
      <c r="K16" s="15">
        <f>Assumptions!L38-Assumptions!M38</f>
        <v>0</v>
      </c>
      <c r="L16" s="15">
        <f>Assumptions!M38-Assumptions!N38</f>
        <v>0</v>
      </c>
      <c r="M16" s="15">
        <f>Assumptions!N38-Assumptions!O38</f>
        <v>0</v>
      </c>
      <c r="N16" s="15">
        <f>Assumptions!O38-Assumptions!P38</f>
        <v>0</v>
      </c>
    </row>
    <row r="17" spans="1:14" x14ac:dyDescent="0.3">
      <c r="A17" s="70" t="s">
        <v>172</v>
      </c>
      <c r="D17" s="15">
        <f>Assumptions!F41-Assumptions!E41</f>
        <v>0</v>
      </c>
      <c r="E17" s="15">
        <f>Assumptions!G41-Assumptions!F41</f>
        <v>17.3</v>
      </c>
      <c r="F17" s="15">
        <f>Assumptions!H41-Assumptions!G41</f>
        <v>5.5999999999999979</v>
      </c>
      <c r="G17" s="15">
        <f>Assumptions!I41-Assumptions!H41</f>
        <v>3.8000000000000007</v>
      </c>
      <c r="H17" s="15">
        <f>Assumptions!J41-Assumptions!I41</f>
        <v>3.8000000000000007</v>
      </c>
      <c r="I17" s="15">
        <f>Assumptions!K41-Assumptions!J41</f>
        <v>0</v>
      </c>
      <c r="J17" s="15">
        <f>Assumptions!L41-Assumptions!K41</f>
        <v>0</v>
      </c>
      <c r="K17" s="15">
        <f>Assumptions!M41-Assumptions!L41</f>
        <v>0</v>
      </c>
      <c r="L17" s="15">
        <f>Assumptions!N41-Assumptions!M41</f>
        <v>0</v>
      </c>
      <c r="M17" s="15">
        <f>Assumptions!O41-Assumptions!N41</f>
        <v>0</v>
      </c>
      <c r="N17" s="15">
        <f>Assumptions!P41-Assumptions!O41</f>
        <v>0</v>
      </c>
    </row>
    <row r="18" spans="1:14" x14ac:dyDescent="0.3">
      <c r="A18" s="70" t="s">
        <v>173</v>
      </c>
      <c r="D18" s="15">
        <f>Assumptions!F40-Assumptions!E40</f>
        <v>0</v>
      </c>
      <c r="E18" s="15">
        <f>Assumptions!G40-Assumptions!F40</f>
        <v>6.8</v>
      </c>
      <c r="F18" s="15">
        <f>Assumptions!H40-Assumptions!G40</f>
        <v>2.2999999999999998</v>
      </c>
      <c r="G18" s="15">
        <f>Assumptions!I40-Assumptions!H40</f>
        <v>1.5</v>
      </c>
      <c r="H18" s="15">
        <f>Assumptions!J40-Assumptions!I40</f>
        <v>1.5999999999999996</v>
      </c>
      <c r="I18" s="15">
        <f>Assumptions!K40-Assumptions!J40</f>
        <v>0</v>
      </c>
      <c r="J18" s="15">
        <f>Assumptions!L40-Assumptions!K40</f>
        <v>0</v>
      </c>
      <c r="K18" s="15">
        <f>Assumptions!M40-Assumptions!L40</f>
        <v>0</v>
      </c>
      <c r="L18" s="15">
        <f>Assumptions!N40-Assumptions!M40</f>
        <v>0</v>
      </c>
      <c r="M18" s="15">
        <f>Assumptions!O40-Assumptions!N40</f>
        <v>0</v>
      </c>
      <c r="N18" s="15">
        <f>Assumptions!P40-Assumptions!O40</f>
        <v>0</v>
      </c>
    </row>
    <row r="19" spans="1:14" x14ac:dyDescent="0.3">
      <c r="A19" s="63" t="s">
        <v>175</v>
      </c>
      <c r="B19" s="3"/>
      <c r="C19" s="3"/>
      <c r="D19" s="61">
        <f>SUM(D13:D18)</f>
        <v>-9</v>
      </c>
      <c r="E19" s="61">
        <f t="shared" ref="E19:N19" si="2">SUM(E13:E18)</f>
        <v>59.089956782499996</v>
      </c>
      <c r="F19" s="61">
        <f t="shared" si="2"/>
        <v>70.222467586874998</v>
      </c>
      <c r="G19" s="61">
        <f t="shared" si="2"/>
        <v>79.446653746249993</v>
      </c>
      <c r="H19" s="61">
        <f t="shared" si="2"/>
        <v>88.219268835000022</v>
      </c>
      <c r="I19" s="61">
        <f t="shared" si="2"/>
        <v>88.237335616250007</v>
      </c>
      <c r="J19" s="61">
        <f t="shared" si="2"/>
        <v>90.925779297500029</v>
      </c>
      <c r="K19" s="61">
        <f t="shared" si="2"/>
        <v>89.529314079960955</v>
      </c>
      <c r="L19" s="61">
        <f t="shared" si="2"/>
        <v>88.1854081258506</v>
      </c>
      <c r="M19" s="61">
        <f t="shared" si="2"/>
        <v>86.867254498680694</v>
      </c>
      <c r="N19" s="61">
        <f t="shared" si="2"/>
        <v>85.553490482056162</v>
      </c>
    </row>
    <row r="20" spans="1:14" x14ac:dyDescent="0.3">
      <c r="A20" s="2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3">
      <c r="A21" s="70" t="s">
        <v>176</v>
      </c>
      <c r="D21" s="15">
        <f>-'Annual Expenses'!D21</f>
        <v>0</v>
      </c>
      <c r="E21" s="15">
        <f>-'Annual Expenses'!E21</f>
        <v>0</v>
      </c>
      <c r="F21" s="15">
        <f>-'Annual Expenses'!F21</f>
        <v>0</v>
      </c>
      <c r="G21" s="15">
        <f>-'Annual Expenses'!G21</f>
        <v>-16.5</v>
      </c>
      <c r="H21" s="15">
        <f>-'Annual Expenses'!H21</f>
        <v>-16.5</v>
      </c>
      <c r="I21" s="15">
        <f>-'Annual Expenses'!I21</f>
        <v>-16.5</v>
      </c>
      <c r="J21" s="15">
        <f>-'Annual Expenses'!J21</f>
        <v>-16.5</v>
      </c>
      <c r="K21" s="15">
        <f>-'Annual Expenses'!K21</f>
        <v>-16.5</v>
      </c>
      <c r="L21" s="15">
        <f>-'Annual Expenses'!L21</f>
        <v>-16.5</v>
      </c>
      <c r="M21" s="15">
        <f>-'Annual Expenses'!M21</f>
        <v>-16.5</v>
      </c>
      <c r="N21" s="15">
        <f>-'Annual Expenses'!N21</f>
        <v>-16.5</v>
      </c>
    </row>
    <row r="22" spans="1:14" x14ac:dyDescent="0.3">
      <c r="A22" s="70" t="s">
        <v>177</v>
      </c>
      <c r="D22" s="15">
        <f>-'Annual Expenses'!D29</f>
        <v>0</v>
      </c>
      <c r="E22" s="15">
        <f>-'Annual Expenses'!E29</f>
        <v>-19.236000000000001</v>
      </c>
      <c r="F22" s="15">
        <f>-'Annual Expenses'!F29</f>
        <v>-19.908000000000001</v>
      </c>
      <c r="G22" s="15">
        <f>-'Annual Expenses'!G29</f>
        <v>-19.291500000000003</v>
      </c>
      <c r="H22" s="15">
        <f>-'Annual Expenses'!H29</f>
        <v>-17.602499999999999</v>
      </c>
      <c r="I22" s="15">
        <f>-'Annual Expenses'!I29</f>
        <v>-15.457500000000001</v>
      </c>
      <c r="J22" s="15">
        <f>-'Annual Expenses'!J29</f>
        <v>-13.3125</v>
      </c>
      <c r="K22" s="15">
        <f>-'Annual Expenses'!K29</f>
        <v>-11.1675</v>
      </c>
      <c r="L22" s="15">
        <f>-'Annual Expenses'!L29</f>
        <v>-9.0224999999999991</v>
      </c>
      <c r="M22" s="15">
        <f>-'Annual Expenses'!M29</f>
        <v>-6.8774999999999995</v>
      </c>
      <c r="N22" s="15">
        <f>-'Annual Expenses'!N29</f>
        <v>-4.7324999999999999</v>
      </c>
    </row>
    <row r="23" spans="1:14" x14ac:dyDescent="0.3">
      <c r="A23" s="70" t="s">
        <v>178</v>
      </c>
      <c r="D23" s="15">
        <f>-'Income Statement'!D39</f>
        <v>0</v>
      </c>
      <c r="E23" s="15">
        <f>-'Income Statement'!E39</f>
        <v>0</v>
      </c>
      <c r="F23" s="15">
        <f>-'Income Statement'!F39</f>
        <v>0</v>
      </c>
      <c r="G23" s="15">
        <f>-'Income Statement'!G39</f>
        <v>0</v>
      </c>
      <c r="H23" s="15">
        <f>-'Income Statement'!H39</f>
        <v>0</v>
      </c>
      <c r="I23" s="15">
        <f>-'Income Statement'!I39</f>
        <v>0</v>
      </c>
      <c r="J23" s="15">
        <f>-'Income Statement'!J39</f>
        <v>0</v>
      </c>
      <c r="K23" s="15">
        <f>-'Income Statement'!K39</f>
        <v>0</v>
      </c>
      <c r="L23" s="15">
        <f>-'Income Statement'!L39</f>
        <v>0</v>
      </c>
      <c r="M23" s="15">
        <f>-'Income Statement'!M39</f>
        <v>0</v>
      </c>
      <c r="N23" s="15">
        <f>-'Income Statement'!N39</f>
        <v>0</v>
      </c>
    </row>
    <row r="24" spans="1:14" ht="27" x14ac:dyDescent="0.3">
      <c r="A24" s="75" t="s">
        <v>179</v>
      </c>
      <c r="B24" s="3"/>
      <c r="C24" s="3"/>
      <c r="D24" s="61">
        <f>SUM(D19:D23)</f>
        <v>-9</v>
      </c>
      <c r="E24" s="61">
        <f t="shared" ref="E24:N24" si="3">SUM(E19:E23)</f>
        <v>39.853956782499992</v>
      </c>
      <c r="F24" s="61">
        <f t="shared" si="3"/>
        <v>50.314467586874997</v>
      </c>
      <c r="G24" s="61">
        <f t="shared" si="3"/>
        <v>43.655153746249994</v>
      </c>
      <c r="H24" s="61">
        <f t="shared" si="3"/>
        <v>54.116768835000023</v>
      </c>
      <c r="I24" s="61">
        <f t="shared" si="3"/>
        <v>56.279835616250004</v>
      </c>
      <c r="J24" s="61">
        <f t="shared" si="3"/>
        <v>61.113279297500029</v>
      </c>
      <c r="K24" s="61">
        <f t="shared" si="3"/>
        <v>61.861814079960951</v>
      </c>
      <c r="L24" s="61">
        <f t="shared" si="3"/>
        <v>62.662908125850599</v>
      </c>
      <c r="M24" s="61">
        <f t="shared" si="3"/>
        <v>63.489754498680696</v>
      </c>
      <c r="N24" s="61">
        <f t="shared" si="3"/>
        <v>64.32099048205616</v>
      </c>
    </row>
    <row r="25" spans="1:14" x14ac:dyDescent="0.3">
      <c r="A25" s="2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s="76" t="s">
        <v>180</v>
      </c>
      <c r="D26" s="15">
        <f>-(SUM(Assumptions!B6:B8)+Assumptions!F35+Assumptions!F36)</f>
        <v>-174.70000000000002</v>
      </c>
      <c r="E26" s="15">
        <f>-(SUM(Assumptions!C6:C8)+Assumptions!G35+Assumptions!G36)</f>
        <v>0</v>
      </c>
      <c r="F26" s="15">
        <f>-(SUM(Assumptions!D18:D20)+Assumptions!H35+Assumptions!H36)</f>
        <v>0</v>
      </c>
      <c r="G26" s="15">
        <f>-(SUM(Assumptions!E18:E20)+Assumptions!I35+Assumptions!I36)</f>
        <v>-2.5</v>
      </c>
      <c r="H26" s="15">
        <f>-(SUM(Assumptions!F18:F20)+Assumptions!J35+Assumptions!J36)</f>
        <v>-2.5</v>
      </c>
      <c r="I26" s="15">
        <f>-(SUM(Assumptions!G18:G20)+Assumptions!K35+Assumptions!K36)</f>
        <v>-2.5</v>
      </c>
      <c r="J26" s="15">
        <f>-(SUM(Assumptions!H18:H20)+Assumptions!L35+Assumptions!L36)</f>
        <v>-2.5</v>
      </c>
      <c r="K26" s="15">
        <f>-(SUM(Assumptions!I18:I20)+Assumptions!M35+Assumptions!M36)</f>
        <v>-5</v>
      </c>
      <c r="L26" s="15">
        <f>-(SUM(Assumptions!J18:J20)+Assumptions!N35+Assumptions!N36)</f>
        <v>-5</v>
      </c>
      <c r="M26" s="15">
        <f>-(SUM(Assumptions!K18:K20)+Assumptions!O35+Assumptions!O36)</f>
        <v>-5</v>
      </c>
      <c r="N26" s="15">
        <f>-(SUM(Assumptions!L18:L20)+Assumptions!P35+Assumptions!P36)</f>
        <v>-5</v>
      </c>
    </row>
    <row r="27" spans="1:14" x14ac:dyDescent="0.3">
      <c r="A27" s="70" t="s">
        <v>181</v>
      </c>
      <c r="D27" s="15">
        <f>-Assumptions!F37</f>
        <v>-16.3</v>
      </c>
      <c r="E27" s="15">
        <f>-Assumptions!G37</f>
        <v>0</v>
      </c>
      <c r="F27" s="15">
        <f>-Assumptions!H37</f>
        <v>0</v>
      </c>
      <c r="G27" s="15">
        <f>-Assumptions!I37</f>
        <v>0</v>
      </c>
      <c r="H27" s="15">
        <f>-Assumptions!J37</f>
        <v>0</v>
      </c>
      <c r="I27" s="15">
        <f>-Assumptions!K37</f>
        <v>0</v>
      </c>
      <c r="J27" s="15">
        <f>-Assumptions!L37</f>
        <v>0</v>
      </c>
      <c r="K27" s="15">
        <f>-Assumptions!M37</f>
        <v>0</v>
      </c>
      <c r="L27" s="15">
        <f>-Assumptions!N37</f>
        <v>0</v>
      </c>
      <c r="M27" s="15">
        <f>-Assumptions!O37</f>
        <v>0</v>
      </c>
      <c r="N27" s="15">
        <f>-Assumptions!P37</f>
        <v>0</v>
      </c>
    </row>
    <row r="28" spans="1:14" x14ac:dyDescent="0.3">
      <c r="A28" s="72" t="s">
        <v>182</v>
      </c>
      <c r="B28" s="3"/>
      <c r="C28" s="3"/>
      <c r="D28" s="61">
        <f>SUM(D26:D27)</f>
        <v>-191.00000000000003</v>
      </c>
      <c r="E28" s="61">
        <f t="shared" ref="E28:N28" si="4">SUM(E26:E27)</f>
        <v>0</v>
      </c>
      <c r="F28" s="61">
        <f t="shared" si="4"/>
        <v>0</v>
      </c>
      <c r="G28" s="61">
        <f t="shared" si="4"/>
        <v>-2.5</v>
      </c>
      <c r="H28" s="61">
        <f t="shared" si="4"/>
        <v>-2.5</v>
      </c>
      <c r="I28" s="61">
        <f t="shared" si="4"/>
        <v>-2.5</v>
      </c>
      <c r="J28" s="61">
        <f t="shared" si="4"/>
        <v>-2.5</v>
      </c>
      <c r="K28" s="61">
        <f t="shared" si="4"/>
        <v>-5</v>
      </c>
      <c r="L28" s="61">
        <f t="shared" si="4"/>
        <v>-5</v>
      </c>
      <c r="M28" s="61">
        <f t="shared" si="4"/>
        <v>-5</v>
      </c>
      <c r="N28" s="61">
        <f t="shared" si="4"/>
        <v>-5</v>
      </c>
    </row>
    <row r="29" spans="1:14" x14ac:dyDescent="0.3">
      <c r="A29" s="62"/>
      <c r="B29" s="10"/>
      <c r="C29" s="10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</row>
    <row r="30" spans="1:14" x14ac:dyDescent="0.3">
      <c r="A30" s="23" t="s">
        <v>183</v>
      </c>
      <c r="B30" s="10"/>
      <c r="C30" s="10"/>
      <c r="D30" s="65">
        <f>D24+D28</f>
        <v>-200.00000000000003</v>
      </c>
      <c r="E30" s="65">
        <f t="shared" ref="E30:N30" si="5">E24+E28</f>
        <v>39.853956782499992</v>
      </c>
      <c r="F30" s="65">
        <f t="shared" si="5"/>
        <v>50.314467586874997</v>
      </c>
      <c r="G30" s="65">
        <f t="shared" si="5"/>
        <v>41.155153746249994</v>
      </c>
      <c r="H30" s="65">
        <f t="shared" si="5"/>
        <v>51.616768835000023</v>
      </c>
      <c r="I30" s="65">
        <f t="shared" si="5"/>
        <v>53.779835616250004</v>
      </c>
      <c r="J30" s="65">
        <f t="shared" si="5"/>
        <v>58.613279297500029</v>
      </c>
      <c r="K30" s="65">
        <f t="shared" si="5"/>
        <v>56.861814079960951</v>
      </c>
      <c r="L30" s="65">
        <f t="shared" si="5"/>
        <v>57.662908125850599</v>
      </c>
      <c r="M30" s="65">
        <f t="shared" si="5"/>
        <v>58.489754498680696</v>
      </c>
      <c r="N30" s="65">
        <f t="shared" si="5"/>
        <v>59.32099048205616</v>
      </c>
    </row>
    <row r="31" spans="1:14" x14ac:dyDescent="0.3">
      <c r="A31" s="23"/>
      <c r="B31" s="10"/>
      <c r="C31" s="10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</row>
    <row r="32" spans="1:14" x14ac:dyDescent="0.3">
      <c r="A32" s="77" t="s">
        <v>188</v>
      </c>
      <c r="B32" s="10"/>
      <c r="C32" s="10"/>
      <c r="D32" s="65">
        <f>Assumptions!B16</f>
        <v>0</v>
      </c>
      <c r="E32" s="65">
        <f>D32</f>
        <v>0</v>
      </c>
      <c r="F32" s="65">
        <f t="shared" ref="F32:N32" si="6">E32</f>
        <v>0</v>
      </c>
      <c r="G32" s="65">
        <f t="shared" si="6"/>
        <v>0</v>
      </c>
      <c r="H32" s="65">
        <f t="shared" si="6"/>
        <v>0</v>
      </c>
      <c r="I32" s="65">
        <f t="shared" si="6"/>
        <v>0</v>
      </c>
      <c r="J32" s="65">
        <f t="shared" si="6"/>
        <v>0</v>
      </c>
      <c r="K32" s="65">
        <f t="shared" si="6"/>
        <v>0</v>
      </c>
      <c r="L32" s="65">
        <f t="shared" si="6"/>
        <v>0</v>
      </c>
      <c r="M32" s="65">
        <f t="shared" si="6"/>
        <v>0</v>
      </c>
      <c r="N32" s="65">
        <f t="shared" si="6"/>
        <v>0</v>
      </c>
    </row>
    <row r="33" spans="1:14" x14ac:dyDescent="0.3">
      <c r="A33" s="70" t="s">
        <v>184</v>
      </c>
      <c r="B33" s="10"/>
      <c r="C33" s="10"/>
      <c r="D33" s="65">
        <f>Assumptions!B17</f>
        <v>66.5</v>
      </c>
      <c r="E33" s="65">
        <f>Assumptions!C17</f>
        <v>0</v>
      </c>
      <c r="F33" s="65">
        <f>E33</f>
        <v>0</v>
      </c>
      <c r="G33" s="65">
        <f t="shared" ref="G33:N33" si="7">F33</f>
        <v>0</v>
      </c>
      <c r="H33" s="65">
        <f t="shared" si="7"/>
        <v>0</v>
      </c>
      <c r="I33" s="65">
        <f t="shared" si="7"/>
        <v>0</v>
      </c>
      <c r="J33" s="65">
        <f t="shared" si="7"/>
        <v>0</v>
      </c>
      <c r="K33" s="65">
        <f t="shared" si="7"/>
        <v>0</v>
      </c>
      <c r="L33" s="65">
        <f t="shared" si="7"/>
        <v>0</v>
      </c>
      <c r="M33" s="65">
        <f t="shared" si="7"/>
        <v>0</v>
      </c>
      <c r="N33" s="65">
        <f t="shared" si="7"/>
        <v>0</v>
      </c>
    </row>
    <row r="34" spans="1:14" x14ac:dyDescent="0.3">
      <c r="A34" s="70" t="s">
        <v>189</v>
      </c>
      <c r="B34" s="10"/>
      <c r="C34" s="10"/>
      <c r="D34" s="65">
        <f>Assumptions!B20</f>
        <v>132</v>
      </c>
      <c r="E34" s="65">
        <f>Assumptions!C20</f>
        <v>0</v>
      </c>
      <c r="F34" s="65">
        <f>E34</f>
        <v>0</v>
      </c>
      <c r="G34" s="65">
        <f t="shared" ref="G34:N35" si="8">F34</f>
        <v>0</v>
      </c>
      <c r="H34" s="65">
        <f t="shared" si="8"/>
        <v>0</v>
      </c>
      <c r="I34" s="65">
        <f t="shared" si="8"/>
        <v>0</v>
      </c>
      <c r="J34" s="65">
        <f t="shared" si="8"/>
        <v>0</v>
      </c>
      <c r="K34" s="65">
        <f t="shared" si="8"/>
        <v>0</v>
      </c>
      <c r="L34" s="65">
        <f t="shared" si="8"/>
        <v>0</v>
      </c>
      <c r="M34" s="65">
        <f t="shared" si="8"/>
        <v>0</v>
      </c>
      <c r="N34" s="65">
        <f t="shared" si="8"/>
        <v>0</v>
      </c>
    </row>
    <row r="35" spans="1:14" x14ac:dyDescent="0.3">
      <c r="A35" s="70" t="s">
        <v>185</v>
      </c>
      <c r="B35" s="10"/>
      <c r="C35" s="10"/>
      <c r="D35" s="65">
        <f>Assumptions!B21</f>
        <v>1.5</v>
      </c>
      <c r="E35" s="65">
        <f>Assumptions!C21</f>
        <v>0</v>
      </c>
      <c r="F35" s="65">
        <f>E35</f>
        <v>0</v>
      </c>
      <c r="G35" s="65">
        <f t="shared" si="8"/>
        <v>0</v>
      </c>
      <c r="H35" s="65">
        <f t="shared" si="8"/>
        <v>0</v>
      </c>
      <c r="I35" s="65">
        <f t="shared" si="8"/>
        <v>0</v>
      </c>
      <c r="J35" s="65">
        <f t="shared" si="8"/>
        <v>0</v>
      </c>
      <c r="K35" s="65">
        <f t="shared" si="8"/>
        <v>0</v>
      </c>
      <c r="L35" s="65">
        <f t="shared" si="8"/>
        <v>0</v>
      </c>
      <c r="M35" s="65">
        <f t="shared" si="8"/>
        <v>0</v>
      </c>
      <c r="N35" s="65">
        <f t="shared" si="8"/>
        <v>0</v>
      </c>
    </row>
    <row r="36" spans="1:14" x14ac:dyDescent="0.3">
      <c r="A36" s="70" t="s">
        <v>186</v>
      </c>
      <c r="B36" s="10"/>
      <c r="C36" s="10"/>
      <c r="D36" s="65">
        <f>-('Income Statement'!D49)</f>
        <v>0</v>
      </c>
      <c r="E36" s="65">
        <f>-('Income Statement'!E49)</f>
        <v>0</v>
      </c>
      <c r="F36" s="65">
        <f>-('Income Statement'!F49)</f>
        <v>-6.65</v>
      </c>
      <c r="G36" s="65">
        <f>-('Income Statement'!G49)</f>
        <v>-9.9749999999999996</v>
      </c>
      <c r="H36" s="65">
        <f>-('Income Statement'!H49)</f>
        <v>-13.3</v>
      </c>
      <c r="I36" s="65">
        <f>-('Income Statement'!I49)</f>
        <v>-13.3</v>
      </c>
      <c r="J36" s="65">
        <f>-('Income Statement'!J49)</f>
        <v>-13.3</v>
      </c>
      <c r="K36" s="65">
        <f>-('Income Statement'!K49)</f>
        <v>-13.3</v>
      </c>
      <c r="L36" s="65">
        <f>-('Income Statement'!L49)</f>
        <v>-13.3</v>
      </c>
      <c r="M36" s="65">
        <f>-('Income Statement'!M49)</f>
        <v>-13.3</v>
      </c>
      <c r="N36" s="65">
        <f>-('Income Statement'!N49)</f>
        <v>-13.3</v>
      </c>
    </row>
    <row r="37" spans="1:14" x14ac:dyDescent="0.3">
      <c r="A37" s="63" t="s">
        <v>187</v>
      </c>
      <c r="B37" s="3"/>
      <c r="C37" s="3"/>
      <c r="D37" s="61">
        <f>SUM(D32:D36)</f>
        <v>200</v>
      </c>
      <c r="E37" s="61">
        <f t="shared" ref="E37:N37" si="9">SUM(E32:E36)</f>
        <v>0</v>
      </c>
      <c r="F37" s="61">
        <f t="shared" si="9"/>
        <v>-6.65</v>
      </c>
      <c r="G37" s="61">
        <f t="shared" si="9"/>
        <v>-9.9749999999999996</v>
      </c>
      <c r="H37" s="61">
        <f t="shared" si="9"/>
        <v>-13.3</v>
      </c>
      <c r="I37" s="61">
        <f t="shared" si="9"/>
        <v>-13.3</v>
      </c>
      <c r="J37" s="61">
        <f t="shared" si="9"/>
        <v>-13.3</v>
      </c>
      <c r="K37" s="61">
        <f t="shared" si="9"/>
        <v>-13.3</v>
      </c>
      <c r="L37" s="61">
        <f t="shared" si="9"/>
        <v>-13.3</v>
      </c>
      <c r="M37" s="61">
        <f t="shared" si="9"/>
        <v>-13.3</v>
      </c>
      <c r="N37" s="61">
        <f t="shared" si="9"/>
        <v>-13.3</v>
      </c>
    </row>
    <row r="38" spans="1:14" x14ac:dyDescent="0.3">
      <c r="A38" s="23"/>
      <c r="B38" s="10"/>
      <c r="C38" s="10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 x14ac:dyDescent="0.3">
      <c r="A39" s="23" t="s">
        <v>190</v>
      </c>
      <c r="B39" s="10"/>
      <c r="C39" s="10"/>
      <c r="D39" s="65">
        <v>0</v>
      </c>
      <c r="E39" s="65">
        <f>D41</f>
        <v>0</v>
      </c>
      <c r="F39" s="65">
        <f>E41</f>
        <v>39.853956782499992</v>
      </c>
      <c r="G39" s="65">
        <f t="shared" ref="G39:N39" si="10">F41</f>
        <v>83.518424369374998</v>
      </c>
      <c r="H39" s="65">
        <f t="shared" si="10"/>
        <v>114.698578115625</v>
      </c>
      <c r="I39" s="65">
        <f t="shared" si="10"/>
        <v>153.01534695062503</v>
      </c>
      <c r="J39" s="65">
        <f t="shared" si="10"/>
        <v>193.49518256687503</v>
      </c>
      <c r="K39" s="65">
        <f t="shared" si="10"/>
        <v>238.80846186437506</v>
      </c>
      <c r="L39" s="65">
        <f t="shared" si="10"/>
        <v>282.37027594433602</v>
      </c>
      <c r="M39" s="65">
        <f t="shared" si="10"/>
        <v>326.73318407018661</v>
      </c>
      <c r="N39" s="65">
        <f t="shared" si="10"/>
        <v>371.92293856886732</v>
      </c>
    </row>
    <row r="40" spans="1:14" x14ac:dyDescent="0.3">
      <c r="A40" s="23" t="s">
        <v>191</v>
      </c>
      <c r="B40" s="10"/>
      <c r="C40" s="10"/>
      <c r="D40" s="65">
        <f>D37+D30</f>
        <v>0</v>
      </c>
      <c r="E40" s="65">
        <f>E37+E30</f>
        <v>39.853956782499992</v>
      </c>
      <c r="F40" s="65">
        <f>F37+F30</f>
        <v>43.664467586874999</v>
      </c>
      <c r="G40" s="65">
        <f t="shared" ref="G40:N40" si="11">G37+G30</f>
        <v>31.180153746249992</v>
      </c>
      <c r="H40" s="65">
        <f t="shared" si="11"/>
        <v>38.316768835000019</v>
      </c>
      <c r="I40" s="65">
        <f t="shared" si="11"/>
        <v>40.47983561625</v>
      </c>
      <c r="J40" s="65">
        <f t="shared" si="11"/>
        <v>45.313279297500031</v>
      </c>
      <c r="K40" s="65">
        <f t="shared" si="11"/>
        <v>43.561814079960953</v>
      </c>
      <c r="L40" s="65">
        <f t="shared" si="11"/>
        <v>44.362908125850595</v>
      </c>
      <c r="M40" s="65">
        <f t="shared" si="11"/>
        <v>45.189754498680699</v>
      </c>
      <c r="N40" s="65">
        <f t="shared" si="11"/>
        <v>46.020990482056163</v>
      </c>
    </row>
    <row r="41" spans="1:14" x14ac:dyDescent="0.3">
      <c r="A41" s="23" t="s">
        <v>192</v>
      </c>
      <c r="B41" s="10"/>
      <c r="C41" s="10"/>
      <c r="D41" s="65">
        <f>D40+D39</f>
        <v>0</v>
      </c>
      <c r="E41" s="65">
        <f>E40+E39</f>
        <v>39.853956782499992</v>
      </c>
      <c r="F41" s="65">
        <f>F40+F39</f>
        <v>83.518424369374998</v>
      </c>
      <c r="G41" s="65">
        <f t="shared" ref="G41:N41" si="12">G40+G39</f>
        <v>114.698578115625</v>
      </c>
      <c r="H41" s="65">
        <f t="shared" si="12"/>
        <v>153.01534695062503</v>
      </c>
      <c r="I41" s="65">
        <f t="shared" si="12"/>
        <v>193.49518256687503</v>
      </c>
      <c r="J41" s="65">
        <f t="shared" si="12"/>
        <v>238.80846186437506</v>
      </c>
      <c r="K41" s="65">
        <f>K40+K39</f>
        <v>282.37027594433602</v>
      </c>
      <c r="L41" s="65">
        <f t="shared" si="12"/>
        <v>326.73318407018661</v>
      </c>
      <c r="M41" s="65">
        <f t="shared" si="12"/>
        <v>371.92293856886732</v>
      </c>
      <c r="N41" s="65">
        <f t="shared" si="12"/>
        <v>417.94392905092349</v>
      </c>
    </row>
    <row r="42" spans="1:14" x14ac:dyDescent="0.3">
      <c r="A42" s="23"/>
      <c r="B42" s="10"/>
      <c r="C42" s="10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</row>
    <row r="43" spans="1:14" x14ac:dyDescent="0.3">
      <c r="A43" s="23"/>
      <c r="B43" s="10"/>
      <c r="C43" s="10"/>
      <c r="D43" s="65"/>
      <c r="E43" s="65"/>
      <c r="F43" s="65"/>
      <c r="G43" s="91"/>
      <c r="H43" s="65"/>
      <c r="I43" s="65"/>
      <c r="J43" s="65"/>
      <c r="K43" s="65"/>
      <c r="L43" s="65"/>
      <c r="M43" s="65"/>
      <c r="N43" s="65"/>
    </row>
    <row r="44" spans="1:14" x14ac:dyDescent="0.3">
      <c r="A44" s="23"/>
      <c r="B44" s="10"/>
      <c r="C44" s="10"/>
      <c r="D44" s="65"/>
      <c r="E44" s="65"/>
      <c r="F44" s="115"/>
      <c r="G44" s="65"/>
      <c r="H44" s="65"/>
      <c r="I44" s="65"/>
      <c r="J44" s="65"/>
      <c r="K44" s="65"/>
      <c r="L44" s="65"/>
      <c r="M44" s="65"/>
      <c r="N44" s="65"/>
    </row>
    <row r="45" spans="1:14" x14ac:dyDescent="0.3">
      <c r="A45" s="23"/>
      <c r="B45" s="10"/>
      <c r="C45" s="10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</row>
    <row r="46" spans="1:14" x14ac:dyDescent="0.3">
      <c r="A46" s="23"/>
      <c r="B46" s="10"/>
      <c r="C46" s="10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</row>
    <row r="47" spans="1:14" x14ac:dyDescent="0.3">
      <c r="A47" s="23"/>
      <c r="B47" s="10"/>
      <c r="C47" s="10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4" x14ac:dyDescent="0.3">
      <c r="A48" s="23"/>
      <c r="B48" s="10"/>
      <c r="C48" s="10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</row>
    <row r="49" spans="1:14" x14ac:dyDescent="0.3">
      <c r="A49" s="23"/>
      <c r="B49" s="10"/>
      <c r="C49" s="10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</row>
    <row r="50" spans="1:14" x14ac:dyDescent="0.3">
      <c r="A50" s="23"/>
      <c r="B50" s="10"/>
      <c r="C50" s="10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</row>
    <row r="51" spans="1:14" x14ac:dyDescent="0.3">
      <c r="A51" s="62"/>
      <c r="B51" s="10"/>
      <c r="C51" s="10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</row>
    <row r="52" spans="1:14" x14ac:dyDescent="0.3">
      <c r="A52" s="62"/>
      <c r="B52" s="10"/>
      <c r="C52" s="10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</row>
    <row r="53" spans="1:14" x14ac:dyDescent="0.3">
      <c r="A53" s="62"/>
      <c r="B53" s="10"/>
      <c r="C53" s="10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</row>
    <row r="54" spans="1:14" x14ac:dyDescent="0.3">
      <c r="D54" s="15"/>
      <c r="E54" s="57"/>
      <c r="F54" s="57"/>
      <c r="G54" s="57"/>
      <c r="H54" s="57"/>
      <c r="I54" s="57"/>
      <c r="J54" s="57"/>
      <c r="K54" s="57"/>
      <c r="L54" s="57"/>
      <c r="M54" s="57"/>
      <c r="N54" s="57"/>
    </row>
  </sheetData>
  <mergeCells count="2">
    <mergeCell ref="A3:A4"/>
    <mergeCell ref="D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9"/>
  <sheetViews>
    <sheetView showGridLines="0" workbookViewId="0">
      <pane xSplit="3" ySplit="4" topLeftCell="D5" activePane="bottomRight" state="frozen"/>
      <selection activeCell="P5" sqref="P5"/>
      <selection pane="topRight" activeCell="P5" sqref="P5"/>
      <selection pane="bottomLeft" activeCell="P5" sqref="P5"/>
      <selection pane="bottomRight" activeCell="N22" sqref="N22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5" max="5" width="9.44140625" bestFit="1" customWidth="1"/>
    <col min="6" max="6" width="9.6640625" bestFit="1" customWidth="1"/>
    <col min="7" max="13" width="9.33203125" bestFit="1" customWidth="1"/>
    <col min="14" max="14" width="9.44140625" bestFit="1" customWidth="1"/>
  </cols>
  <sheetData>
    <row r="1" spans="1:15" s="6" customFormat="1" ht="18" x14ac:dyDescent="0.35">
      <c r="A1" s="6" t="s">
        <v>438</v>
      </c>
    </row>
    <row r="2" spans="1:15" x14ac:dyDescent="0.3">
      <c r="A2" t="s">
        <v>3</v>
      </c>
    </row>
    <row r="3" spans="1:15" x14ac:dyDescent="0.3">
      <c r="A3" s="183" t="s">
        <v>36</v>
      </c>
      <c r="B3" s="48"/>
      <c r="C3" s="48"/>
      <c r="D3" s="184" t="s">
        <v>15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5" x14ac:dyDescent="0.3">
      <c r="A4" s="183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5" x14ac:dyDescent="0.3">
      <c r="A5" s="16" t="s">
        <v>193</v>
      </c>
    </row>
    <row r="6" spans="1:15" x14ac:dyDescent="0.3">
      <c r="A6" s="12" t="s">
        <v>194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A7" s="82" t="s">
        <v>75</v>
      </c>
      <c r="B7" s="10"/>
      <c r="C7" s="10"/>
      <c r="D7" s="65">
        <f>C7+'Cash Flow Statement'!D32</f>
        <v>0</v>
      </c>
      <c r="E7" s="65">
        <f>D7+'Cash Flow Statement'!E32</f>
        <v>0</v>
      </c>
      <c r="F7" s="65">
        <f>E7+'Cash Flow Statement'!F32</f>
        <v>0</v>
      </c>
      <c r="G7" s="65">
        <f>F7+'Cash Flow Statement'!G32</f>
        <v>0</v>
      </c>
      <c r="H7" s="65">
        <f>G7+'Cash Flow Statement'!H32</f>
        <v>0</v>
      </c>
      <c r="I7" s="65">
        <f>H7+'Cash Flow Statement'!I32</f>
        <v>0</v>
      </c>
      <c r="J7" s="65">
        <f>I7+'Cash Flow Statement'!J32</f>
        <v>0</v>
      </c>
      <c r="K7" s="65">
        <f>J7+'Cash Flow Statement'!K32</f>
        <v>0</v>
      </c>
      <c r="L7" s="65">
        <f>K7+'Cash Flow Statement'!L32</f>
        <v>0</v>
      </c>
      <c r="M7" s="65">
        <f>L7+'Cash Flow Statement'!M32</f>
        <v>0</v>
      </c>
      <c r="N7" s="65">
        <f>M7+'Cash Flow Statement'!N32</f>
        <v>0</v>
      </c>
    </row>
    <row r="8" spans="1:15" x14ac:dyDescent="0.3">
      <c r="A8" s="82" t="s">
        <v>0</v>
      </c>
      <c r="B8" s="10"/>
      <c r="C8" s="10"/>
      <c r="D8" s="65">
        <f>C8+'Cash Flow Statement'!D33</f>
        <v>66.5</v>
      </c>
      <c r="E8" s="65">
        <f>D8+'Cash Flow Statement'!E33</f>
        <v>66.5</v>
      </c>
      <c r="F8" s="65">
        <f>E8+'Cash Flow Statement'!F33</f>
        <v>66.5</v>
      </c>
      <c r="G8" s="65">
        <f>F8+'Cash Flow Statement'!G33</f>
        <v>66.5</v>
      </c>
      <c r="H8" s="65">
        <f>G8+'Cash Flow Statement'!H33</f>
        <v>66.5</v>
      </c>
      <c r="I8" s="65">
        <f>H8+'Cash Flow Statement'!I33</f>
        <v>66.5</v>
      </c>
      <c r="J8" s="65">
        <f>I8+'Cash Flow Statement'!J33</f>
        <v>66.5</v>
      </c>
      <c r="K8" s="65">
        <f>J8+'Cash Flow Statement'!K33</f>
        <v>66.5</v>
      </c>
      <c r="L8" s="65">
        <f>K8+'Cash Flow Statement'!L33</f>
        <v>66.5</v>
      </c>
      <c r="M8" s="65">
        <f>L8+'Cash Flow Statement'!M33</f>
        <v>66.5</v>
      </c>
      <c r="N8" s="65">
        <f>M8+'Cash Flow Statement'!N33</f>
        <v>66.5</v>
      </c>
    </row>
    <row r="9" spans="1:15" x14ac:dyDescent="0.3">
      <c r="A9" s="12" t="s">
        <v>195</v>
      </c>
      <c r="D9" s="15">
        <f>C9+'Cash Flow Statement'!D35</f>
        <v>1.5</v>
      </c>
      <c r="E9" s="15">
        <f>D9+'Cash Flow Statement'!E35</f>
        <v>1.5</v>
      </c>
      <c r="F9" s="15">
        <f>E9+'Cash Flow Statement'!F35</f>
        <v>1.5</v>
      </c>
      <c r="G9" s="15">
        <f>F9+'Cash Flow Statement'!G35</f>
        <v>1.5</v>
      </c>
      <c r="H9" s="15">
        <f>G9+'Cash Flow Statement'!H35</f>
        <v>1.5</v>
      </c>
      <c r="I9" s="15">
        <f>H9+'Cash Flow Statement'!I35</f>
        <v>1.5</v>
      </c>
      <c r="J9" s="15">
        <f>I9+'Cash Flow Statement'!J35</f>
        <v>1.5</v>
      </c>
      <c r="K9" s="15">
        <f>J9+'Cash Flow Statement'!K35</f>
        <v>1.5</v>
      </c>
      <c r="L9" s="15">
        <f>K9+'Cash Flow Statement'!L35</f>
        <v>1.5</v>
      </c>
      <c r="M9" s="15">
        <f>L9+'Cash Flow Statement'!M35</f>
        <v>1.5</v>
      </c>
      <c r="N9" s="15">
        <f>M9+'Cash Flow Statement'!N35</f>
        <v>1.5</v>
      </c>
    </row>
    <row r="10" spans="1:15" x14ac:dyDescent="0.3">
      <c r="A10" s="12" t="s">
        <v>196</v>
      </c>
      <c r="D10" s="15">
        <f>IF('Income Statement'!D51&gt;0,'Income Statement'!D51,0)</f>
        <v>0</v>
      </c>
      <c r="E10" s="15">
        <f>IF('Income Statement'!E51&gt;0,'Income Statement'!E51,0)</f>
        <v>25.566576782499997</v>
      </c>
      <c r="F10" s="15">
        <f>IF('Income Statement'!F51&gt;0,'Income Statement'!F51,0)</f>
        <v>58.643664369375003</v>
      </c>
      <c r="G10" s="15">
        <f>IF('Income Statement'!G51&gt;0,'Income Statement'!G51,0)</f>
        <v>97.13418811562498</v>
      </c>
      <c r="H10" s="15">
        <f>IF('Income Statement'!H51&gt;0,'Income Statement'!H51,0)</f>
        <v>142.45907695062499</v>
      </c>
      <c r="I10" s="15">
        <f>IF('Income Statement'!I51&gt;0,'Income Statement'!I51,0)</f>
        <v>188.044782566875</v>
      </c>
      <c r="J10" s="15">
        <f>IF('Income Statement'!J51&gt;0,'Income Statement'!J51,0)</f>
        <v>238.26168186437502</v>
      </c>
      <c r="K10" s="15">
        <f>IF('Income Statement'!K51&gt;0,'Income Statement'!K51,0)</f>
        <v>288.82261594433595</v>
      </c>
      <c r="L10" s="15">
        <f>IF('Income Statement'!L51&gt;0,'Income Statement'!L51,0)</f>
        <v>339.78014407018657</v>
      </c>
      <c r="M10" s="15">
        <f>IF('Income Statement'!M51&gt;0,'Income Statement'!M51,0)</f>
        <v>391.16001856886726</v>
      </c>
      <c r="N10" s="15">
        <f>IF('Income Statement'!N51&gt;0,'Income Statement'!N51,0)</f>
        <v>442.96662905092342</v>
      </c>
      <c r="O10" s="114"/>
    </row>
    <row r="11" spans="1:15" x14ac:dyDescent="0.3">
      <c r="A11" s="12" t="s">
        <v>197</v>
      </c>
      <c r="D11" s="15">
        <f>C11+'Cash Flow Statement'!D34+'Cash Flow Statement'!D21</f>
        <v>132</v>
      </c>
      <c r="E11" s="15">
        <f>D11+'Cash Flow Statement'!E34+'Cash Flow Statement'!E21</f>
        <v>132</v>
      </c>
      <c r="F11" s="15">
        <f>E11+'Cash Flow Statement'!F34+'Cash Flow Statement'!F21</f>
        <v>132</v>
      </c>
      <c r="G11" s="15">
        <f>F11+'Cash Flow Statement'!G34+'Cash Flow Statement'!G21</f>
        <v>115.5</v>
      </c>
      <c r="H11" s="15">
        <f>G11+'Cash Flow Statement'!H34+'Cash Flow Statement'!H21</f>
        <v>99</v>
      </c>
      <c r="I11" s="15">
        <f>H11+'Cash Flow Statement'!I34+'Cash Flow Statement'!I21</f>
        <v>82.5</v>
      </c>
      <c r="J11" s="15">
        <f>I11+'Cash Flow Statement'!J34+'Cash Flow Statement'!J21</f>
        <v>66</v>
      </c>
      <c r="K11" s="15">
        <f>J11+'Cash Flow Statement'!K34+'Cash Flow Statement'!K21</f>
        <v>49.5</v>
      </c>
      <c r="L11" s="15">
        <f>K11+'Cash Flow Statement'!L34+'Cash Flow Statement'!L21</f>
        <v>33</v>
      </c>
      <c r="M11" s="15">
        <f>L11+'Cash Flow Statement'!M34+'Cash Flow Statement'!M21</f>
        <v>16.5</v>
      </c>
      <c r="N11" s="15">
        <f>M11+'Cash Flow Statement'!N34+'Cash Flow Statement'!N21</f>
        <v>0</v>
      </c>
    </row>
    <row r="12" spans="1:15" x14ac:dyDescent="0.3">
      <c r="A12" s="12" t="s">
        <v>198</v>
      </c>
      <c r="D12" s="15">
        <f>C12+'Cash Flow Statement'!D17</f>
        <v>0</v>
      </c>
      <c r="E12" s="15">
        <f>D12+'Cash Flow Statement'!E17</f>
        <v>17.3</v>
      </c>
      <c r="F12" s="15">
        <f>E12+'Cash Flow Statement'!F17</f>
        <v>22.9</v>
      </c>
      <c r="G12" s="15">
        <f>F12+'Cash Flow Statement'!G17</f>
        <v>26.7</v>
      </c>
      <c r="H12" s="15">
        <f>G12+'Cash Flow Statement'!H17</f>
        <v>30.5</v>
      </c>
      <c r="I12" s="15">
        <f>H12+'Cash Flow Statement'!I17</f>
        <v>30.5</v>
      </c>
      <c r="J12" s="15">
        <f>I12+'Cash Flow Statement'!J17</f>
        <v>30.5</v>
      </c>
      <c r="K12" s="15">
        <f>J12+'Cash Flow Statement'!K17</f>
        <v>30.5</v>
      </c>
      <c r="L12" s="15">
        <f>K12+'Cash Flow Statement'!L17</f>
        <v>30.5</v>
      </c>
      <c r="M12" s="15">
        <f>L12+'Cash Flow Statement'!M17</f>
        <v>30.5</v>
      </c>
      <c r="N12" s="15">
        <f>M12+'Cash Flow Statement'!N17</f>
        <v>30.5</v>
      </c>
    </row>
    <row r="13" spans="1:15" x14ac:dyDescent="0.3">
      <c r="A13" s="12" t="s">
        <v>199</v>
      </c>
      <c r="D13" s="15">
        <f>C13+'Cash Flow Statement'!D18</f>
        <v>0</v>
      </c>
      <c r="E13" s="15">
        <f>D13+'Cash Flow Statement'!E18</f>
        <v>6.8</v>
      </c>
      <c r="F13" s="15">
        <f>E13+'Cash Flow Statement'!F18</f>
        <v>9.1</v>
      </c>
      <c r="G13" s="15">
        <f>F13+'Cash Flow Statement'!G18</f>
        <v>10.6</v>
      </c>
      <c r="H13" s="15">
        <f>G13+'Cash Flow Statement'!H18</f>
        <v>12.2</v>
      </c>
      <c r="I13" s="15">
        <f>H13+'Cash Flow Statement'!I18</f>
        <v>12.2</v>
      </c>
      <c r="J13" s="15">
        <f>I13+'Cash Flow Statement'!J18</f>
        <v>12.2</v>
      </c>
      <c r="K13" s="15">
        <f>J13+'Cash Flow Statement'!K18</f>
        <v>12.2</v>
      </c>
      <c r="L13" s="15">
        <f>K13+'Cash Flow Statement'!L18</f>
        <v>12.2</v>
      </c>
      <c r="M13" s="15">
        <f>L13+'Cash Flow Statement'!M18</f>
        <v>12.2</v>
      </c>
      <c r="N13" s="15">
        <f>M13+'Cash Flow Statement'!N18</f>
        <v>12.2</v>
      </c>
    </row>
    <row r="14" spans="1:15" x14ac:dyDescent="0.3">
      <c r="A14" s="72" t="s">
        <v>200</v>
      </c>
      <c r="B14" s="3"/>
      <c r="C14" s="3"/>
      <c r="D14" s="61">
        <f>SUM(D7:D13)</f>
        <v>200</v>
      </c>
      <c r="E14" s="61">
        <f t="shared" ref="E14:N14" si="0">SUM(E7:E13)</f>
        <v>249.66657678250002</v>
      </c>
      <c r="F14" s="61">
        <f t="shared" si="0"/>
        <v>290.64366436937502</v>
      </c>
      <c r="G14" s="61">
        <f t="shared" si="0"/>
        <v>317.93418811562498</v>
      </c>
      <c r="H14" s="61">
        <f t="shared" si="0"/>
        <v>352.15907695062498</v>
      </c>
      <c r="I14" s="61">
        <f t="shared" si="0"/>
        <v>381.24478256687502</v>
      </c>
      <c r="J14" s="61">
        <f t="shared" si="0"/>
        <v>414.96168186437501</v>
      </c>
      <c r="K14" s="61">
        <f t="shared" si="0"/>
        <v>449.02261594433594</v>
      </c>
      <c r="L14" s="61">
        <f t="shared" si="0"/>
        <v>483.48014407018655</v>
      </c>
      <c r="M14" s="61">
        <f t="shared" si="0"/>
        <v>518.3600185688673</v>
      </c>
      <c r="N14" s="61">
        <f t="shared" si="0"/>
        <v>553.66662905092346</v>
      </c>
    </row>
    <row r="15" spans="1:15" x14ac:dyDescent="0.3">
      <c r="A15" s="62"/>
      <c r="B15" s="10"/>
      <c r="C15" s="10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</row>
    <row r="16" spans="1:15" x14ac:dyDescent="0.3">
      <c r="A16" s="62" t="s">
        <v>201</v>
      </c>
      <c r="B16" s="10"/>
      <c r="C16" s="10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</row>
    <row r="17" spans="1:14" x14ac:dyDescent="0.3">
      <c r="A17" s="81" t="s">
        <v>202</v>
      </c>
      <c r="B17" s="10"/>
      <c r="C17" s="10"/>
      <c r="D17" s="65">
        <f>(C17+'Cash Flow Statement'!D26*-1)</f>
        <v>174.70000000000002</v>
      </c>
      <c r="E17" s="65">
        <f>(D17+'Cash Flow Statement'!E26*-1)</f>
        <v>174.70000000000002</v>
      </c>
      <c r="F17" s="65">
        <f>(E17+'Cash Flow Statement'!F26*-1)</f>
        <v>174.70000000000002</v>
      </c>
      <c r="G17" s="65">
        <f>(F17+'Cash Flow Statement'!G26*-1)</f>
        <v>177.20000000000002</v>
      </c>
      <c r="H17" s="65">
        <f>(G17+'Cash Flow Statement'!H26*-1)</f>
        <v>179.70000000000002</v>
      </c>
      <c r="I17" s="65">
        <f>(H17+'Cash Flow Statement'!I26*-1)</f>
        <v>182.20000000000002</v>
      </c>
      <c r="J17" s="65">
        <f>(I17+'Cash Flow Statement'!J26*-1)</f>
        <v>184.70000000000002</v>
      </c>
      <c r="K17" s="65">
        <f>(J17+'Cash Flow Statement'!K26*-1)</f>
        <v>189.70000000000002</v>
      </c>
      <c r="L17" s="65">
        <f>(K17+'Cash Flow Statement'!L26*-1)</f>
        <v>194.70000000000002</v>
      </c>
      <c r="M17" s="65">
        <f>(L17+'Cash Flow Statement'!M26*-1)</f>
        <v>199.70000000000002</v>
      </c>
      <c r="N17" s="65">
        <f>(M17+'Cash Flow Statement'!N26*-1)</f>
        <v>204.70000000000002</v>
      </c>
    </row>
    <row r="18" spans="1:14" x14ac:dyDescent="0.3">
      <c r="A18" s="81" t="s">
        <v>203</v>
      </c>
      <c r="B18" s="10"/>
      <c r="C18" s="10"/>
      <c r="D18" s="65">
        <f>C18+'Cash Flow Statement'!D11</f>
        <v>0</v>
      </c>
      <c r="E18" s="65">
        <f>D18+'Cash Flow Statement'!E11</f>
        <v>12.88738</v>
      </c>
      <c r="F18" s="65">
        <f>E18+'Cash Flow Statement'!F11</f>
        <v>25.774760000000001</v>
      </c>
      <c r="G18" s="65">
        <f>F18+'Cash Flow Statement'!G11</f>
        <v>38.86439</v>
      </c>
      <c r="H18" s="65">
        <f>G18+'Cash Flow Statement'!H11</f>
        <v>52.156269999999999</v>
      </c>
      <c r="I18" s="65">
        <f>H18+'Cash Flow Statement'!I11</f>
        <v>65.650400000000005</v>
      </c>
      <c r="J18" s="65">
        <f>I18+'Cash Flow Statement'!J11</f>
        <v>79.34678000000001</v>
      </c>
      <c r="K18" s="65">
        <f>J18+'Cash Flow Statement'!K11</f>
        <v>93.447660000000013</v>
      </c>
      <c r="L18" s="65">
        <f>K18+'Cash Flow Statement'!L11</f>
        <v>107.95304000000002</v>
      </c>
      <c r="M18" s="65">
        <f>L18+'Cash Flow Statement'!M11</f>
        <v>122.86292000000002</v>
      </c>
      <c r="N18" s="65">
        <f>M18+'Cash Flow Statement'!N11</f>
        <v>138.17730000000003</v>
      </c>
    </row>
    <row r="19" spans="1:14" x14ac:dyDescent="0.3">
      <c r="A19" s="72" t="s">
        <v>204</v>
      </c>
      <c r="B19" s="3"/>
      <c r="C19" s="3"/>
      <c r="D19" s="61">
        <f>D17-D18</f>
        <v>174.70000000000002</v>
      </c>
      <c r="E19" s="61">
        <f t="shared" ref="E19:N19" si="1">E17-E18</f>
        <v>161.81262000000001</v>
      </c>
      <c r="F19" s="61">
        <f t="shared" si="1"/>
        <v>148.92524000000003</v>
      </c>
      <c r="G19" s="61">
        <f t="shared" si="1"/>
        <v>138.33561000000003</v>
      </c>
      <c r="H19" s="61">
        <f t="shared" si="1"/>
        <v>127.54373000000001</v>
      </c>
      <c r="I19" s="61">
        <f t="shared" si="1"/>
        <v>116.54960000000001</v>
      </c>
      <c r="J19" s="61">
        <f t="shared" si="1"/>
        <v>105.35322000000001</v>
      </c>
      <c r="K19" s="61">
        <f t="shared" si="1"/>
        <v>96.252340000000004</v>
      </c>
      <c r="L19" s="61">
        <f t="shared" si="1"/>
        <v>86.746960000000001</v>
      </c>
      <c r="M19" s="61">
        <f t="shared" si="1"/>
        <v>76.83708</v>
      </c>
      <c r="N19" s="61">
        <f t="shared" si="1"/>
        <v>66.522699999999986</v>
      </c>
    </row>
    <row r="20" spans="1:14" x14ac:dyDescent="0.3">
      <c r="A20" s="62"/>
      <c r="B20" s="10"/>
      <c r="C20" s="10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</row>
    <row r="21" spans="1:14" x14ac:dyDescent="0.3">
      <c r="A21" s="62" t="s">
        <v>205</v>
      </c>
      <c r="B21" s="10"/>
      <c r="C21" s="10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</row>
    <row r="22" spans="1:14" x14ac:dyDescent="0.3">
      <c r="A22" s="81" t="s">
        <v>206</v>
      </c>
      <c r="B22" s="10"/>
      <c r="C22" s="10"/>
      <c r="D22" s="65">
        <f>C22+'Cash Flow Statement'!D16*-1</f>
        <v>9</v>
      </c>
      <c r="E22" s="65">
        <f>D22+'Cash Flow Statement'!E16*-1</f>
        <v>32.1</v>
      </c>
      <c r="F22" s="65">
        <f>E22+'Cash Flow Statement'!F16*-1</f>
        <v>42.7</v>
      </c>
      <c r="G22" s="65">
        <f>F22+'Cash Flow Statement'!G16*-1</f>
        <v>49.8</v>
      </c>
      <c r="H22" s="65">
        <f>G22+'Cash Flow Statement'!H16*-1</f>
        <v>56.9</v>
      </c>
      <c r="I22" s="65">
        <f>H22+'Cash Flow Statement'!I16*-1</f>
        <v>56.9</v>
      </c>
      <c r="J22" s="65">
        <f>I22+'Cash Flow Statement'!J16*-1</f>
        <v>56.9</v>
      </c>
      <c r="K22" s="65">
        <f>J22+'Cash Flow Statement'!K16*-1</f>
        <v>56.9</v>
      </c>
      <c r="L22" s="65">
        <f>K22+'Cash Flow Statement'!L16*-1</f>
        <v>56.9</v>
      </c>
      <c r="M22" s="65">
        <f>L22+'Cash Flow Statement'!M16*-1</f>
        <v>56.9</v>
      </c>
      <c r="N22" s="65">
        <f>M22+'Cash Flow Statement'!N16*-1</f>
        <v>56.9</v>
      </c>
    </row>
    <row r="23" spans="1:14" x14ac:dyDescent="0.3">
      <c r="A23" s="81" t="s">
        <v>207</v>
      </c>
      <c r="B23" s="10"/>
      <c r="C23" s="10"/>
      <c r="D23" s="65">
        <f>'Cash Flow Statement'!D41</f>
        <v>0</v>
      </c>
      <c r="E23" s="65">
        <f>'Cash Flow Statement'!E41</f>
        <v>39.853956782499992</v>
      </c>
      <c r="F23" s="65">
        <f>'Cash Flow Statement'!F41</f>
        <v>83.518424369374998</v>
      </c>
      <c r="G23" s="65">
        <f>'Cash Flow Statement'!G41</f>
        <v>114.698578115625</v>
      </c>
      <c r="H23" s="65">
        <f>'Cash Flow Statement'!H41</f>
        <v>153.01534695062503</v>
      </c>
      <c r="I23" s="65">
        <f>'Cash Flow Statement'!I41</f>
        <v>193.49518256687503</v>
      </c>
      <c r="J23" s="65">
        <f>'Cash Flow Statement'!J41</f>
        <v>238.80846186437506</v>
      </c>
      <c r="K23" s="65">
        <f>'Cash Flow Statement'!K41</f>
        <v>282.37027594433602</v>
      </c>
      <c r="L23" s="65">
        <f>'Cash Flow Statement'!L41</f>
        <v>326.73318407018661</v>
      </c>
      <c r="M23" s="65">
        <f>'Cash Flow Statement'!M41</f>
        <v>371.92293856886732</v>
      </c>
      <c r="N23" s="65">
        <f>'Cash Flow Statement'!N41</f>
        <v>417.94392905092349</v>
      </c>
    </row>
    <row r="24" spans="1:14" x14ac:dyDescent="0.3">
      <c r="A24" s="81" t="s">
        <v>208</v>
      </c>
      <c r="B24" s="10"/>
      <c r="C24" s="10"/>
      <c r="D24" s="65">
        <f>C24+('Cash Flow Statement'!D27*-1)-'Cash Flow Statement'!D12</f>
        <v>16.3</v>
      </c>
      <c r="E24" s="65">
        <f>D24+('Cash Flow Statement'!E27*-1)-'Cash Flow Statement'!E12</f>
        <v>15.9</v>
      </c>
      <c r="F24" s="65">
        <f>E24+('Cash Flow Statement'!F27*-1)-'Cash Flow Statement'!F12</f>
        <v>15.5</v>
      </c>
      <c r="G24" s="65">
        <f>F24+('Cash Flow Statement'!G27*-1)-'Cash Flow Statement'!G12</f>
        <v>15.1</v>
      </c>
      <c r="H24" s="65">
        <f>G24+('Cash Flow Statement'!H27*-1)-'Cash Flow Statement'!H12</f>
        <v>14.7</v>
      </c>
      <c r="I24" s="65">
        <f>H24+('Cash Flow Statement'!I27*-1)-'Cash Flow Statement'!I12</f>
        <v>14.299999999999999</v>
      </c>
      <c r="J24" s="65">
        <f>I24+('Cash Flow Statement'!J27*-1)-'Cash Flow Statement'!J12</f>
        <v>13.899999999999999</v>
      </c>
      <c r="K24" s="65">
        <f>J24+('Cash Flow Statement'!K27*-1)-'Cash Flow Statement'!K12</f>
        <v>13.499999999999998</v>
      </c>
      <c r="L24" s="65">
        <f>K24+('Cash Flow Statement'!L27*-1)-'Cash Flow Statement'!L12</f>
        <v>13.099999999999998</v>
      </c>
      <c r="M24" s="65">
        <f>L24+('Cash Flow Statement'!M27*-1)-'Cash Flow Statement'!M12</f>
        <v>12.699999999999998</v>
      </c>
      <c r="N24" s="65">
        <f>M24+('Cash Flow Statement'!N27*-1)-'Cash Flow Statement'!N12</f>
        <v>12.299999999999997</v>
      </c>
    </row>
    <row r="25" spans="1:14" x14ac:dyDescent="0.3">
      <c r="A25" s="81" t="s">
        <v>209</v>
      </c>
      <c r="B25" s="10"/>
      <c r="C25" s="10"/>
      <c r="D25" s="65">
        <f>IF('Income Statement'!D51&lt;=0,-'Income Statement'!D51,0)</f>
        <v>0</v>
      </c>
      <c r="E25" s="65">
        <f>IF('Income Statement'!E51&lt;=0,-'Income Statement'!E51,0)</f>
        <v>0</v>
      </c>
      <c r="F25" s="65">
        <f>IF('Income Statement'!F51&lt;=0,-'Income Statement'!F51,0)</f>
        <v>0</v>
      </c>
      <c r="G25" s="65">
        <f>IF('Income Statement'!G51&lt;=0,-'Income Statement'!G51,0)</f>
        <v>0</v>
      </c>
      <c r="H25" s="65">
        <f>IF('Income Statement'!H51&lt;=0,-'Income Statement'!H51,0)</f>
        <v>0</v>
      </c>
      <c r="I25" s="65">
        <f>IF('Income Statement'!I51&lt;=0,-'Income Statement'!I51,0)</f>
        <v>0</v>
      </c>
      <c r="J25" s="65">
        <f>IF('Income Statement'!J51&lt;=0,-'Income Statement'!J51,0)</f>
        <v>0</v>
      </c>
      <c r="K25" s="65">
        <f>IF('Income Statement'!K51&lt;=0,-'Income Statement'!K51,0)</f>
        <v>0</v>
      </c>
      <c r="L25" s="65">
        <f>IF('Income Statement'!L51&lt;=0,-'Income Statement'!L51,0)</f>
        <v>0</v>
      </c>
      <c r="M25" s="65">
        <f>IF('Income Statement'!M51&lt;=0,-'Income Statement'!M51,0)</f>
        <v>0</v>
      </c>
      <c r="N25" s="65">
        <f>IF('Income Statement'!N51&lt;=0,-'Income Statement'!N51,0)</f>
        <v>0</v>
      </c>
    </row>
    <row r="26" spans="1:14" x14ac:dyDescent="0.3">
      <c r="A26" s="83" t="s">
        <v>26</v>
      </c>
      <c r="B26" s="3"/>
      <c r="C26" s="3"/>
      <c r="D26" s="61">
        <f>SUM(D19:D25)</f>
        <v>200.00000000000003</v>
      </c>
      <c r="E26" s="61">
        <f t="shared" ref="E26:N26" si="2">SUM(E19:E25)</f>
        <v>249.66657678250002</v>
      </c>
      <c r="F26" s="61">
        <f t="shared" si="2"/>
        <v>290.64366436937502</v>
      </c>
      <c r="G26" s="61">
        <f t="shared" si="2"/>
        <v>317.93418811562503</v>
      </c>
      <c r="H26" s="61">
        <f t="shared" si="2"/>
        <v>352.15907695062504</v>
      </c>
      <c r="I26" s="61">
        <f t="shared" si="2"/>
        <v>381.24478256687502</v>
      </c>
      <c r="J26" s="61">
        <f t="shared" si="2"/>
        <v>414.96168186437501</v>
      </c>
      <c r="K26" s="61">
        <f t="shared" si="2"/>
        <v>449.02261594433605</v>
      </c>
      <c r="L26" s="61">
        <f t="shared" si="2"/>
        <v>483.48014407018661</v>
      </c>
      <c r="M26" s="61">
        <f t="shared" si="2"/>
        <v>518.3600185688673</v>
      </c>
      <c r="N26" s="61">
        <f t="shared" si="2"/>
        <v>553.66662905092346</v>
      </c>
    </row>
    <row r="27" spans="1:14" x14ac:dyDescent="0.3">
      <c r="A27" s="81"/>
      <c r="B27" s="10"/>
      <c r="C27" s="10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</row>
    <row r="28" spans="1:14" x14ac:dyDescent="0.3">
      <c r="A28" s="84" t="s">
        <v>27</v>
      </c>
      <c r="D28" s="80">
        <f>D14-D26</f>
        <v>0</v>
      </c>
      <c r="E28" s="80">
        <f t="shared" ref="E28:N28" si="3">E14-E26</f>
        <v>0</v>
      </c>
      <c r="F28" s="80">
        <f t="shared" si="3"/>
        <v>0</v>
      </c>
      <c r="G28" s="80">
        <f t="shared" si="3"/>
        <v>0</v>
      </c>
      <c r="H28" s="80">
        <f t="shared" si="3"/>
        <v>0</v>
      </c>
      <c r="I28" s="80">
        <f t="shared" si="3"/>
        <v>0</v>
      </c>
      <c r="J28" s="80">
        <f t="shared" si="3"/>
        <v>0</v>
      </c>
      <c r="K28" s="80">
        <f t="shared" si="3"/>
        <v>0</v>
      </c>
      <c r="L28" s="80">
        <f t="shared" si="3"/>
        <v>0</v>
      </c>
      <c r="M28" s="80">
        <f t="shared" si="3"/>
        <v>0</v>
      </c>
      <c r="N28" s="80">
        <f t="shared" si="3"/>
        <v>0</v>
      </c>
    </row>
    <row r="29" spans="1:14" x14ac:dyDescent="0.3"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2">
    <mergeCell ref="A3:A4"/>
    <mergeCell ref="D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O86"/>
  <sheetViews>
    <sheetView showGridLines="0" workbookViewId="0">
      <pane xSplit="3" ySplit="4" topLeftCell="D80" activePane="bottomRight" state="frozen"/>
      <selection activeCell="P5" sqref="P5"/>
      <selection pane="topRight" activeCell="P5" sqref="P5"/>
      <selection pane="bottomLeft" activeCell="P5" sqref="P5"/>
      <selection pane="bottomRight" activeCell="A96" sqref="A96"/>
    </sheetView>
  </sheetViews>
  <sheetFormatPr defaultColWidth="8.88671875" defaultRowHeight="14.4" x14ac:dyDescent="0.3"/>
  <cols>
    <col min="1" max="1" width="26.44140625" bestFit="1" customWidth="1"/>
    <col min="2" max="2" width="8.44140625" bestFit="1" customWidth="1"/>
    <col min="3" max="3" width="1.109375" customWidth="1"/>
    <col min="4" max="4" width="10.6640625" style="93" bestFit="1" customWidth="1"/>
    <col min="5" max="5" width="12.44140625" customWidth="1"/>
    <col min="6" max="14" width="11.5546875" bestFit="1" customWidth="1"/>
    <col min="15" max="15" width="14.33203125" bestFit="1" customWidth="1"/>
  </cols>
  <sheetData>
    <row r="1" spans="1:15" s="6" customFormat="1" ht="18" x14ac:dyDescent="0.35">
      <c r="A1" s="6" t="s">
        <v>431</v>
      </c>
      <c r="D1" s="92"/>
    </row>
    <row r="2" spans="1:15" x14ac:dyDescent="0.3">
      <c r="A2" t="s">
        <v>3</v>
      </c>
    </row>
    <row r="3" spans="1:15" x14ac:dyDescent="0.3">
      <c r="A3" s="183" t="s">
        <v>36</v>
      </c>
      <c r="B3" s="48"/>
      <c r="C3" s="48"/>
      <c r="D3" s="184" t="s">
        <v>15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5" x14ac:dyDescent="0.3">
      <c r="A4" s="183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5" x14ac:dyDescent="0.3"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3">
      <c r="A6" s="1" t="s">
        <v>214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5" x14ac:dyDescent="0.3">
      <c r="A7" t="s">
        <v>210</v>
      </c>
      <c r="D7" s="94">
        <f>SUM('Balance Sheet'!D11:D13)/SUM('Balance Sheet'!D7:D10)</f>
        <v>1.9411764705882353</v>
      </c>
      <c r="E7" s="66">
        <f>SUM('Balance Sheet'!E11:E13)/SUM('Balance Sheet'!E7:E10)</f>
        <v>1.6683307797277009</v>
      </c>
      <c r="F7" s="66">
        <f>SUM('Balance Sheet'!F11:F13)/SUM('Balance Sheet'!F7:F10)</f>
        <v>1.2949720052451239</v>
      </c>
      <c r="G7" s="66">
        <f>SUM('Balance Sheet'!G11:G13)/SUM('Balance Sheet'!G7:G10)</f>
        <v>0.92530808879510318</v>
      </c>
      <c r="H7" s="66">
        <f>SUM('Balance Sheet'!H11:H13)/SUM('Balance Sheet'!H7:H10)</f>
        <v>0.67329003839185175</v>
      </c>
      <c r="I7" s="66">
        <f>SUM('Balance Sheet'!I11:I13)/SUM('Balance Sheet'!I7:I10)</f>
        <v>0.48897696233001609</v>
      </c>
      <c r="J7" s="66">
        <f>SUM('Balance Sheet'!J11:J13)/SUM('Balance Sheet'!J7:J10)</f>
        <v>0.35492523693557176</v>
      </c>
      <c r="K7" s="66">
        <f>SUM('Balance Sheet'!K11:K13)/SUM('Balance Sheet'!K7:K10)</f>
        <v>0.25839169346368768</v>
      </c>
      <c r="L7" s="66">
        <f>SUM('Balance Sheet'!L11:L13)/SUM('Balance Sheet'!L7:L10)</f>
        <v>0.18563924973004722</v>
      </c>
      <c r="M7" s="66">
        <f>SUM('Balance Sheet'!M11:M13)/SUM('Balance Sheet'!M7:M10)</f>
        <v>0.12893108634440234</v>
      </c>
      <c r="N7" s="66">
        <f>SUM('Balance Sheet'!N11:N13)/SUM('Balance Sheet'!N7:N10)</f>
        <v>8.3567101200545293E-2</v>
      </c>
    </row>
    <row r="8" spans="1:15" x14ac:dyDescent="0.3">
      <c r="A8" t="s">
        <v>211</v>
      </c>
      <c r="D8" s="94" t="str">
        <f>IFERROR(SUM('Balance Sheet'!D22:D23)/SUM('Balance Sheet'!D12:D13),"")</f>
        <v/>
      </c>
      <c r="E8" s="66">
        <f>IFERROR(SUM('Balance Sheet'!E22:E23)/SUM('Balance Sheet'!E12:E13),"")</f>
        <v>2.9856413602697094</v>
      </c>
      <c r="F8" s="66">
        <f>IFERROR(SUM('Balance Sheet'!F22:F23)/SUM('Balance Sheet'!F12:F13),"")</f>
        <v>3.9443257615429688</v>
      </c>
      <c r="G8" s="66">
        <f>IFERROR(SUM('Balance Sheet'!G22:G23)/SUM('Balance Sheet'!G12:G13),"")</f>
        <v>4.4101495473357906</v>
      </c>
      <c r="H8" s="66">
        <f>IFERROR(SUM('Balance Sheet'!H22:H23)/SUM('Balance Sheet'!H12:H13),"")</f>
        <v>4.9160502798741224</v>
      </c>
      <c r="I8" s="66">
        <f>IFERROR(SUM('Balance Sheet'!I22:I23)/SUM('Balance Sheet'!I12:I13),"")</f>
        <v>5.8640557978190868</v>
      </c>
      <c r="J8" s="66">
        <f>IFERROR(SUM('Balance Sheet'!J22:J23)/SUM('Balance Sheet'!J12:J13),"")</f>
        <v>6.9252567181352473</v>
      </c>
      <c r="K8" s="66">
        <f>IFERROR(SUM('Balance Sheet'!K22:K23)/SUM('Balance Sheet'!K12:K13),"")</f>
        <v>7.9454397176659475</v>
      </c>
      <c r="L8" s="66">
        <f>IFERROR(SUM('Balance Sheet'!L22:L23)/SUM('Balance Sheet'!L12:L13),"")</f>
        <v>8.9843837018779062</v>
      </c>
      <c r="M8" s="66">
        <f>IFERROR(SUM('Balance Sheet'!M22:M23)/SUM('Balance Sheet'!M12:M13),"")</f>
        <v>10.042691769762699</v>
      </c>
      <c r="N8" s="66">
        <f>IFERROR(SUM('Balance Sheet'!N22:N23)/SUM('Balance Sheet'!N12:N13),"")</f>
        <v>11.120466722504062</v>
      </c>
    </row>
    <row r="9" spans="1:15" x14ac:dyDescent="0.3">
      <c r="A9" t="s">
        <v>212</v>
      </c>
      <c r="D9" s="95">
        <f>('Balance Sheet'!D19-'Balance Sheet'!D11)/'Balance Sheet'!D19</f>
        <v>0.244419004006869</v>
      </c>
      <c r="E9" s="91">
        <f>('Balance Sheet'!E19-'Balance Sheet'!E11)/'Balance Sheet'!E19</f>
        <v>0.18424162466438038</v>
      </c>
      <c r="F9" s="91">
        <f>('Balance Sheet'!F19-'Balance Sheet'!F11)/'Balance Sheet'!F19</f>
        <v>0.11364923769805593</v>
      </c>
      <c r="G9" s="91">
        <f>('Balance Sheet'!G19-'Balance Sheet'!G11)/'Balance Sheet'!G19</f>
        <v>0.16507398203542836</v>
      </c>
      <c r="H9" s="91">
        <f>('Balance Sheet'!H19-'Balance Sheet'!H11)/'Balance Sheet'!H19</f>
        <v>0.22379563464233018</v>
      </c>
      <c r="I9" s="91">
        <f>('Balance Sheet'!I19-'Balance Sheet'!I11)/'Balance Sheet'!I19</f>
        <v>0.29214686279489599</v>
      </c>
      <c r="J9" s="91">
        <f>('Balance Sheet'!J19-'Balance Sheet'!J11)/'Balance Sheet'!J19</f>
        <v>0.37353599633689416</v>
      </c>
      <c r="K9" s="91">
        <f>('Balance Sheet'!K19-'Balance Sheet'!K11)/'Balance Sheet'!K19</f>
        <v>0.48572678856430923</v>
      </c>
      <c r="L9" s="91">
        <f>('Balance Sheet'!L19-'Balance Sheet'!L11)/'Balance Sheet'!L19</f>
        <v>0.61958321075459011</v>
      </c>
      <c r="M9" s="91">
        <f>('Balance Sheet'!M19-'Balance Sheet'!M11)/'Balance Sheet'!M19</f>
        <v>0.78525992919043774</v>
      </c>
      <c r="N9" s="91">
        <f>('Balance Sheet'!N19-'Balance Sheet'!N11)/'Balance Sheet'!N19</f>
        <v>1</v>
      </c>
    </row>
    <row r="10" spans="1:15" x14ac:dyDescent="0.3">
      <c r="A10" t="s">
        <v>213</v>
      </c>
      <c r="D10" s="95">
        <f>Assumptions!B18/Assumptions!B22</f>
        <v>0.17499999999999999</v>
      </c>
      <c r="E10" s="91">
        <f>D10</f>
        <v>0.17499999999999999</v>
      </c>
      <c r="F10" s="91">
        <f t="shared" ref="F10:N10" si="0">E10</f>
        <v>0.17499999999999999</v>
      </c>
      <c r="G10" s="91">
        <f t="shared" si="0"/>
        <v>0.17499999999999999</v>
      </c>
      <c r="H10" s="91">
        <f t="shared" si="0"/>
        <v>0.17499999999999999</v>
      </c>
      <c r="I10" s="91">
        <f t="shared" si="0"/>
        <v>0.17499999999999999</v>
      </c>
      <c r="J10" s="91">
        <f t="shared" si="0"/>
        <v>0.17499999999999999</v>
      </c>
      <c r="K10" s="91">
        <f t="shared" si="0"/>
        <v>0.17499999999999999</v>
      </c>
      <c r="L10" s="91">
        <f t="shared" si="0"/>
        <v>0.17499999999999999</v>
      </c>
      <c r="M10" s="91">
        <f t="shared" si="0"/>
        <v>0.17499999999999999</v>
      </c>
      <c r="N10" s="91">
        <f t="shared" si="0"/>
        <v>0.17499999999999999</v>
      </c>
    </row>
    <row r="11" spans="1:15" x14ac:dyDescent="0.3">
      <c r="D11" s="90"/>
      <c r="E11" s="89"/>
      <c r="F11" s="89"/>
      <c r="G11" s="89"/>
      <c r="H11" s="89"/>
      <c r="I11" s="89"/>
      <c r="J11" s="89"/>
      <c r="K11" s="89"/>
      <c r="L11" s="89"/>
      <c r="M11" s="89"/>
      <c r="N11" s="89"/>
    </row>
    <row r="12" spans="1:15" x14ac:dyDescent="0.3">
      <c r="A12" s="1" t="s">
        <v>216</v>
      </c>
      <c r="D12" s="90"/>
      <c r="E12" s="89"/>
      <c r="F12" s="89"/>
      <c r="G12" s="89"/>
      <c r="H12" s="89"/>
      <c r="I12" s="89"/>
      <c r="J12" s="89"/>
      <c r="K12" s="89"/>
      <c r="L12" s="89"/>
      <c r="M12" s="89"/>
      <c r="N12" s="89"/>
    </row>
    <row r="13" spans="1:15" x14ac:dyDescent="0.3">
      <c r="D13" s="90"/>
      <c r="E13" s="89"/>
      <c r="F13" s="89"/>
      <c r="G13" s="89"/>
      <c r="H13" s="89"/>
      <c r="I13" s="89"/>
      <c r="J13" s="89"/>
      <c r="K13" s="89"/>
      <c r="L13" s="89"/>
      <c r="M13" s="89"/>
      <c r="N13" s="89"/>
    </row>
    <row r="14" spans="1:15" x14ac:dyDescent="0.3">
      <c r="A14" s="16" t="s">
        <v>217</v>
      </c>
      <c r="D14" s="90"/>
      <c r="E14" s="89"/>
      <c r="F14" s="89"/>
      <c r="G14" s="89"/>
      <c r="H14" s="89"/>
      <c r="I14" s="89"/>
      <c r="J14" s="89"/>
      <c r="K14" s="89"/>
      <c r="L14" s="89"/>
      <c r="M14" s="89"/>
      <c r="N14" s="89"/>
    </row>
    <row r="15" spans="1:15" x14ac:dyDescent="0.3">
      <c r="A15" t="s">
        <v>139</v>
      </c>
      <c r="D15" s="90">
        <f>VLOOKUP($A15,'Income Statement'!$A$15:$N$45,4,0)</f>
        <v>0</v>
      </c>
      <c r="E15" s="90">
        <f>VLOOKUP($A15,'Income Statement'!$A$15:$N$45,5,0)</f>
        <v>95.121402924999998</v>
      </c>
      <c r="F15" s="90">
        <f>VLOOKUP($A15,'Income Statement'!$A$15:$N$45,6,0)</f>
        <v>113.6952039</v>
      </c>
      <c r="G15" s="90">
        <f>VLOOKUP($A15,'Income Statement'!$A$15:$N$45,7,0)</f>
        <v>130.54440455</v>
      </c>
      <c r="H15" s="90">
        <f>VLOOKUP($A15,'Income Statement'!$A$15:$N$45,8,0)</f>
        <v>148.7936052</v>
      </c>
      <c r="I15" s="90">
        <f>VLOOKUP($A15,'Income Statement'!$A$15:$N$45,9,0)</f>
        <v>145.99360519999999</v>
      </c>
      <c r="J15" s="90">
        <f>VLOOKUP($A15,'Income Statement'!$A$15:$N$45,10,0)</f>
        <v>145.99360519999999</v>
      </c>
      <c r="K15" s="90">
        <f>VLOOKUP($A15,'Income Statement'!$A$15:$N$45,11,0)</f>
        <v>145.99360519999999</v>
      </c>
      <c r="L15" s="90">
        <f>VLOOKUP($A15,'Income Statement'!$A$15:$N$45,12,0)</f>
        <v>145.99360519999999</v>
      </c>
      <c r="M15" s="90">
        <f>VLOOKUP($A15,'Income Statement'!$A$15:$N$45,13,0)</f>
        <v>145.99360519999999</v>
      </c>
      <c r="N15" s="90">
        <f>VLOOKUP($A15,'Income Statement'!$A$15:$N$45,14,0)</f>
        <v>145.99360519999999</v>
      </c>
      <c r="O15" s="40"/>
    </row>
    <row r="16" spans="1:15" x14ac:dyDescent="0.3">
      <c r="A16" t="s">
        <v>65</v>
      </c>
      <c r="D16" s="90">
        <f>VLOOKUP($A16,'Income Statement'!$A$15:$N$45,4,0)</f>
        <v>0</v>
      </c>
      <c r="E16" s="90">
        <f>VLOOKUP($A16,'Income Statement'!$A$15:$N$45,5,0)</f>
        <v>0</v>
      </c>
      <c r="F16" s="90">
        <f>VLOOKUP($A16,'Income Statement'!$A$15:$N$45,6,0)</f>
        <v>0</v>
      </c>
      <c r="G16" s="90">
        <f>VLOOKUP($A16,'Income Statement'!$A$15:$N$45,7,0)</f>
        <v>0</v>
      </c>
      <c r="H16" s="90">
        <f>VLOOKUP($A16,'Income Statement'!$A$15:$N$45,8,0)</f>
        <v>0</v>
      </c>
      <c r="I16" s="90">
        <f>VLOOKUP($A16,'Income Statement'!$A$15:$N$45,9,0)</f>
        <v>0</v>
      </c>
      <c r="J16" s="90">
        <f>VLOOKUP($A16,'Income Statement'!$A$15:$N$45,10,0)</f>
        <v>0</v>
      </c>
      <c r="K16" s="90">
        <f>VLOOKUP($A16,'Income Statement'!$A$15:$N$45,11,0)</f>
        <v>0</v>
      </c>
      <c r="L16" s="90">
        <f>VLOOKUP($A16,'Income Statement'!$A$15:$N$45,12,0)</f>
        <v>0</v>
      </c>
      <c r="M16" s="90">
        <f>VLOOKUP($A16,'Income Statement'!$A$15:$N$45,13,0)</f>
        <v>0</v>
      </c>
      <c r="N16" s="90">
        <f>VLOOKUP($A16,'Income Statement'!$A$15:$N$45,14,0)</f>
        <v>0</v>
      </c>
      <c r="O16" s="40"/>
    </row>
    <row r="17" spans="1:15" x14ac:dyDescent="0.3">
      <c r="A17" t="s">
        <v>66</v>
      </c>
      <c r="D17" s="90">
        <f>VLOOKUP($A17,'Income Statement'!$A$15:$N$45,4,0)</f>
        <v>0</v>
      </c>
      <c r="E17" s="90">
        <f>VLOOKUP($A17,'Income Statement'!$A$15:$N$45,5,0)</f>
        <v>0</v>
      </c>
      <c r="F17" s="90">
        <f>VLOOKUP($A17,'Income Statement'!$A$15:$N$45,6,0)</f>
        <v>0</v>
      </c>
      <c r="G17" s="90">
        <f>VLOOKUP($A17,'Income Statement'!$A$15:$N$45,7,0)</f>
        <v>0</v>
      </c>
      <c r="H17" s="90">
        <f>VLOOKUP($A17,'Income Statement'!$A$15:$N$45,8,0)</f>
        <v>0</v>
      </c>
      <c r="I17" s="90">
        <f>VLOOKUP($A17,'Income Statement'!$A$15:$N$45,9,0)</f>
        <v>0</v>
      </c>
      <c r="J17" s="90">
        <f>VLOOKUP($A17,'Income Statement'!$A$15:$N$45,10,0)</f>
        <v>0</v>
      </c>
      <c r="K17" s="90">
        <f>VLOOKUP($A17,'Income Statement'!$A$15:$N$45,11,0)</f>
        <v>0</v>
      </c>
      <c r="L17" s="90">
        <f>VLOOKUP($A17,'Income Statement'!$A$15:$N$45,12,0)</f>
        <v>0</v>
      </c>
      <c r="M17" s="90">
        <f>VLOOKUP($A17,'Income Statement'!$A$15:$N$45,13,0)</f>
        <v>0</v>
      </c>
      <c r="N17" s="90">
        <f>VLOOKUP($A17,'Income Statement'!$A$15:$N$45,14,0)</f>
        <v>0</v>
      </c>
      <c r="O17" s="40"/>
    </row>
    <row r="18" spans="1:15" x14ac:dyDescent="0.3">
      <c r="A18" t="s">
        <v>67</v>
      </c>
      <c r="D18" s="90">
        <f>VLOOKUP($A18,'Income Statement'!$A$15:$N$45,4,0)</f>
        <v>0</v>
      </c>
      <c r="E18" s="90">
        <f>VLOOKUP($A18,'Income Statement'!$A$15:$N$45,5,0)</f>
        <v>0</v>
      </c>
      <c r="F18" s="90">
        <f>VLOOKUP($A18,'Income Statement'!$A$15:$N$45,6,0)</f>
        <v>0</v>
      </c>
      <c r="G18" s="90">
        <f>VLOOKUP($A18,'Income Statement'!$A$15:$N$45,7,0)</f>
        <v>0</v>
      </c>
      <c r="H18" s="90">
        <f>VLOOKUP($A18,'Income Statement'!$A$15:$N$45,8,0)</f>
        <v>0</v>
      </c>
      <c r="I18" s="90">
        <f>VLOOKUP($A18,'Income Statement'!$A$15:$N$45,9,0)</f>
        <v>0</v>
      </c>
      <c r="J18" s="90">
        <f>VLOOKUP($A18,'Income Statement'!$A$15:$N$45,10,0)</f>
        <v>0</v>
      </c>
      <c r="K18" s="90">
        <f>VLOOKUP($A18,'Income Statement'!$A$15:$N$45,11,0)</f>
        <v>0</v>
      </c>
      <c r="L18" s="90">
        <f>VLOOKUP($A18,'Income Statement'!$A$15:$N$45,12,0)</f>
        <v>0</v>
      </c>
      <c r="M18" s="90">
        <f>VLOOKUP($A18,'Income Statement'!$A$15:$N$45,13,0)</f>
        <v>0</v>
      </c>
      <c r="N18" s="90">
        <f>VLOOKUP($A18,'Income Statement'!$A$15:$N$45,14,0)</f>
        <v>0</v>
      </c>
      <c r="O18" s="40"/>
    </row>
    <row r="19" spans="1:15" x14ac:dyDescent="0.3">
      <c r="A19" t="s">
        <v>140</v>
      </c>
      <c r="D19" s="90">
        <f>VLOOKUP($A19,'Income Statement'!$A$15:$N$45,4,0)</f>
        <v>0</v>
      </c>
      <c r="E19" s="90">
        <f>VLOOKUP($A19,'Income Statement'!$A$15:$N$45,5,0)</f>
        <v>1.6425000000000001</v>
      </c>
      <c r="F19" s="90">
        <f>VLOOKUP($A19,'Income Statement'!$A$15:$N$45,6,0)</f>
        <v>2.19</v>
      </c>
      <c r="G19" s="90">
        <f>VLOOKUP($A19,'Income Statement'!$A$15:$N$45,7,0)</f>
        <v>2.5549999999999997</v>
      </c>
      <c r="H19" s="90">
        <f>VLOOKUP($A19,'Income Statement'!$A$15:$N$45,8,0)</f>
        <v>2.92</v>
      </c>
      <c r="I19" s="90">
        <f>VLOOKUP($A19,'Income Statement'!$A$15:$N$45,9,0)</f>
        <v>2.92</v>
      </c>
      <c r="J19" s="90">
        <f>VLOOKUP($A19,'Income Statement'!$A$15:$N$45,10,0)</f>
        <v>2.92</v>
      </c>
      <c r="K19" s="90">
        <f>VLOOKUP($A19,'Income Statement'!$A$15:$N$45,11,0)</f>
        <v>2.92</v>
      </c>
      <c r="L19" s="90">
        <f>VLOOKUP($A19,'Income Statement'!$A$15:$N$45,12,0)</f>
        <v>2.92</v>
      </c>
      <c r="M19" s="90">
        <f>VLOOKUP($A19,'Income Statement'!$A$15:$N$45,13,0)</f>
        <v>2.92</v>
      </c>
      <c r="N19" s="90">
        <f>VLOOKUP($A19,'Income Statement'!$A$15:$N$45,14,0)</f>
        <v>2.92</v>
      </c>
      <c r="O19" s="40"/>
    </row>
    <row r="20" spans="1:15" x14ac:dyDescent="0.3">
      <c r="A20" t="s">
        <v>141</v>
      </c>
      <c r="D20" s="90">
        <f>VLOOKUP($A20,'Income Statement'!$A$15:$N$45,4,0)</f>
        <v>0</v>
      </c>
      <c r="E20" s="90">
        <f>VLOOKUP($A20,'Income Statement'!$A$15:$N$45,5,0)</f>
        <v>1.3140000000000001</v>
      </c>
      <c r="F20" s="90">
        <f>VLOOKUP($A20,'Income Statement'!$A$15:$N$45,6,0)</f>
        <v>1.752</v>
      </c>
      <c r="G20" s="90">
        <f>VLOOKUP($A20,'Income Statement'!$A$15:$N$45,7,0)</f>
        <v>2.0439999999999996</v>
      </c>
      <c r="H20" s="90">
        <f>VLOOKUP($A20,'Income Statement'!$A$15:$N$45,8,0)</f>
        <v>2.3359999999999999</v>
      </c>
      <c r="I20" s="90">
        <f>VLOOKUP($A20,'Income Statement'!$A$15:$N$45,9,0)</f>
        <v>2.3359999999999999</v>
      </c>
      <c r="J20" s="90">
        <f>VLOOKUP($A20,'Income Statement'!$A$15:$N$45,10,0)</f>
        <v>2.3359999999999999</v>
      </c>
      <c r="K20" s="90">
        <f>VLOOKUP($A20,'Income Statement'!$A$15:$N$45,11,0)</f>
        <v>2.3359999999999999</v>
      </c>
      <c r="L20" s="90">
        <f>VLOOKUP($A20,'Income Statement'!$A$15:$N$45,12,0)</f>
        <v>2.3359999999999999</v>
      </c>
      <c r="M20" s="90">
        <f>VLOOKUP($A20,'Income Statement'!$A$15:$N$45,13,0)</f>
        <v>2.3359999999999999</v>
      </c>
      <c r="N20" s="90">
        <f>VLOOKUP($A20,'Income Statement'!$A$15:$N$45,14,0)</f>
        <v>2.3359999999999999</v>
      </c>
      <c r="O20" s="40"/>
    </row>
    <row r="21" spans="1:15" x14ac:dyDescent="0.3">
      <c r="A21" t="s">
        <v>142</v>
      </c>
      <c r="B21" s="4">
        <v>0.6</v>
      </c>
      <c r="D21" s="90">
        <f>VLOOKUP($A21,'Income Statement'!$A$15:$N$45,4,0)*$B$21</f>
        <v>0</v>
      </c>
      <c r="E21" s="90">
        <f>VLOOKUP($A21,'Income Statement'!$A$15:$N$45,5,0)*$B$21</f>
        <v>1.92</v>
      </c>
      <c r="F21" s="90">
        <f>VLOOKUP($A21,'Income Statement'!$A$15:$N$45,6,0)*$B$21</f>
        <v>2.0640000000000001</v>
      </c>
      <c r="G21" s="90">
        <f>VLOOKUP($A21,'Income Statement'!$A$15:$N$45,7,0)*$B$21</f>
        <v>2.2187999999999999</v>
      </c>
      <c r="H21" s="90">
        <f>VLOOKUP($A21,'Income Statement'!$A$15:$N$45,8,0)*$B$21</f>
        <v>2.3852099999999998</v>
      </c>
      <c r="I21" s="90">
        <f>VLOOKUP($A21,'Income Statement'!$A$15:$N$45,9,0)*$B$21</f>
        <v>2.5641007499999997</v>
      </c>
      <c r="J21" s="90">
        <f>VLOOKUP($A21,'Income Statement'!$A$15:$N$45,10,0)*$B$21</f>
        <v>2.75640830625</v>
      </c>
      <c r="K21" s="90">
        <f>VLOOKUP($A21,'Income Statement'!$A$15:$N$45,11,0)*$B$21</f>
        <v>2.9631389292187502</v>
      </c>
      <c r="L21" s="90">
        <f>VLOOKUP($A21,'Income Statement'!$A$15:$N$45,12,0)*$B$21</f>
        <v>3.1853743489101563</v>
      </c>
      <c r="M21" s="90">
        <f>VLOOKUP($A21,'Income Statement'!$A$15:$N$45,13,0)*$B$21</f>
        <v>3.4242774250784178</v>
      </c>
      <c r="N21" s="90">
        <f>VLOOKUP($A21,'Income Statement'!$A$15:$N$45,14,0)*$B$21</f>
        <v>3.6810982319592989</v>
      </c>
      <c r="O21" s="40"/>
    </row>
    <row r="22" spans="1:15" x14ac:dyDescent="0.3">
      <c r="A22" t="s">
        <v>112</v>
      </c>
      <c r="D22" s="90">
        <f>VLOOKUP($A22,'Income Statement'!$A$15:$N$45,4,0)</f>
        <v>0</v>
      </c>
      <c r="E22" s="90">
        <f>VLOOKUP($A22,'Income Statement'!$A$15:$N$45,5,0)</f>
        <v>0</v>
      </c>
      <c r="F22" s="90">
        <f>VLOOKUP($A22,'Income Statement'!$A$15:$N$45,6,0)</f>
        <v>0</v>
      </c>
      <c r="G22" s="90">
        <f>VLOOKUP($A22,'Income Statement'!$A$15:$N$45,7,0)</f>
        <v>0</v>
      </c>
      <c r="H22" s="90">
        <f>VLOOKUP($A22,'Income Statement'!$A$15:$N$45,8,0)</f>
        <v>0</v>
      </c>
      <c r="I22" s="90">
        <f>VLOOKUP($A22,'Income Statement'!$A$15:$N$45,9,0)</f>
        <v>0</v>
      </c>
      <c r="J22" s="90">
        <f>VLOOKUP($A22,'Income Statement'!$A$15:$N$45,10,0)</f>
        <v>0</v>
      </c>
      <c r="K22" s="90">
        <f>VLOOKUP($A22,'Income Statement'!$A$15:$N$45,11,0)</f>
        <v>0</v>
      </c>
      <c r="L22" s="90">
        <f>VLOOKUP($A22,'Income Statement'!$A$15:$N$45,12,0)</f>
        <v>0</v>
      </c>
      <c r="M22" s="90">
        <f>VLOOKUP($A22,'Income Statement'!$A$15:$N$45,13,0)</f>
        <v>0</v>
      </c>
      <c r="N22" s="90">
        <f>VLOOKUP($A22,'Income Statement'!$A$15:$N$45,14,0)</f>
        <v>0</v>
      </c>
      <c r="O22" s="40"/>
    </row>
    <row r="23" spans="1:15" x14ac:dyDescent="0.3">
      <c r="A23" t="s">
        <v>271</v>
      </c>
      <c r="D23" s="90">
        <f>VLOOKUP($A23,'Income Statement'!$A$15:$N$45,4,0)</f>
        <v>0</v>
      </c>
      <c r="E23" s="90">
        <f>VLOOKUP($A23,'Income Statement'!$A$15:$N$45,5,0)</f>
        <v>3.2850000000000001</v>
      </c>
      <c r="F23" s="90">
        <f>VLOOKUP($A23,'Income Statement'!$A$15:$N$45,6,0)</f>
        <v>4.38</v>
      </c>
      <c r="G23" s="90">
        <f>VLOOKUP($A23,'Income Statement'!$A$15:$N$45,7,0)</f>
        <v>5.1099999999999994</v>
      </c>
      <c r="H23" s="90">
        <f>VLOOKUP($A23,'Income Statement'!$A$15:$N$45,8,0)</f>
        <v>5.84</v>
      </c>
      <c r="I23" s="90">
        <f>VLOOKUP($A23,'Income Statement'!$A$15:$N$45,9,0)</f>
        <v>5.84</v>
      </c>
      <c r="J23" s="90">
        <f>VLOOKUP($A23,'Income Statement'!$A$15:$N$45,10,0)</f>
        <v>5.84</v>
      </c>
      <c r="K23" s="90">
        <f>VLOOKUP($A23,'Income Statement'!$A$15:$N$45,11,0)</f>
        <v>5.84</v>
      </c>
      <c r="L23" s="90">
        <f>VLOOKUP($A23,'Income Statement'!$A$15:$N$45,12,0)</f>
        <v>5.84</v>
      </c>
      <c r="M23" s="90">
        <f>VLOOKUP($A23,'Income Statement'!$A$15:$N$45,13,0)</f>
        <v>5.84</v>
      </c>
      <c r="N23" s="90">
        <f>VLOOKUP($A23,'Income Statement'!$A$15:$N$45,14,0)</f>
        <v>5.84</v>
      </c>
      <c r="O23" s="40"/>
    </row>
    <row r="24" spans="1:15" x14ac:dyDescent="0.3">
      <c r="A24" t="s">
        <v>113</v>
      </c>
      <c r="D24" s="90">
        <f>VLOOKUP($A24,'Income Statement'!$A$15:$N$45,4,0)</f>
        <v>0</v>
      </c>
      <c r="E24" s="90">
        <f>VLOOKUP($A24,'Income Statement'!$A$15:$N$45,5,0)</f>
        <v>3.2850000000000001</v>
      </c>
      <c r="F24" s="90">
        <f>VLOOKUP($A24,'Income Statement'!$A$15:$N$45,6,0)</f>
        <v>4.38</v>
      </c>
      <c r="G24" s="90">
        <f>VLOOKUP($A24,'Income Statement'!$A$15:$N$45,7,0)</f>
        <v>5.1099999999999994</v>
      </c>
      <c r="H24" s="90">
        <f>VLOOKUP($A24,'Income Statement'!$A$15:$N$45,8,0)</f>
        <v>5.84</v>
      </c>
      <c r="I24" s="90">
        <f>VLOOKUP($A24,'Income Statement'!$A$15:$N$45,9,0)</f>
        <v>5.84</v>
      </c>
      <c r="J24" s="90">
        <f>VLOOKUP($A24,'Income Statement'!$A$15:$N$45,10,0)</f>
        <v>0</v>
      </c>
      <c r="K24" s="90">
        <f>VLOOKUP($A24,'Income Statement'!$A$15:$N$45,11,0)</f>
        <v>0</v>
      </c>
      <c r="L24" s="90">
        <f>VLOOKUP($A24,'Income Statement'!$A$15:$N$45,12,0)</f>
        <v>0</v>
      </c>
      <c r="M24" s="90">
        <f>VLOOKUP($A24,'Income Statement'!$A$15:$N$45,13,0)</f>
        <v>0</v>
      </c>
      <c r="N24" s="90">
        <f>VLOOKUP($A24,'Income Statement'!$A$15:$N$45,14,0)</f>
        <v>0</v>
      </c>
      <c r="O24" s="40"/>
    </row>
    <row r="25" spans="1:15" x14ac:dyDescent="0.3">
      <c r="A25" t="s">
        <v>218</v>
      </c>
      <c r="D25" s="90">
        <f>'Annual Expenses'!D27</f>
        <v>0</v>
      </c>
      <c r="E25" s="90">
        <f>'Annual Expenses'!E27</f>
        <v>2.0760000000000001</v>
      </c>
      <c r="F25" s="90">
        <f>'Annual Expenses'!F27</f>
        <v>2.7479999999999998</v>
      </c>
      <c r="G25" s="90">
        <f>'Annual Expenses'!G27</f>
        <v>3.2039999999999997</v>
      </c>
      <c r="H25" s="90">
        <f>'Annual Expenses'!H27</f>
        <v>3.6599999999999997</v>
      </c>
      <c r="I25" s="90">
        <f>'Annual Expenses'!I27</f>
        <v>3.6599999999999997</v>
      </c>
      <c r="J25" s="90">
        <f>'Annual Expenses'!J27</f>
        <v>3.6599999999999997</v>
      </c>
      <c r="K25" s="90">
        <f>'Annual Expenses'!K27</f>
        <v>3.6599999999999997</v>
      </c>
      <c r="L25" s="90">
        <f>'Annual Expenses'!L27</f>
        <v>3.6599999999999997</v>
      </c>
      <c r="M25" s="90">
        <f>'Annual Expenses'!M27</f>
        <v>3.6599999999999997</v>
      </c>
      <c r="N25" s="90">
        <f>'Annual Expenses'!N27</f>
        <v>3.6599999999999997</v>
      </c>
      <c r="O25" s="40"/>
    </row>
    <row r="26" spans="1:15" x14ac:dyDescent="0.3">
      <c r="A26" s="72" t="s">
        <v>219</v>
      </c>
      <c r="B26" s="3"/>
      <c r="C26" s="3"/>
      <c r="D26" s="96">
        <f>SUM(D15:D25)</f>
        <v>0</v>
      </c>
      <c r="E26" s="96">
        <f t="shared" ref="E26:N26" si="1">SUM(E15:E25)</f>
        <v>108.64390292499998</v>
      </c>
      <c r="F26" s="96">
        <f t="shared" si="1"/>
        <v>131.20920389999998</v>
      </c>
      <c r="G26" s="96">
        <f t="shared" si="1"/>
        <v>150.78620455000004</v>
      </c>
      <c r="H26" s="96">
        <f t="shared" si="1"/>
        <v>171.77481520000001</v>
      </c>
      <c r="I26" s="96">
        <f t="shared" si="1"/>
        <v>169.15370594999999</v>
      </c>
      <c r="J26" s="96">
        <f t="shared" si="1"/>
        <v>163.50601350624999</v>
      </c>
      <c r="K26" s="96">
        <f t="shared" si="1"/>
        <v>163.71274412921875</v>
      </c>
      <c r="L26" s="96">
        <f t="shared" si="1"/>
        <v>163.93497954891015</v>
      </c>
      <c r="M26" s="96">
        <f t="shared" si="1"/>
        <v>164.17388262507842</v>
      </c>
      <c r="N26" s="96">
        <f t="shared" si="1"/>
        <v>164.4307034319593</v>
      </c>
      <c r="O26" s="40"/>
    </row>
    <row r="27" spans="1:15" x14ac:dyDescent="0.3">
      <c r="E27" s="93"/>
      <c r="F27" s="93"/>
      <c r="G27" s="93"/>
      <c r="H27" s="93"/>
      <c r="I27" s="93"/>
      <c r="J27" s="93"/>
      <c r="K27" s="93"/>
      <c r="L27" s="93"/>
      <c r="M27" s="93"/>
      <c r="N27" s="93"/>
    </row>
    <row r="28" spans="1:15" x14ac:dyDescent="0.3">
      <c r="A28" s="16" t="s">
        <v>220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5" x14ac:dyDescent="0.3">
      <c r="A29" t="s">
        <v>2</v>
      </c>
      <c r="D29" s="90">
        <f>VLOOKUP($A29,'Income Statement'!$A$15:$N$45,4,0)</f>
        <v>0</v>
      </c>
      <c r="E29" s="90">
        <f>VLOOKUP($A29,'Income Statement'!$A$15:$N$45,5,0)</f>
        <v>0</v>
      </c>
      <c r="F29" s="90">
        <f>VLOOKUP($A29,'Income Statement'!$A$15:$N$45,6,0)</f>
        <v>0</v>
      </c>
      <c r="G29" s="90">
        <f>VLOOKUP($A29,'Income Statement'!$A$15:$N$45,7,0)</f>
        <v>0</v>
      </c>
      <c r="H29" s="90">
        <f>VLOOKUP($A29,'Income Statement'!$A$15:$N$45,8,0)</f>
        <v>0</v>
      </c>
      <c r="I29" s="90">
        <f>VLOOKUP($A29,'Income Statement'!$A$15:$N$45,9,0)</f>
        <v>0</v>
      </c>
      <c r="J29" s="90">
        <f>VLOOKUP($A29,'Income Statement'!$A$15:$N$45,10,0)</f>
        <v>0</v>
      </c>
      <c r="K29" s="90">
        <f>VLOOKUP($A29,'Income Statement'!$A$15:$N$45,11,0)</f>
        <v>0</v>
      </c>
      <c r="L29" s="90">
        <f>VLOOKUP($A29,'Income Statement'!$A$15:$N$45,12,0)</f>
        <v>0</v>
      </c>
      <c r="M29" s="90">
        <f>VLOOKUP($A29,'Income Statement'!$A$15:$N$45,13,0)</f>
        <v>0</v>
      </c>
      <c r="N29" s="90">
        <f>VLOOKUP($A29,'Income Statement'!$A$15:$N$45,14,0)</f>
        <v>0</v>
      </c>
    </row>
    <row r="30" spans="1:15" x14ac:dyDescent="0.3">
      <c r="A30" t="s">
        <v>142</v>
      </c>
      <c r="B30" s="4">
        <v>0.4</v>
      </c>
      <c r="D30" s="90">
        <f>VLOOKUP($A30,'Income Statement'!$A$15:$N$45,4,0)*$B$30</f>
        <v>0</v>
      </c>
      <c r="E30" s="90">
        <f>VLOOKUP($A30,'Income Statement'!$A$15:$N$45,5,0)*$B$30</f>
        <v>1.2800000000000002</v>
      </c>
      <c r="F30" s="90">
        <f>VLOOKUP($A30,'Income Statement'!$A$15:$N$45,6,0)*$B$30</f>
        <v>1.3760000000000001</v>
      </c>
      <c r="G30" s="90">
        <f>VLOOKUP($A30,'Income Statement'!$A$15:$N$45,7,0)*$B$30</f>
        <v>1.4792000000000001</v>
      </c>
      <c r="H30" s="90">
        <f>VLOOKUP($A30,'Income Statement'!$A$15:$N$45,8,0)*$B$30</f>
        <v>1.5901399999999999</v>
      </c>
      <c r="I30" s="90">
        <f>VLOOKUP($A30,'Income Statement'!$A$15:$N$45,9,0)*$B$30</f>
        <v>1.7094005000000001</v>
      </c>
      <c r="J30" s="90">
        <f>VLOOKUP($A30,'Income Statement'!$A$15:$N$45,10,0)*$B$30</f>
        <v>1.8376055375</v>
      </c>
      <c r="K30" s="90">
        <f>VLOOKUP($A30,'Income Statement'!$A$15:$N$45,11,0)*$B$30</f>
        <v>1.9754259528125002</v>
      </c>
      <c r="L30" s="90">
        <f>VLOOKUP($A30,'Income Statement'!$A$15:$N$45,12,0)*$B$30</f>
        <v>2.1235828992734378</v>
      </c>
      <c r="M30" s="90">
        <f>VLOOKUP($A30,'Income Statement'!$A$15:$N$45,13,0)*$B$30</f>
        <v>2.2828516167189452</v>
      </c>
      <c r="N30" s="90">
        <f>VLOOKUP($A30,'Income Statement'!$A$15:$N$45,14,0)*$B$30</f>
        <v>2.4540654879728661</v>
      </c>
    </row>
    <row r="31" spans="1:15" x14ac:dyDescent="0.3">
      <c r="A31" t="s">
        <v>143</v>
      </c>
      <c r="D31" s="90">
        <f>VLOOKUP($A31,'Income Statement'!$A$15:$N$45,4,0)</f>
        <v>0</v>
      </c>
      <c r="E31" s="90">
        <f>VLOOKUP($A31,'Income Statement'!$A$15:$N$45,5,0)</f>
        <v>9.5121402924999998</v>
      </c>
      <c r="F31" s="90">
        <f>VLOOKUP($A31,'Income Statement'!$A$15:$N$45,6,0)</f>
        <v>11.36952039</v>
      </c>
      <c r="G31" s="90">
        <f>VLOOKUP($A31,'Income Statement'!$A$15:$N$45,7,0)</f>
        <v>13.054440455</v>
      </c>
      <c r="H31" s="90">
        <f>VLOOKUP($A31,'Income Statement'!$A$15:$N$45,8,0)</f>
        <v>14.879360520000001</v>
      </c>
      <c r="I31" s="90">
        <f>VLOOKUP($A31,'Income Statement'!$A$15:$N$45,9,0)</f>
        <v>14.599360519999999</v>
      </c>
      <c r="J31" s="90">
        <f>VLOOKUP($A31,'Income Statement'!$A$15:$N$45,10,0)</f>
        <v>14.599360519999999</v>
      </c>
      <c r="K31" s="90">
        <f>VLOOKUP($A31,'Income Statement'!$A$15:$N$45,11,0)</f>
        <v>14.599360519999999</v>
      </c>
      <c r="L31" s="90">
        <f>VLOOKUP($A31,'Income Statement'!$A$15:$N$45,12,0)</f>
        <v>14.599360519999999</v>
      </c>
      <c r="M31" s="90">
        <f>VLOOKUP($A31,'Income Statement'!$A$15:$N$45,13,0)</f>
        <v>14.599360519999999</v>
      </c>
      <c r="N31" s="90">
        <f>VLOOKUP($A31,'Income Statement'!$A$15:$N$45,14,0)</f>
        <v>14.599360519999999</v>
      </c>
    </row>
    <row r="32" spans="1:15" x14ac:dyDescent="0.3">
      <c r="A32" t="s">
        <v>114</v>
      </c>
      <c r="D32" s="90">
        <f>VLOOKUP($A32,'Income Statement'!$A$15:$N$45,4,0)</f>
        <v>0</v>
      </c>
      <c r="E32" s="90">
        <f>VLOOKUP($A32,'Income Statement'!$A$15:$N$45,5,0)</f>
        <v>1.8</v>
      </c>
      <c r="F32" s="90">
        <f>VLOOKUP($A32,'Income Statement'!$A$15:$N$45,6,0)</f>
        <v>1.9800000000000002</v>
      </c>
      <c r="G32" s="90">
        <f>VLOOKUP($A32,'Income Statement'!$A$15:$N$45,7,0)</f>
        <v>2.1780000000000004</v>
      </c>
      <c r="H32" s="90">
        <f>VLOOKUP($A32,'Income Statement'!$A$15:$N$45,8,0)</f>
        <v>2.3958000000000008</v>
      </c>
      <c r="I32" s="90">
        <f>VLOOKUP($A32,'Income Statement'!$A$15:$N$45,9,0)</f>
        <v>2.6353800000000009</v>
      </c>
      <c r="J32" s="90">
        <f>VLOOKUP($A32,'Income Statement'!$A$15:$N$45,10,0)</f>
        <v>2.8989180000000014</v>
      </c>
      <c r="K32" s="90">
        <f>VLOOKUP($A32,'Income Statement'!$A$15:$N$45,11,0)</f>
        <v>3.1888098000000018</v>
      </c>
      <c r="L32" s="90">
        <f>VLOOKUP($A32,'Income Statement'!$A$15:$N$45,12,0)</f>
        <v>3.5076907800000021</v>
      </c>
      <c r="M32" s="90">
        <f>VLOOKUP($A32,'Income Statement'!$A$15:$N$45,13,0)</f>
        <v>3.8584598580000025</v>
      </c>
      <c r="N32" s="90">
        <f>VLOOKUP($A32,'Income Statement'!$A$15:$N$45,14,0)</f>
        <v>4.244305843800003</v>
      </c>
    </row>
    <row r="33" spans="1:15" x14ac:dyDescent="0.3">
      <c r="A33" t="s">
        <v>146</v>
      </c>
      <c r="D33" s="90">
        <f>VLOOKUP($A33,'Income Statement'!$A$15:$N$45,4,0)</f>
        <v>0</v>
      </c>
      <c r="E33" s="90">
        <f>VLOOKUP($A33,'Income Statement'!$A$15:$N$45,5,0)</f>
        <v>0</v>
      </c>
      <c r="F33" s="90">
        <f>VLOOKUP($A33,'Income Statement'!$A$15:$N$45,6,0)</f>
        <v>0</v>
      </c>
      <c r="G33" s="90">
        <f>VLOOKUP($A33,'Income Statement'!$A$15:$N$45,7,0)</f>
        <v>0</v>
      </c>
      <c r="H33" s="90">
        <f>VLOOKUP($A33,'Income Statement'!$A$15:$N$45,8,0)</f>
        <v>0</v>
      </c>
      <c r="I33" s="90">
        <f>VLOOKUP($A33,'Income Statement'!$A$15:$N$45,9,0)</f>
        <v>0</v>
      </c>
      <c r="J33" s="90">
        <f>VLOOKUP($A33,'Income Statement'!$A$15:$N$45,10,0)</f>
        <v>0</v>
      </c>
      <c r="K33" s="90">
        <f>VLOOKUP($A33,'Income Statement'!$A$15:$N$45,11,0)</f>
        <v>0</v>
      </c>
      <c r="L33" s="90">
        <f>VLOOKUP($A33,'Income Statement'!$A$15:$N$45,12,0)</f>
        <v>0</v>
      </c>
      <c r="M33" s="90">
        <f>VLOOKUP($A33,'Income Statement'!$A$15:$N$45,13,0)</f>
        <v>0</v>
      </c>
      <c r="N33" s="90">
        <f>VLOOKUP($A33,'Income Statement'!$A$15:$N$45,14,0)</f>
        <v>0</v>
      </c>
    </row>
    <row r="34" spans="1:15" x14ac:dyDescent="0.3">
      <c r="A34" t="s">
        <v>221</v>
      </c>
      <c r="D34" s="90">
        <f>'Annual Expenses'!D23</f>
        <v>0</v>
      </c>
      <c r="E34" s="90">
        <f>'Annual Expenses'!E23</f>
        <v>17.16</v>
      </c>
      <c r="F34" s="90">
        <f>'Annual Expenses'!F23</f>
        <v>17.16</v>
      </c>
      <c r="G34" s="90">
        <f>'Annual Expenses'!G23</f>
        <v>16.087500000000002</v>
      </c>
      <c r="H34" s="90">
        <f>'Annual Expenses'!H23</f>
        <v>13.942500000000001</v>
      </c>
      <c r="I34" s="90">
        <f>'Annual Expenses'!I23</f>
        <v>11.797500000000001</v>
      </c>
      <c r="J34" s="90">
        <f>'Annual Expenses'!J23</f>
        <v>9.6524999999999999</v>
      </c>
      <c r="K34" s="90">
        <f>'Annual Expenses'!K23</f>
        <v>7.5075000000000003</v>
      </c>
      <c r="L34" s="90">
        <f>'Annual Expenses'!L23</f>
        <v>5.3624999999999998</v>
      </c>
      <c r="M34" s="90">
        <f>'Annual Expenses'!M23</f>
        <v>3.2175000000000002</v>
      </c>
      <c r="N34" s="90">
        <f>'Annual Expenses'!N23</f>
        <v>1.0725</v>
      </c>
    </row>
    <row r="35" spans="1:15" x14ac:dyDescent="0.3">
      <c r="A35" t="s">
        <v>73</v>
      </c>
      <c r="D35" s="90">
        <f>VLOOKUP($A35,'Income Statement'!$A$15:$N$45,4,0)</f>
        <v>0</v>
      </c>
      <c r="E35" s="90">
        <f>VLOOKUP($A35,'Income Statement'!$A$15:$N$45,5,0)</f>
        <v>0</v>
      </c>
      <c r="F35" s="90">
        <f>VLOOKUP($A35,'Income Statement'!$A$15:$N$45,6,0)</f>
        <v>0</v>
      </c>
      <c r="G35" s="90">
        <f>VLOOKUP($A35,'Income Statement'!$A$15:$N$45,7,0)</f>
        <v>0</v>
      </c>
      <c r="H35" s="90">
        <f>VLOOKUP($A35,'Income Statement'!$A$15:$N$45,8,0)</f>
        <v>0</v>
      </c>
      <c r="I35" s="90">
        <f>VLOOKUP($A35,'Income Statement'!$A$15:$N$45,9,0)</f>
        <v>0</v>
      </c>
      <c r="J35" s="90">
        <f>VLOOKUP($A35,'Income Statement'!$A$15:$N$45,10,0)</f>
        <v>0</v>
      </c>
      <c r="K35" s="90">
        <f>VLOOKUP($A35,'Income Statement'!$A$15:$N$45,11,0)</f>
        <v>0</v>
      </c>
      <c r="L35" s="90">
        <f>VLOOKUP($A35,'Income Statement'!$A$15:$N$45,12,0)</f>
        <v>0</v>
      </c>
      <c r="M35" s="90">
        <f>VLOOKUP($A35,'Income Statement'!$A$15:$N$45,13,0)</f>
        <v>0</v>
      </c>
      <c r="N35" s="90">
        <f>VLOOKUP($A35,'Income Statement'!$A$15:$N$45,14,0)</f>
        <v>0</v>
      </c>
    </row>
    <row r="36" spans="1:15" x14ac:dyDescent="0.3">
      <c r="A36" t="s">
        <v>20</v>
      </c>
      <c r="D36" s="90">
        <f>VLOOKUP($A36,'Income Statement'!$A$15:$N$45,4,0)</f>
        <v>0</v>
      </c>
      <c r="E36" s="90">
        <f>VLOOKUP($A36,'Income Statement'!$A$15:$N$45,5,0)</f>
        <v>12.88738</v>
      </c>
      <c r="F36" s="90">
        <f>VLOOKUP($A36,'Income Statement'!$A$15:$N$45,6,0)</f>
        <v>12.88738</v>
      </c>
      <c r="G36" s="90">
        <f>VLOOKUP($A36,'Income Statement'!$A$15:$N$45,7,0)</f>
        <v>13.089630000000001</v>
      </c>
      <c r="H36" s="90">
        <f>VLOOKUP($A36,'Income Statement'!$A$15:$N$45,8,0)</f>
        <v>13.291880000000001</v>
      </c>
      <c r="I36" s="90">
        <f>VLOOKUP($A36,'Income Statement'!$A$15:$N$45,9,0)</f>
        <v>13.494130000000002</v>
      </c>
      <c r="J36" s="90">
        <f>VLOOKUP($A36,'Income Statement'!$A$15:$N$45,10,0)</f>
        <v>13.696380000000001</v>
      </c>
      <c r="K36" s="90">
        <f>VLOOKUP($A36,'Income Statement'!$A$15:$N$45,11,0)</f>
        <v>14.100880000000002</v>
      </c>
      <c r="L36" s="90">
        <f>VLOOKUP($A36,'Income Statement'!$A$15:$N$45,12,0)</f>
        <v>14.505380000000001</v>
      </c>
      <c r="M36" s="90">
        <f>VLOOKUP($A36,'Income Statement'!$A$15:$N$45,13,0)</f>
        <v>14.909880000000001</v>
      </c>
      <c r="N36" s="90">
        <f>VLOOKUP($A36,'Income Statement'!$A$15:$N$45,14,0)</f>
        <v>15.314380000000002</v>
      </c>
    </row>
    <row r="37" spans="1:15" x14ac:dyDescent="0.3">
      <c r="A37" t="s">
        <v>147</v>
      </c>
      <c r="D37" s="90">
        <f>VLOOKUP($A37,'Income Statement'!$A$15:$N$45,4,0)</f>
        <v>0</v>
      </c>
      <c r="E37" s="90">
        <f>VLOOKUP($A37,'Income Statement'!$A$15:$N$45,5,0)</f>
        <v>0.4</v>
      </c>
      <c r="F37" s="90">
        <f>VLOOKUP($A37,'Income Statement'!$A$15:$N$45,6,0)</f>
        <v>0.4</v>
      </c>
      <c r="G37" s="90">
        <f>VLOOKUP($A37,'Income Statement'!$A$15:$N$45,7,0)</f>
        <v>0.4</v>
      </c>
      <c r="H37" s="90">
        <f>VLOOKUP($A37,'Income Statement'!$A$15:$N$45,8,0)</f>
        <v>0.4</v>
      </c>
      <c r="I37" s="90">
        <f>VLOOKUP($A37,'Income Statement'!$A$15:$N$45,9,0)</f>
        <v>0.4</v>
      </c>
      <c r="J37" s="90">
        <f>VLOOKUP($A37,'Income Statement'!$A$15:$N$45,10,0)</f>
        <v>0.4</v>
      </c>
      <c r="K37" s="90">
        <f>VLOOKUP($A37,'Income Statement'!$A$15:$N$45,11,0)</f>
        <v>0.4</v>
      </c>
      <c r="L37" s="90">
        <f>VLOOKUP($A37,'Income Statement'!$A$15:$N$45,12,0)</f>
        <v>0.4</v>
      </c>
      <c r="M37" s="90">
        <f>VLOOKUP($A37,'Income Statement'!$A$15:$N$45,13,0)</f>
        <v>0.4</v>
      </c>
      <c r="N37" s="90">
        <f>VLOOKUP($A37,'Income Statement'!$A$15:$N$45,14,0)</f>
        <v>0.4</v>
      </c>
    </row>
    <row r="38" spans="1:15" x14ac:dyDescent="0.3">
      <c r="A38" t="s">
        <v>70</v>
      </c>
      <c r="D38" s="90">
        <f>VLOOKUP($A38,'Income Statement'!$A$15:$N$45,4,0)</f>
        <v>0</v>
      </c>
      <c r="E38" s="90">
        <f>VLOOKUP($A38,'Income Statement'!$A$15:$N$45,5,0)</f>
        <v>0</v>
      </c>
      <c r="F38" s="90">
        <f>VLOOKUP($A38,'Income Statement'!$A$15:$N$45,6,0)</f>
        <v>0</v>
      </c>
      <c r="G38" s="90">
        <f>VLOOKUP($A38,'Income Statement'!$A$15:$N$45,7,0)</f>
        <v>0</v>
      </c>
      <c r="H38" s="90">
        <f>VLOOKUP($A38,'Income Statement'!$A$15:$N$45,8,0)</f>
        <v>0</v>
      </c>
      <c r="I38" s="90">
        <f>VLOOKUP($A38,'Income Statement'!$A$15:$N$45,9,0)</f>
        <v>0</v>
      </c>
      <c r="J38" s="90">
        <f>VLOOKUP($A38,'Income Statement'!$A$15:$N$45,10,0)</f>
        <v>0</v>
      </c>
      <c r="K38" s="90">
        <f>VLOOKUP($A38,'Income Statement'!$A$15:$N$45,11,0)</f>
        <v>0</v>
      </c>
      <c r="L38" s="90">
        <f>VLOOKUP($A38,'Income Statement'!$A$15:$N$45,12,0)</f>
        <v>0</v>
      </c>
      <c r="M38" s="90">
        <f>VLOOKUP($A38,'Income Statement'!$A$15:$N$45,13,0)</f>
        <v>0</v>
      </c>
      <c r="N38" s="90">
        <f>VLOOKUP($A38,'Income Statement'!$A$15:$N$45,14,0)</f>
        <v>0</v>
      </c>
    </row>
    <row r="39" spans="1:15" x14ac:dyDescent="0.3">
      <c r="A39" s="72" t="s">
        <v>222</v>
      </c>
      <c r="B39" s="3"/>
      <c r="C39" s="3"/>
      <c r="D39" s="96">
        <f>SUM(D29:D38)</f>
        <v>0</v>
      </c>
      <c r="E39" s="96">
        <f t="shared" ref="E39:N39" si="2">SUM(E29:E38)</f>
        <v>43.039520292500001</v>
      </c>
      <c r="F39" s="96">
        <f t="shared" si="2"/>
        <v>45.172900390000002</v>
      </c>
      <c r="G39" s="96">
        <f t="shared" si="2"/>
        <v>46.288770454999998</v>
      </c>
      <c r="H39" s="96">
        <f t="shared" si="2"/>
        <v>46.499680519999998</v>
      </c>
      <c r="I39" s="96">
        <f t="shared" si="2"/>
        <v>44.63577102</v>
      </c>
      <c r="J39" s="96">
        <f t="shared" si="2"/>
        <v>43.084764057500003</v>
      </c>
      <c r="K39" s="96">
        <f t="shared" si="2"/>
        <v>41.771976272812502</v>
      </c>
      <c r="L39" s="96">
        <f t="shared" si="2"/>
        <v>40.498514199273437</v>
      </c>
      <c r="M39" s="96">
        <f t="shared" si="2"/>
        <v>39.268051994718952</v>
      </c>
      <c r="N39" s="96">
        <f t="shared" si="2"/>
        <v>38.08461185177287</v>
      </c>
      <c r="O39" s="15"/>
    </row>
    <row r="40" spans="1:15" x14ac:dyDescent="0.3"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5" x14ac:dyDescent="0.3">
      <c r="A41" s="16" t="s">
        <v>223</v>
      </c>
      <c r="D41" s="90">
        <f>'Income Statement'!D12-'Imp Fin Parameters'!D26</f>
        <v>0</v>
      </c>
      <c r="E41" s="90">
        <f>'Income Statement'!E12-'Imp Fin Parameters'!E26</f>
        <v>55.606097075000022</v>
      </c>
      <c r="F41" s="90">
        <f>'Income Statement'!F12-'Imp Fin Parameters'!F26</f>
        <v>87.790796100000023</v>
      </c>
      <c r="G41" s="90">
        <f>'Income Statement'!G12-'Imp Fin Parameters'!G26</f>
        <v>104.71379544999994</v>
      </c>
      <c r="H41" s="90">
        <f>'Income Statement'!H12-'Imp Fin Parameters'!H26</f>
        <v>120.22518479999999</v>
      </c>
      <c r="I41" s="90">
        <f>'Income Statement'!I12-'Imp Fin Parameters'!I26</f>
        <v>122.84629405000001</v>
      </c>
      <c r="J41" s="90">
        <f>'Income Statement'!J12-'Imp Fin Parameters'!J26</f>
        <v>128.49398649375001</v>
      </c>
      <c r="K41" s="90">
        <f>'Income Statement'!K12-'Imp Fin Parameters'!K26</f>
        <v>128.28725587078125</v>
      </c>
      <c r="L41" s="90">
        <f>'Income Statement'!L12-'Imp Fin Parameters'!L26</f>
        <v>128.06502045108985</v>
      </c>
      <c r="M41" s="90">
        <f>'Income Statement'!M12-'Imp Fin Parameters'!M26</f>
        <v>127.82611737492158</v>
      </c>
      <c r="N41" s="90">
        <f>'Income Statement'!N12-'Imp Fin Parameters'!N26</f>
        <v>127.5692965680407</v>
      </c>
      <c r="O41" s="15"/>
    </row>
    <row r="42" spans="1:15" x14ac:dyDescent="0.3">
      <c r="A42" s="16" t="s">
        <v>385</v>
      </c>
      <c r="E42" s="89">
        <f>(E39/E41*'Annual Sales'!E7)*100</f>
        <v>34.830324641382845</v>
      </c>
      <c r="F42" s="89">
        <f>(F39/F41*'Annual Sales'!F7)*100</f>
        <v>30.873099958140131</v>
      </c>
      <c r="G42" s="89">
        <f>(G39/G41*'Annual Sales'!G7)*100</f>
        <v>30.943524851958763</v>
      </c>
      <c r="H42" s="89">
        <f>(H39/H41*'Annual Sales'!H7)*100</f>
        <v>30.941723631270314</v>
      </c>
      <c r="I42" s="89">
        <f>(I39/I41*'Annual Sales'!I7)*100</f>
        <v>29.06772002537263</v>
      </c>
      <c r="J42" s="89">
        <f>(J39/J41*'Annual Sales'!J7)*100</f>
        <v>26.824454736390742</v>
      </c>
      <c r="K42" s="89">
        <f>(K39/K41*'Annual Sales'!K7)*100</f>
        <v>26.049026297600619</v>
      </c>
      <c r="L42" s="89">
        <f>(L39/L41*'Annual Sales'!L7)*100</f>
        <v>25.298720326049057</v>
      </c>
      <c r="M42" s="89">
        <f>(M39/M41*'Annual Sales'!M7)*100</f>
        <v>24.575917849115879</v>
      </c>
      <c r="N42" s="89">
        <f>(N39/N41*'Annual Sales'!N7)*100</f>
        <v>23.883246440234128</v>
      </c>
      <c r="O42" s="15"/>
    </row>
    <row r="43" spans="1:15" x14ac:dyDescent="0.3">
      <c r="A43" s="16" t="s">
        <v>386</v>
      </c>
      <c r="E43" s="140">
        <f>((E39*10^6)/((E41*10^6)/'Annual Sales'!E8))</f>
        <v>254261.36988209482</v>
      </c>
      <c r="F43" s="140">
        <f>((F39*10^6)/((F41*10^6)/'Annual Sales'!F8))</f>
        <v>225373.629694423</v>
      </c>
      <c r="G43" s="140">
        <f>((G39*10^6)/((G41*10^6)/'Annual Sales'!G8))</f>
        <v>225887.73141929897</v>
      </c>
      <c r="H43" s="140">
        <f>((H39*10^6)/((H41*10^6)/'Annual Sales'!H8))</f>
        <v>225874.58250827325</v>
      </c>
      <c r="I43" s="140">
        <f>((I39*10^6)/((I41*10^6)/'Annual Sales'!I8))</f>
        <v>212194.35618522024</v>
      </c>
      <c r="J43" s="140">
        <f>((J39*10^6)/((J41*10^6)/'Annual Sales'!J8))</f>
        <v>195818.5195756524</v>
      </c>
      <c r="K43" s="140">
        <f>((K39*10^6)/((K41*10^6)/'Annual Sales'!K8))</f>
        <v>190157.8919724845</v>
      </c>
      <c r="L43" s="140">
        <f>((L39*10^6)/((L41*10^6)/'Annual Sales'!L8))</f>
        <v>184680.65838015813</v>
      </c>
      <c r="M43" s="140">
        <f>((M39*10^6)/((M41*10^6)/'Annual Sales'!M8))</f>
        <v>179404.20029854591</v>
      </c>
      <c r="N43" s="140">
        <f>((N39*10^6)/((N41*10^6)/'Annual Sales'!N8))</f>
        <v>174347.69901370912</v>
      </c>
    </row>
    <row r="44" spans="1:15" x14ac:dyDescent="0.3">
      <c r="E44" s="161"/>
      <c r="F44" s="161"/>
      <c r="G44" s="161"/>
      <c r="H44" s="161"/>
      <c r="I44" s="161"/>
      <c r="J44" s="161"/>
      <c r="K44" s="161"/>
      <c r="L44" s="161"/>
      <c r="M44" s="161"/>
      <c r="N44" s="161"/>
    </row>
    <row r="45" spans="1:15" x14ac:dyDescent="0.3">
      <c r="A45" s="16" t="s">
        <v>224</v>
      </c>
      <c r="E45" s="161"/>
      <c r="F45" s="161"/>
      <c r="G45" s="161"/>
      <c r="H45" s="161"/>
      <c r="I45" s="161"/>
      <c r="J45" s="161"/>
      <c r="K45" s="161"/>
      <c r="L45" s="161"/>
      <c r="M45" s="161"/>
      <c r="N45" s="161"/>
    </row>
    <row r="46" spans="1:15" x14ac:dyDescent="0.3">
      <c r="A46" t="s">
        <v>225</v>
      </c>
      <c r="D46" s="90">
        <f>'Cash Flow Statement'!D19</f>
        <v>-9</v>
      </c>
      <c r="E46" s="90">
        <f>'Cash Flow Statement'!E19</f>
        <v>59.089956782499996</v>
      </c>
      <c r="F46" s="90">
        <f>'Cash Flow Statement'!F19</f>
        <v>70.222467586874998</v>
      </c>
      <c r="G46" s="90">
        <f>'Cash Flow Statement'!G19</f>
        <v>79.446653746249993</v>
      </c>
      <c r="H46" s="90">
        <f>'Cash Flow Statement'!H19</f>
        <v>88.219268835000022</v>
      </c>
      <c r="I46" s="90">
        <f>'Cash Flow Statement'!I19</f>
        <v>88.237335616250007</v>
      </c>
      <c r="J46" s="90">
        <f>'Cash Flow Statement'!J19</f>
        <v>90.925779297500029</v>
      </c>
      <c r="K46" s="90">
        <f>'Cash Flow Statement'!K19</f>
        <v>89.529314079960955</v>
      </c>
      <c r="L46" s="90">
        <f>'Cash Flow Statement'!L19</f>
        <v>88.1854081258506</v>
      </c>
      <c r="M46" s="90">
        <f>'Cash Flow Statement'!M19</f>
        <v>86.867254498680694</v>
      </c>
      <c r="N46" s="90">
        <f>'Cash Flow Statement'!N19</f>
        <v>85.553490482056162</v>
      </c>
    </row>
    <row r="47" spans="1:15" x14ac:dyDescent="0.3">
      <c r="A47" t="s">
        <v>226</v>
      </c>
      <c r="D47" s="90">
        <f>'Income Statement'!D38</f>
        <v>0</v>
      </c>
      <c r="E47" s="90">
        <f>'Income Statement'!E38</f>
        <v>19.236000000000001</v>
      </c>
      <c r="F47" s="90">
        <f>'Income Statement'!F38</f>
        <v>19.908000000000001</v>
      </c>
      <c r="G47" s="90">
        <f>'Income Statement'!G38</f>
        <v>19.291500000000003</v>
      </c>
      <c r="H47" s="90">
        <f>'Income Statement'!H38</f>
        <v>17.602499999999999</v>
      </c>
      <c r="I47" s="90">
        <f>'Income Statement'!I38</f>
        <v>15.457500000000001</v>
      </c>
      <c r="J47" s="90">
        <f>'Income Statement'!J38</f>
        <v>13.3125</v>
      </c>
      <c r="K47" s="90">
        <f>'Income Statement'!K38</f>
        <v>11.1675</v>
      </c>
      <c r="L47" s="90">
        <f>'Income Statement'!L38</f>
        <v>9.0224999999999991</v>
      </c>
      <c r="M47" s="90">
        <f>'Income Statement'!M38</f>
        <v>6.8774999999999995</v>
      </c>
      <c r="N47" s="90">
        <f>'Income Statement'!N38</f>
        <v>4.7324999999999999</v>
      </c>
    </row>
    <row r="48" spans="1:15" x14ac:dyDescent="0.3">
      <c r="A48" t="s">
        <v>73</v>
      </c>
      <c r="D48" s="90">
        <f>'Income Statement'!D39</f>
        <v>0</v>
      </c>
      <c r="E48" s="90">
        <f>'Income Statement'!E39</f>
        <v>0</v>
      </c>
      <c r="F48" s="90">
        <f>'Income Statement'!F39</f>
        <v>0</v>
      </c>
      <c r="G48" s="90">
        <f>'Income Statement'!G39</f>
        <v>0</v>
      </c>
      <c r="H48" s="90">
        <f>'Income Statement'!H39</f>
        <v>0</v>
      </c>
      <c r="I48" s="90">
        <f>'Income Statement'!I39</f>
        <v>0</v>
      </c>
      <c r="J48" s="90">
        <f>'Income Statement'!J39</f>
        <v>0</v>
      </c>
      <c r="K48" s="90">
        <f>'Income Statement'!K39</f>
        <v>0</v>
      </c>
      <c r="L48" s="90">
        <f>'Income Statement'!L39</f>
        <v>0</v>
      </c>
      <c r="M48" s="90">
        <f>'Income Statement'!M39</f>
        <v>0</v>
      </c>
      <c r="N48" s="90">
        <f>'Income Statement'!N39</f>
        <v>0</v>
      </c>
    </row>
    <row r="49" spans="1:14" x14ac:dyDescent="0.3">
      <c r="A49" t="s">
        <v>227</v>
      </c>
      <c r="D49" s="90">
        <f>-('Cash Flow Statement'!D21)</f>
        <v>0</v>
      </c>
      <c r="E49" s="90">
        <f>-('Cash Flow Statement'!E21)</f>
        <v>0</v>
      </c>
      <c r="F49" s="90">
        <f>-('Cash Flow Statement'!F21)</f>
        <v>0</v>
      </c>
      <c r="G49" s="90">
        <f>-('Cash Flow Statement'!G21)</f>
        <v>16.5</v>
      </c>
      <c r="H49" s="90">
        <f>-('Cash Flow Statement'!H21)</f>
        <v>16.5</v>
      </c>
      <c r="I49" s="90">
        <f>-('Cash Flow Statement'!I21)</f>
        <v>16.5</v>
      </c>
      <c r="J49" s="90">
        <f>-('Cash Flow Statement'!J21)</f>
        <v>16.5</v>
      </c>
      <c r="K49" s="90">
        <f>-('Cash Flow Statement'!K21)</f>
        <v>16.5</v>
      </c>
      <c r="L49" s="90">
        <f>-('Cash Flow Statement'!L21)</f>
        <v>16.5</v>
      </c>
      <c r="M49" s="90">
        <f>-('Cash Flow Statement'!M21)</f>
        <v>16.5</v>
      </c>
      <c r="N49" s="90">
        <f>-('Cash Flow Statement'!N21)</f>
        <v>16.5</v>
      </c>
    </row>
    <row r="50" spans="1:14" x14ac:dyDescent="0.3">
      <c r="A50" t="s">
        <v>228</v>
      </c>
      <c r="D50" s="89" t="str">
        <f>IFERROR(D46/SUM(D47:D49),"")</f>
        <v/>
      </c>
      <c r="E50" s="89">
        <f>E46/SUM(E47:E49)</f>
        <v>3.0718422116084421</v>
      </c>
      <c r="F50" s="89">
        <f t="shared" ref="F50:N50" si="3">F46/SUM(F47:F49)</f>
        <v>3.5273491855974983</v>
      </c>
      <c r="G50" s="89">
        <f t="shared" si="3"/>
        <v>2.2197072977173349</v>
      </c>
      <c r="H50" s="89">
        <f t="shared" si="3"/>
        <v>2.5868856780294709</v>
      </c>
      <c r="I50" s="89">
        <f t="shared" si="3"/>
        <v>2.7610838024329185</v>
      </c>
      <c r="J50" s="89">
        <f t="shared" si="3"/>
        <v>3.0499213181551372</v>
      </c>
      <c r="K50" s="89">
        <f t="shared" si="3"/>
        <v>3.2359018371721677</v>
      </c>
      <c r="L50" s="89">
        <f t="shared" si="3"/>
        <v>3.4552025908845372</v>
      </c>
      <c r="M50" s="89">
        <f t="shared" si="3"/>
        <v>3.7158487647815508</v>
      </c>
      <c r="N50" s="89">
        <f t="shared" si="3"/>
        <v>4.0293649114355894</v>
      </c>
    </row>
    <row r="51" spans="1:14" x14ac:dyDescent="0.3">
      <c r="A51" s="16" t="s">
        <v>229</v>
      </c>
      <c r="B51" s="97">
        <f>AVERAGE(E50:N50)</f>
        <v>3.1653107597814647</v>
      </c>
      <c r="D51" s="90"/>
      <c r="E51" s="89"/>
      <c r="F51" s="89"/>
      <c r="G51" s="89"/>
      <c r="H51" s="89"/>
      <c r="I51" s="89"/>
      <c r="J51" s="89"/>
      <c r="K51" s="89"/>
      <c r="L51" s="89"/>
      <c r="M51" s="89"/>
      <c r="N51" s="89"/>
    </row>
    <row r="52" spans="1:14" x14ac:dyDescent="0.3">
      <c r="D52" s="90"/>
      <c r="E52" s="89"/>
      <c r="F52" s="89"/>
      <c r="G52" s="89"/>
      <c r="H52" s="89"/>
      <c r="I52" s="89"/>
      <c r="J52" s="89"/>
      <c r="K52" s="89"/>
      <c r="L52" s="89"/>
      <c r="M52" s="89"/>
      <c r="N52" s="89"/>
    </row>
    <row r="53" spans="1:14" x14ac:dyDescent="0.3">
      <c r="A53" s="1" t="s">
        <v>234</v>
      </c>
      <c r="D53" s="90"/>
      <c r="E53" s="89"/>
      <c r="F53" s="89"/>
      <c r="G53" s="89"/>
      <c r="H53" s="89"/>
      <c r="I53" s="89"/>
      <c r="J53" s="89"/>
      <c r="K53" s="89"/>
      <c r="L53" s="89"/>
      <c r="M53" s="89"/>
      <c r="N53" s="89"/>
    </row>
    <row r="54" spans="1:14" x14ac:dyDescent="0.3">
      <c r="A54" s="16" t="s">
        <v>230</v>
      </c>
      <c r="D54" s="90"/>
      <c r="E54" s="89"/>
      <c r="F54" s="89"/>
      <c r="G54" s="89"/>
      <c r="H54" s="89"/>
      <c r="I54" s="89"/>
      <c r="J54" s="89"/>
      <c r="K54" s="89"/>
      <c r="L54" s="89"/>
      <c r="M54" s="89"/>
      <c r="N54" s="89"/>
    </row>
    <row r="55" spans="1:14" x14ac:dyDescent="0.3">
      <c r="A55" s="10" t="s">
        <v>37</v>
      </c>
      <c r="D55" s="90">
        <v>0</v>
      </c>
      <c r="E55" s="89">
        <f>D55</f>
        <v>0</v>
      </c>
      <c r="F55" s="89">
        <f t="shared" ref="F55:M55" si="4">E55</f>
        <v>0</v>
      </c>
      <c r="G55" s="89">
        <f t="shared" si="4"/>
        <v>0</v>
      </c>
      <c r="H55" s="89">
        <f t="shared" si="4"/>
        <v>0</v>
      </c>
      <c r="I55" s="89">
        <f t="shared" si="4"/>
        <v>0</v>
      </c>
      <c r="J55" s="89">
        <f t="shared" si="4"/>
        <v>0</v>
      </c>
      <c r="K55" s="89">
        <f t="shared" si="4"/>
        <v>0</v>
      </c>
      <c r="L55" s="89">
        <f t="shared" si="4"/>
        <v>0</v>
      </c>
      <c r="M55" s="89">
        <f t="shared" si="4"/>
        <v>0</v>
      </c>
      <c r="N55" s="110">
        <f>Assumptions!B6*Assumptions!B78</f>
        <v>9</v>
      </c>
    </row>
    <row r="56" spans="1:14" x14ac:dyDescent="0.3">
      <c r="A56" s="10" t="s">
        <v>38</v>
      </c>
      <c r="D56" s="90">
        <v>0</v>
      </c>
      <c r="E56" s="89">
        <f t="shared" ref="E56:M58" si="5">D56</f>
        <v>0</v>
      </c>
      <c r="F56" s="89">
        <f t="shared" si="5"/>
        <v>0</v>
      </c>
      <c r="G56" s="89">
        <f t="shared" si="5"/>
        <v>0</v>
      </c>
      <c r="H56" s="89">
        <f t="shared" si="5"/>
        <v>0</v>
      </c>
      <c r="I56" s="89">
        <f t="shared" si="5"/>
        <v>0</v>
      </c>
      <c r="J56" s="89">
        <f t="shared" si="5"/>
        <v>0</v>
      </c>
      <c r="K56" s="89">
        <f t="shared" si="5"/>
        <v>0</v>
      </c>
      <c r="L56" s="89">
        <f t="shared" si="5"/>
        <v>0</v>
      </c>
      <c r="M56" s="89">
        <f t="shared" si="5"/>
        <v>0</v>
      </c>
      <c r="N56" s="110">
        <f>Assumptions!B7*Assumptions!B79</f>
        <v>3.6333333333333337</v>
      </c>
    </row>
    <row r="57" spans="1:14" x14ac:dyDescent="0.3">
      <c r="A57" s="10" t="s">
        <v>232</v>
      </c>
      <c r="D57" s="90">
        <v>0</v>
      </c>
      <c r="E57" s="89">
        <f t="shared" si="5"/>
        <v>0</v>
      </c>
      <c r="F57" s="89">
        <f t="shared" si="5"/>
        <v>0</v>
      </c>
      <c r="G57" s="89">
        <f t="shared" si="5"/>
        <v>0</v>
      </c>
      <c r="H57" s="89">
        <f t="shared" si="5"/>
        <v>0</v>
      </c>
      <c r="I57" s="89">
        <f t="shared" si="5"/>
        <v>0</v>
      </c>
      <c r="J57" s="89">
        <f t="shared" si="5"/>
        <v>0</v>
      </c>
      <c r="K57" s="89">
        <f t="shared" si="5"/>
        <v>0</v>
      </c>
      <c r="L57" s="89">
        <f t="shared" si="5"/>
        <v>0</v>
      </c>
      <c r="M57" s="89">
        <f t="shared" si="5"/>
        <v>0</v>
      </c>
      <c r="N57" s="110">
        <f>(Assumptions!B8+SUM('Annual Expenses'!D41:N41))*Assumptions!B80</f>
        <v>9.24</v>
      </c>
    </row>
    <row r="58" spans="1:14" x14ac:dyDescent="0.3">
      <c r="A58" s="10" t="s">
        <v>233</v>
      </c>
      <c r="D58" s="90">
        <v>0</v>
      </c>
      <c r="E58" s="89">
        <f t="shared" si="5"/>
        <v>0</v>
      </c>
      <c r="F58" s="89">
        <f t="shared" si="5"/>
        <v>0</v>
      </c>
      <c r="G58" s="89">
        <f t="shared" si="5"/>
        <v>0</v>
      </c>
      <c r="H58" s="89">
        <f t="shared" si="5"/>
        <v>0</v>
      </c>
      <c r="I58" s="89">
        <f t="shared" si="5"/>
        <v>0</v>
      </c>
      <c r="J58" s="89">
        <f t="shared" si="5"/>
        <v>0</v>
      </c>
      <c r="K58" s="89">
        <f t="shared" si="5"/>
        <v>0</v>
      </c>
      <c r="L58" s="89">
        <f t="shared" si="5"/>
        <v>0</v>
      </c>
      <c r="M58" s="89">
        <f t="shared" si="5"/>
        <v>0</v>
      </c>
      <c r="N58" s="110">
        <f>('Balance Sheet'!N22-'Balance Sheet'!N13)*Assumptions!B81</f>
        <v>44.7</v>
      </c>
    </row>
    <row r="59" spans="1:14" x14ac:dyDescent="0.3">
      <c r="A59" s="98" t="s">
        <v>235</v>
      </c>
      <c r="B59" s="3"/>
      <c r="C59" s="3"/>
      <c r="D59" s="96">
        <f>SUM(D55:D58)</f>
        <v>0</v>
      </c>
      <c r="E59" s="96">
        <f>SUM(E55:E58)</f>
        <v>0</v>
      </c>
      <c r="F59" s="96">
        <f t="shared" ref="F59:M59" si="6">SUM(F55:F58)</f>
        <v>0</v>
      </c>
      <c r="G59" s="96">
        <f t="shared" si="6"/>
        <v>0</v>
      </c>
      <c r="H59" s="96">
        <f t="shared" si="6"/>
        <v>0</v>
      </c>
      <c r="I59" s="96">
        <f t="shared" si="6"/>
        <v>0</v>
      </c>
      <c r="J59" s="96">
        <f t="shared" si="6"/>
        <v>0</v>
      </c>
      <c r="K59" s="96">
        <f t="shared" si="6"/>
        <v>0</v>
      </c>
      <c r="L59" s="96">
        <f t="shared" si="6"/>
        <v>0</v>
      </c>
      <c r="M59" s="96">
        <f t="shared" si="6"/>
        <v>0</v>
      </c>
      <c r="N59" s="111">
        <f>SUM(N55:N58)</f>
        <v>66.573333333333338</v>
      </c>
    </row>
    <row r="60" spans="1:14" x14ac:dyDescent="0.3">
      <c r="D60" s="90"/>
      <c r="E60" s="89"/>
      <c r="F60" s="89"/>
      <c r="G60" s="89"/>
      <c r="H60" s="89"/>
      <c r="I60" s="89"/>
      <c r="J60" s="89"/>
      <c r="K60" s="89"/>
      <c r="L60" s="89"/>
      <c r="M60" s="89"/>
      <c r="N60" s="89"/>
    </row>
    <row r="61" spans="1:14" x14ac:dyDescent="0.3">
      <c r="A61" s="16" t="s">
        <v>236</v>
      </c>
      <c r="D61" s="90"/>
      <c r="E61" s="89"/>
      <c r="F61" s="89"/>
      <c r="G61" s="89"/>
      <c r="H61" s="89"/>
      <c r="I61" s="89"/>
      <c r="J61" s="89"/>
      <c r="K61" s="89"/>
      <c r="L61" s="89"/>
      <c r="M61" s="89"/>
      <c r="N61" s="89"/>
    </row>
    <row r="62" spans="1:14" x14ac:dyDescent="0.3">
      <c r="A62" t="s">
        <v>237</v>
      </c>
      <c r="D62" s="90">
        <f>SUM(Assumptions!B6:B9)-Assumptions!B12+'Annual Expenses'!D41</f>
        <v>177.50000000000003</v>
      </c>
      <c r="E62" s="90">
        <f>SUM(Assumptions!C6:C9)-Assumptions!C12+'Annual Expenses'!E41</f>
        <v>0</v>
      </c>
      <c r="F62" s="90">
        <f>SUM(Assumptions!D6:D9)-Assumptions!D12+'Annual Expenses'!F41</f>
        <v>0</v>
      </c>
      <c r="G62" s="90">
        <f>SUM(Assumptions!E6:E9)-Assumptions!E12+'Annual Expenses'!G41</f>
        <v>2.5</v>
      </c>
      <c r="H62" s="90">
        <f>SUM(Assumptions!F6:F9)-Assumptions!F12+'Annual Expenses'!H41</f>
        <v>2.5</v>
      </c>
      <c r="I62" s="90">
        <f>SUM(Assumptions!G6:G9)-Assumptions!G12+'Annual Expenses'!I41</f>
        <v>2.5</v>
      </c>
      <c r="J62" s="90">
        <f>SUM(Assumptions!H6:H9)-Assumptions!H12+'Annual Expenses'!J41</f>
        <v>2.5</v>
      </c>
      <c r="K62" s="90">
        <f>SUM(Assumptions!I6:I9)-Assumptions!I12+'Annual Expenses'!K41</f>
        <v>5</v>
      </c>
      <c r="L62" s="90">
        <f>SUM(Assumptions!J6:J9)-Assumptions!J12+'Annual Expenses'!L41</f>
        <v>5</v>
      </c>
      <c r="M62" s="90">
        <f>SUM(Assumptions!K6:K9)-Assumptions!K12+'Annual Expenses'!M41</f>
        <v>5</v>
      </c>
      <c r="N62" s="90">
        <f>SUM(Assumptions!L6:L9)-Assumptions!L12+'Annual Expenses'!N41</f>
        <v>5</v>
      </c>
    </row>
    <row r="63" spans="1:14" x14ac:dyDescent="0.3">
      <c r="A63" t="s">
        <v>238</v>
      </c>
      <c r="D63" s="90">
        <f>-('Cash Flow Statement'!D16)-('Cash Flow Statement'!D18)</f>
        <v>9</v>
      </c>
      <c r="E63" s="90">
        <f>-('Cash Flow Statement'!E16)-('Cash Flow Statement'!E18)</f>
        <v>16.3</v>
      </c>
      <c r="F63" s="90">
        <f>-('Cash Flow Statement'!F16)-('Cash Flow Statement'!F18)</f>
        <v>8.3000000000000007</v>
      </c>
      <c r="G63" s="90">
        <f>-('Cash Flow Statement'!G16)-('Cash Flow Statement'!G18)</f>
        <v>5.5999999999999943</v>
      </c>
      <c r="H63" s="90">
        <f>-('Cash Flow Statement'!H16)-('Cash Flow Statement'!H18)</f>
        <v>5.5000000000000018</v>
      </c>
      <c r="I63" s="90">
        <f>-('Cash Flow Statement'!I16)-('Cash Flow Statement'!I18)</f>
        <v>0</v>
      </c>
      <c r="J63" s="90">
        <f>-('Cash Flow Statement'!J16)-('Cash Flow Statement'!J18)</f>
        <v>0</v>
      </c>
      <c r="K63" s="90">
        <f>-('Cash Flow Statement'!K16)-('Cash Flow Statement'!K18)</f>
        <v>0</v>
      </c>
      <c r="L63" s="90">
        <f>-('Cash Flow Statement'!L16)-('Cash Flow Statement'!L18)</f>
        <v>0</v>
      </c>
      <c r="M63" s="90">
        <f>-('Cash Flow Statement'!M16)-('Cash Flow Statement'!M18)</f>
        <v>0</v>
      </c>
      <c r="N63" s="90">
        <f>-('Cash Flow Statement'!N16)-('Cash Flow Statement'!N18)</f>
        <v>0</v>
      </c>
    </row>
    <row r="64" spans="1:14" x14ac:dyDescent="0.3">
      <c r="A64" t="s">
        <v>239</v>
      </c>
      <c r="D64" s="90">
        <f>'Income Statement'!D26+'Income Statement'!D36</f>
        <v>0</v>
      </c>
      <c r="E64" s="90">
        <f>'Income Statement'!E26+'Income Statement'!E36</f>
        <v>119.4474232175</v>
      </c>
      <c r="F64" s="90">
        <f>'Income Statement'!F26+'Income Statement'!F36</f>
        <v>152.27410429</v>
      </c>
      <c r="G64" s="90">
        <f>'Income Statement'!G26+'Income Statement'!G36</f>
        <v>174.983475005</v>
      </c>
      <c r="H64" s="90">
        <f>'Income Statement'!H26+'Income Statement'!H36</f>
        <v>197.87199571999997</v>
      </c>
      <c r="I64" s="90">
        <f>'Income Statement'!I26+'Income Statement'!I36</f>
        <v>198.33197697</v>
      </c>
      <c r="J64" s="90">
        <f>'Income Statement'!J26+'Income Statement'!J36</f>
        <v>193.27827756374998</v>
      </c>
      <c r="K64" s="90">
        <f>'Income Statement'!K26+'Income Statement'!K36</f>
        <v>194.31722040203124</v>
      </c>
      <c r="L64" s="90">
        <f>'Income Statement'!L26+'Income Statement'!L36</f>
        <v>195.41099374818359</v>
      </c>
      <c r="M64" s="90">
        <f>'Income Statement'!M26+'Income Statement'!M36</f>
        <v>196.56443461979737</v>
      </c>
      <c r="N64" s="90">
        <f>'Income Statement'!N26+'Income Statement'!N36</f>
        <v>197.78281528373216</v>
      </c>
    </row>
    <row r="65" spans="1:14" x14ac:dyDescent="0.3">
      <c r="A65" s="72" t="s">
        <v>240</v>
      </c>
      <c r="B65" s="3"/>
      <c r="C65" s="3"/>
      <c r="D65" s="96">
        <f>SUM(D62:D64)</f>
        <v>186.50000000000003</v>
      </c>
      <c r="E65" s="96">
        <f t="shared" ref="E65:N65" si="7">SUM(E62:E64)</f>
        <v>135.7474232175</v>
      </c>
      <c r="F65" s="96">
        <f t="shared" si="7"/>
        <v>160.57410429000001</v>
      </c>
      <c r="G65" s="96">
        <f t="shared" si="7"/>
        <v>183.083475005</v>
      </c>
      <c r="H65" s="96">
        <f t="shared" si="7"/>
        <v>205.87199571999997</v>
      </c>
      <c r="I65" s="96">
        <f t="shared" si="7"/>
        <v>200.83197697</v>
      </c>
      <c r="J65" s="96">
        <f t="shared" si="7"/>
        <v>195.77827756374998</v>
      </c>
      <c r="K65" s="96">
        <f t="shared" si="7"/>
        <v>199.31722040203124</v>
      </c>
      <c r="L65" s="96">
        <f t="shared" si="7"/>
        <v>200.41099374818359</v>
      </c>
      <c r="M65" s="96">
        <f t="shared" si="7"/>
        <v>201.56443461979737</v>
      </c>
      <c r="N65" s="96">
        <f t="shared" si="7"/>
        <v>202.78281528373216</v>
      </c>
    </row>
    <row r="66" spans="1:14" x14ac:dyDescent="0.3">
      <c r="D66" s="90"/>
      <c r="E66" s="89"/>
      <c r="F66" s="89"/>
      <c r="G66" s="89"/>
      <c r="H66" s="89"/>
      <c r="I66" s="89"/>
      <c r="J66" s="89"/>
      <c r="K66" s="89"/>
      <c r="L66" s="89"/>
      <c r="M66" s="89"/>
      <c r="N66" s="89"/>
    </row>
    <row r="67" spans="1:14" x14ac:dyDescent="0.3">
      <c r="A67" s="16" t="s">
        <v>241</v>
      </c>
      <c r="D67" s="90"/>
      <c r="E67" s="89"/>
      <c r="F67" s="89"/>
      <c r="G67" s="89"/>
      <c r="H67" s="89"/>
      <c r="I67" s="89"/>
      <c r="J67" s="89"/>
      <c r="K67" s="89"/>
      <c r="L67" s="89"/>
      <c r="M67" s="89"/>
      <c r="N67" s="89"/>
    </row>
    <row r="68" spans="1:14" x14ac:dyDescent="0.3">
      <c r="A68" t="s">
        <v>137</v>
      </c>
      <c r="D68" s="90">
        <f>'Income Statement'!D12</f>
        <v>0</v>
      </c>
      <c r="E68" s="90">
        <f>'Income Statement'!E12</f>
        <v>164.25</v>
      </c>
      <c r="F68" s="90">
        <f>'Income Statement'!F12</f>
        <v>219</v>
      </c>
      <c r="G68" s="90">
        <f>'Income Statement'!G12</f>
        <v>255.49999999999997</v>
      </c>
      <c r="H68" s="90">
        <f>'Income Statement'!H12</f>
        <v>292</v>
      </c>
      <c r="I68" s="90">
        <f>'Income Statement'!I12</f>
        <v>292</v>
      </c>
      <c r="J68" s="90">
        <f>'Income Statement'!J12</f>
        <v>292</v>
      </c>
      <c r="K68" s="90">
        <f>'Income Statement'!K12</f>
        <v>292</v>
      </c>
      <c r="L68" s="90">
        <f>'Income Statement'!L12</f>
        <v>292</v>
      </c>
      <c r="M68" s="90">
        <f>'Income Statement'!M12</f>
        <v>292</v>
      </c>
      <c r="N68" s="90">
        <f>'Income Statement'!N12</f>
        <v>292</v>
      </c>
    </row>
    <row r="69" spans="1:14" x14ac:dyDescent="0.3">
      <c r="A69" t="s">
        <v>230</v>
      </c>
      <c r="D69" s="90">
        <f>D59</f>
        <v>0</v>
      </c>
      <c r="E69" s="90">
        <f t="shared" ref="E69:N69" si="8">E59</f>
        <v>0</v>
      </c>
      <c r="F69" s="90">
        <f t="shared" si="8"/>
        <v>0</v>
      </c>
      <c r="G69" s="90">
        <f t="shared" si="8"/>
        <v>0</v>
      </c>
      <c r="H69" s="90">
        <f t="shared" si="8"/>
        <v>0</v>
      </c>
      <c r="I69" s="90">
        <f t="shared" si="8"/>
        <v>0</v>
      </c>
      <c r="J69" s="90">
        <f t="shared" si="8"/>
        <v>0</v>
      </c>
      <c r="K69" s="90">
        <f t="shared" si="8"/>
        <v>0</v>
      </c>
      <c r="L69" s="90">
        <f t="shared" si="8"/>
        <v>0</v>
      </c>
      <c r="M69" s="90">
        <f t="shared" si="8"/>
        <v>0</v>
      </c>
      <c r="N69" s="90">
        <f t="shared" si="8"/>
        <v>66.573333333333338</v>
      </c>
    </row>
    <row r="70" spans="1:14" x14ac:dyDescent="0.3">
      <c r="A70" s="72" t="s">
        <v>243</v>
      </c>
      <c r="B70" s="3"/>
      <c r="C70" s="3"/>
      <c r="D70" s="96">
        <f>SUM(D68:D69)</f>
        <v>0</v>
      </c>
      <c r="E70" s="96">
        <f t="shared" ref="E70:N70" si="9">SUM(E68:E69)</f>
        <v>164.25</v>
      </c>
      <c r="F70" s="96">
        <f t="shared" si="9"/>
        <v>219</v>
      </c>
      <c r="G70" s="96">
        <f t="shared" si="9"/>
        <v>255.49999999999997</v>
      </c>
      <c r="H70" s="96">
        <f t="shared" si="9"/>
        <v>292</v>
      </c>
      <c r="I70" s="96">
        <f t="shared" si="9"/>
        <v>292</v>
      </c>
      <c r="J70" s="96">
        <f t="shared" si="9"/>
        <v>292</v>
      </c>
      <c r="K70" s="96">
        <f t="shared" si="9"/>
        <v>292</v>
      </c>
      <c r="L70" s="96">
        <f t="shared" si="9"/>
        <v>292</v>
      </c>
      <c r="M70" s="96">
        <f t="shared" si="9"/>
        <v>292</v>
      </c>
      <c r="N70" s="96">
        <f t="shared" si="9"/>
        <v>358.57333333333332</v>
      </c>
    </row>
    <row r="71" spans="1:14" x14ac:dyDescent="0.3">
      <c r="A71" s="16" t="s">
        <v>242</v>
      </c>
      <c r="D71" s="90">
        <f>D70-D65</f>
        <v>-186.50000000000003</v>
      </c>
      <c r="E71" s="90">
        <f t="shared" ref="E71:N71" si="10">E70-E65</f>
        <v>28.5025767825</v>
      </c>
      <c r="F71" s="90">
        <f t="shared" si="10"/>
        <v>58.425895709999992</v>
      </c>
      <c r="G71" s="90">
        <f t="shared" si="10"/>
        <v>72.416524994999975</v>
      </c>
      <c r="H71" s="90">
        <f t="shared" si="10"/>
        <v>86.128004280000027</v>
      </c>
      <c r="I71" s="90">
        <f t="shared" si="10"/>
        <v>91.168023030000001</v>
      </c>
      <c r="J71" s="90">
        <f t="shared" si="10"/>
        <v>96.221722436250019</v>
      </c>
      <c r="K71" s="90">
        <f t="shared" si="10"/>
        <v>92.682779597968761</v>
      </c>
      <c r="L71" s="90">
        <f t="shared" si="10"/>
        <v>91.589006251816414</v>
      </c>
      <c r="M71" s="90">
        <f t="shared" si="10"/>
        <v>90.435565380202632</v>
      </c>
      <c r="N71" s="90">
        <f t="shared" si="10"/>
        <v>155.79051804960116</v>
      </c>
    </row>
    <row r="72" spans="1:14" x14ac:dyDescent="0.3">
      <c r="D72" s="90"/>
      <c r="E72" s="89"/>
      <c r="F72" s="89"/>
      <c r="G72" s="89"/>
      <c r="H72" s="89"/>
      <c r="I72" s="89"/>
      <c r="J72" s="89"/>
      <c r="K72" s="89"/>
      <c r="L72" s="89"/>
      <c r="M72" s="89"/>
      <c r="N72" s="89"/>
    </row>
    <row r="73" spans="1:14" x14ac:dyDescent="0.3">
      <c r="A73" s="16" t="s">
        <v>244</v>
      </c>
      <c r="B73" s="99">
        <f>IRR(D71:N71,0.2)</f>
        <v>0.33567199908269885</v>
      </c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</row>
    <row r="75" spans="1:14" x14ac:dyDescent="0.3">
      <c r="A75" s="16" t="s">
        <v>416</v>
      </c>
    </row>
    <row r="76" spans="1:14" x14ac:dyDescent="0.3">
      <c r="A76" t="s">
        <v>417</v>
      </c>
      <c r="D76" s="119">
        <f>-D71/(1+'Summary Output'!$B$24)^'Imp Fin Parameters'!D4</f>
        <v>186.50000000000003</v>
      </c>
      <c r="E76" s="119">
        <f>E71/(1+'Summary Output'!$B$24)^'Imp Fin Parameters'!E4</f>
        <v>25.739637155037375</v>
      </c>
      <c r="F76" s="119">
        <f>F71/(1+'Summary Output'!$B$24)^'Imp Fin Parameters'!F4</f>
        <v>47.647703276870132</v>
      </c>
      <c r="G76" s="119">
        <f>G71/(1+'Summary Output'!$B$24)^'Imp Fin Parameters'!G4</f>
        <v>53.332577036108795</v>
      </c>
      <c r="H76" s="119">
        <f>H71/(1+'Summary Output'!$B$24)^'Imp Fin Parameters'!H4</f>
        <v>57.28192031762017</v>
      </c>
      <c r="I76" s="119">
        <f>I71/(1+'Summary Output'!$B$24)^'Imp Fin Parameters'!I4</f>
        <v>54.756290415005473</v>
      </c>
      <c r="J76" s="119">
        <f>J71/(1+'Summary Output'!$B$24)^'Imp Fin Parameters'!J4</f>
        <v>52.189472100380065</v>
      </c>
      <c r="K76" s="119">
        <f>K71/(1+'Summary Output'!$B$24)^'Imp Fin Parameters'!K4</f>
        <v>45.396996791598468</v>
      </c>
      <c r="L76" s="119">
        <f>L71/(1+'Summary Output'!$B$24)^'Imp Fin Parameters'!L4</f>
        <v>40.51256272464186</v>
      </c>
      <c r="M76" s="119">
        <f>M71/(1+'Summary Output'!$B$24)^'Imp Fin Parameters'!M4</f>
        <v>36.124672933486487</v>
      </c>
      <c r="N76" s="119">
        <f>N71/(1+'Summary Output'!$B$24)^'Imp Fin Parameters'!N4</f>
        <v>56.198404174061054</v>
      </c>
    </row>
    <row r="77" spans="1:14" x14ac:dyDescent="0.3">
      <c r="A77" s="5" t="s">
        <v>418</v>
      </c>
      <c r="E77" s="119">
        <f>E76</f>
        <v>25.739637155037375</v>
      </c>
      <c r="F77" s="119">
        <f>E77+F76</f>
        <v>73.387340431907504</v>
      </c>
      <c r="G77" s="119">
        <f t="shared" ref="G77:N77" si="11">F77+G76</f>
        <v>126.71991746801629</v>
      </c>
      <c r="H77" s="119">
        <f t="shared" si="11"/>
        <v>184.00183778563647</v>
      </c>
      <c r="I77" s="119">
        <f t="shared" si="11"/>
        <v>238.75812820064195</v>
      </c>
      <c r="J77" s="119">
        <f t="shared" si="11"/>
        <v>290.94760030102202</v>
      </c>
      <c r="K77" s="119">
        <f t="shared" si="11"/>
        <v>336.34459709262046</v>
      </c>
      <c r="L77" s="119">
        <f t="shared" si="11"/>
        <v>376.8571598172623</v>
      </c>
      <c r="M77" s="119">
        <f t="shared" si="11"/>
        <v>412.98183275074877</v>
      </c>
      <c r="N77" s="119">
        <f t="shared" si="11"/>
        <v>469.18023692480983</v>
      </c>
    </row>
    <row r="78" spans="1:14" x14ac:dyDescent="0.3">
      <c r="A78" t="s">
        <v>419</v>
      </c>
      <c r="B78" s="157">
        <f>G4+(((D76-G77)*1)/H77)</f>
        <v>3.3248885079160351</v>
      </c>
      <c r="G78" s="40"/>
    </row>
    <row r="80" spans="1:14" x14ac:dyDescent="0.3">
      <c r="A80" s="16" t="s">
        <v>420</v>
      </c>
    </row>
    <row r="81" spans="1:14" x14ac:dyDescent="0.3">
      <c r="A81" t="s">
        <v>422</v>
      </c>
      <c r="D81" s="93">
        <v>132</v>
      </c>
      <c r="E81" s="90">
        <f>'Annual Expenses'!E26</f>
        <v>17.3</v>
      </c>
      <c r="F81" s="90">
        <f>'Annual Expenses'!F26</f>
        <v>22.9</v>
      </c>
      <c r="G81" s="90">
        <f>'Annual Expenses'!G26</f>
        <v>26.7</v>
      </c>
      <c r="H81" s="90">
        <f>'Annual Expenses'!H26</f>
        <v>30.5</v>
      </c>
      <c r="I81" s="90">
        <f>'Annual Expenses'!I26</f>
        <v>30.5</v>
      </c>
      <c r="J81" s="90">
        <f>'Annual Expenses'!J26</f>
        <v>30.5</v>
      </c>
      <c r="K81" s="90">
        <f>'Annual Expenses'!K26</f>
        <v>30.5</v>
      </c>
      <c r="L81" s="90">
        <f>'Annual Expenses'!L26</f>
        <v>30.5</v>
      </c>
      <c r="M81" s="90">
        <f>'Annual Expenses'!M26</f>
        <v>30.5</v>
      </c>
      <c r="N81" s="90">
        <f>'Annual Expenses'!N26</f>
        <v>30.5</v>
      </c>
    </row>
    <row r="82" spans="1:14" x14ac:dyDescent="0.3">
      <c r="A82" t="s">
        <v>421</v>
      </c>
      <c r="B82" s="40">
        <f>SUM(D82:N82)</f>
        <v>292.72437684917611</v>
      </c>
      <c r="D82" s="158">
        <f>D81/(1+'Summary Output'!$B$24)^'Imp Fin Parameters'!D4</f>
        <v>132</v>
      </c>
      <c r="E82" s="158">
        <f>E81/(1+'Summary Output'!$B$24)^'Imp Fin Parameters'!E4</f>
        <v>15.622998796921024</v>
      </c>
      <c r="F82" s="158">
        <f>F81/(1+'Summary Output'!$B$24)^'Imp Fin Parameters'!F4</f>
        <v>18.675492977569725</v>
      </c>
      <c r="G82" s="158">
        <f>G81/(1+'Summary Output'!$B$24)^'Imp Fin Parameters'!G4</f>
        <v>19.663741210482332</v>
      </c>
      <c r="H82" s="158">
        <f>H81/(1+'Summary Output'!$B$24)^'Imp Fin Parameters'!H4</f>
        <v>20.284907148291055</v>
      </c>
      <c r="I82" s="158">
        <f>I81/(1+'Summary Output'!$B$24)^'Imp Fin Parameters'!I4</f>
        <v>18.318559536035021</v>
      </c>
      <c r="J82" s="158">
        <f>J81/(1+'Summary Output'!$B$24)^'Imp Fin Parameters'!J4</f>
        <v>16.542822751028975</v>
      </c>
      <c r="K82" s="158">
        <f>K81/(1+'Summary Output'!$B$24)^'Imp Fin Parameters'!K4</f>
        <v>14.939219649537769</v>
      </c>
      <c r="L82" s="158">
        <f>L81/(1+'Summary Output'!$B$24)^'Imp Fin Parameters'!L4</f>
        <v>13.491064197206216</v>
      </c>
      <c r="M82" s="158">
        <f>M81/(1+'Summary Output'!$B$24)^'Imp Fin Parameters'!M4</f>
        <v>12.183287845210232</v>
      </c>
      <c r="N82" s="158">
        <f>N81/(1+'Summary Output'!$B$24)^'Imp Fin Parameters'!N4</f>
        <v>11.002282736893758</v>
      </c>
    </row>
    <row r="83" spans="1:14" x14ac:dyDescent="0.3">
      <c r="A83" t="s">
        <v>423</v>
      </c>
      <c r="D83" s="90"/>
      <c r="E83" s="15">
        <f>'Income Statement'!E45</f>
        <v>38.853956782499999</v>
      </c>
      <c r="F83" s="15">
        <f>'Income Statement'!F45</f>
        <v>53.014467586875</v>
      </c>
      <c r="G83" s="15">
        <f>'Income Statement'!G45</f>
        <v>61.955153746249977</v>
      </c>
      <c r="H83" s="15">
        <f>'Income Statement'!H45</f>
        <v>72.316768835000019</v>
      </c>
      <c r="I83" s="15">
        <f>'Income Statement'!I45</f>
        <v>72.779835616250011</v>
      </c>
      <c r="J83" s="15">
        <f>'Income Statement'!J45</f>
        <v>77.613279297500029</v>
      </c>
      <c r="K83" s="15">
        <f>'Income Statement'!K45</f>
        <v>78.361814079960951</v>
      </c>
      <c r="L83" s="15">
        <f>'Income Statement'!L45</f>
        <v>79.162908125850606</v>
      </c>
      <c r="M83" s="15">
        <f>'Income Statement'!M45</f>
        <v>79.989754498680696</v>
      </c>
      <c r="N83" s="15">
        <f>'Income Statement'!N45</f>
        <v>80.820990482056175</v>
      </c>
    </row>
    <row r="84" spans="1:14" x14ac:dyDescent="0.3">
      <c r="A84" t="s">
        <v>424</v>
      </c>
      <c r="D84" s="90"/>
      <c r="E84" s="158">
        <f>E83/(1+'Summary Output'!$B$24)^'Imp Fin Parameters'!E4</f>
        <v>35.087590755411497</v>
      </c>
      <c r="F84" s="158">
        <f>F83/(1+'Summary Output'!$B$24)^'Imp Fin Parameters'!F4</f>
        <v>43.234555333112745</v>
      </c>
      <c r="G84" s="158">
        <f>G83/(1+'Summary Output'!$B$24)^'Imp Fin Parameters'!G4</f>
        <v>45.62809400456571</v>
      </c>
      <c r="H84" s="158">
        <f>H83/(1+'Summary Output'!$B$24)^'Imp Fin Parameters'!H4</f>
        <v>48.096358724013236</v>
      </c>
      <c r="I84" s="158">
        <f>I83/(1+'Summary Output'!$B$24)^'Imp Fin Parameters'!I4</f>
        <v>43.712188582266165</v>
      </c>
      <c r="J84" s="158">
        <f>J83/(1+'Summary Output'!$B$24)^'Imp Fin Parameters'!J4</f>
        <v>42.096482706381956</v>
      </c>
      <c r="K84" s="158">
        <f>K83/(1+'Summary Output'!$B$24)^'Imp Fin Parameters'!K4</f>
        <v>38.382437792681252</v>
      </c>
      <c r="L84" s="158">
        <f>L83/(1+'Summary Output'!$B$24)^'Imp Fin Parameters'!L4</f>
        <v>35.016127067652072</v>
      </c>
      <c r="M84" s="158">
        <f>M83/(1+'Summary Output'!$B$24)^'Imp Fin Parameters'!M4</f>
        <v>31.95207225328285</v>
      </c>
      <c r="N84" s="158">
        <f>N83/(1+'Summary Output'!$B$24)^'Imp Fin Parameters'!N4</f>
        <v>29.154602897028894</v>
      </c>
    </row>
    <row r="85" spans="1:14" x14ac:dyDescent="0.3">
      <c r="A85" t="s">
        <v>418</v>
      </c>
      <c r="E85" s="40">
        <f>E84</f>
        <v>35.087590755411497</v>
      </c>
      <c r="F85" s="40">
        <f>E85+F84</f>
        <v>78.322146088524249</v>
      </c>
      <c r="G85" s="40">
        <f t="shared" ref="G85:N85" si="12">F85+G84</f>
        <v>123.95024009308996</v>
      </c>
      <c r="H85" s="40">
        <f t="shared" si="12"/>
        <v>172.04659881710319</v>
      </c>
      <c r="I85" s="40">
        <f t="shared" si="12"/>
        <v>215.75878739936934</v>
      </c>
      <c r="J85" s="40">
        <f t="shared" si="12"/>
        <v>257.85527010575129</v>
      </c>
      <c r="K85" s="40">
        <f t="shared" si="12"/>
        <v>296.23770789843252</v>
      </c>
      <c r="L85" s="40">
        <f t="shared" si="12"/>
        <v>331.25383496608458</v>
      </c>
      <c r="M85" s="40">
        <f t="shared" si="12"/>
        <v>363.20590721936742</v>
      </c>
      <c r="N85" s="40">
        <f t="shared" si="12"/>
        <v>392.36051011639631</v>
      </c>
    </row>
    <row r="86" spans="1:14" x14ac:dyDescent="0.3">
      <c r="A86" t="s">
        <v>425</v>
      </c>
      <c r="B86" s="157">
        <f>J4+(((B82-J85)*1))/K85</f>
        <v>6.1177065100550267</v>
      </c>
    </row>
  </sheetData>
  <mergeCells count="2">
    <mergeCell ref="A3:A4"/>
    <mergeCell ref="D3:N3"/>
  </mergeCells>
  <pageMargins left="0.7" right="0.7" top="0.75" bottom="0.75" header="0.3" footer="0.3"/>
  <pageSetup orientation="portrait" r:id="rId1"/>
  <ignoredErrors>
    <ignoredError sqref="D30:N30 D34:N34" formula="1"/>
    <ignoredError sqref="D62:E6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L21" sqref="L21"/>
    </sheetView>
  </sheetViews>
  <sheetFormatPr defaultRowHeight="14.4" x14ac:dyDescent="0.3"/>
  <cols>
    <col min="1" max="1" width="25.554687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M10477"/>
  <sheetViews>
    <sheetView workbookViewId="0"/>
  </sheetViews>
  <sheetFormatPr defaultRowHeight="14.4" x14ac:dyDescent="0.3"/>
  <cols>
    <col min="4" max="6" width="11.5546875" bestFit="1" customWidth="1"/>
    <col min="7" max="7" width="12.5546875" bestFit="1" customWidth="1"/>
    <col min="8" max="8" width="19.88671875" bestFit="1" customWidth="1"/>
    <col min="9" max="13" width="11.5546875" bestFit="1" customWidth="1"/>
  </cols>
  <sheetData>
    <row r="2" spans="1:13" x14ac:dyDescent="0.3">
      <c r="A2" s="23" t="s">
        <v>279</v>
      </c>
      <c r="B2" s="23"/>
    </row>
    <row r="4" spans="1:13" x14ac:dyDescent="0.3">
      <c r="A4" s="121" t="s">
        <v>280</v>
      </c>
      <c r="B4" s="23"/>
    </row>
    <row r="6" spans="1:13" x14ac:dyDescent="0.3">
      <c r="A6" s="23" t="s">
        <v>281</v>
      </c>
      <c r="B6" s="23"/>
      <c r="C6" s="23">
        <v>0</v>
      </c>
      <c r="D6" s="23">
        <v>1</v>
      </c>
      <c r="E6" s="23">
        <f>D6+1</f>
        <v>2</v>
      </c>
      <c r="F6" s="23">
        <f t="shared" ref="F6:M6" si="0">E6+1</f>
        <v>3</v>
      </c>
      <c r="G6" s="23">
        <f t="shared" si="0"/>
        <v>4</v>
      </c>
      <c r="H6" s="23">
        <f t="shared" si="0"/>
        <v>5</v>
      </c>
      <c r="I6" s="23">
        <f t="shared" si="0"/>
        <v>6</v>
      </c>
      <c r="J6" s="23">
        <f t="shared" si="0"/>
        <v>7</v>
      </c>
      <c r="K6" s="23">
        <f t="shared" si="0"/>
        <v>8</v>
      </c>
      <c r="L6" s="23">
        <f t="shared" si="0"/>
        <v>9</v>
      </c>
      <c r="M6" s="23">
        <f t="shared" si="0"/>
        <v>10</v>
      </c>
    </row>
    <row r="8" spans="1:13" x14ac:dyDescent="0.3">
      <c r="C8" t="s">
        <v>282</v>
      </c>
    </row>
    <row r="10" spans="1:13" x14ac:dyDescent="0.3">
      <c r="A10" t="s">
        <v>37</v>
      </c>
      <c r="C10" s="40">
        <v>9</v>
      </c>
    </row>
    <row r="11" spans="1:13" x14ac:dyDescent="0.3">
      <c r="A11" t="s">
        <v>38</v>
      </c>
      <c r="C11" s="40">
        <v>10.9</v>
      </c>
    </row>
    <row r="12" spans="1:13" x14ac:dyDescent="0.3">
      <c r="A12" t="s">
        <v>232</v>
      </c>
      <c r="C12" s="40">
        <v>154.80000000000001</v>
      </c>
    </row>
    <row r="13" spans="1:13" x14ac:dyDescent="0.3">
      <c r="A13" t="s">
        <v>43</v>
      </c>
      <c r="C13" s="40">
        <v>16.3</v>
      </c>
    </row>
    <row r="14" spans="1:13" x14ac:dyDescent="0.3">
      <c r="A14" t="s">
        <v>40</v>
      </c>
      <c r="C14" s="40">
        <v>9</v>
      </c>
    </row>
    <row r="15" spans="1:13" x14ac:dyDescent="0.3">
      <c r="C15" s="40"/>
    </row>
    <row r="16" spans="1:13" x14ac:dyDescent="0.3">
      <c r="C16" s="40"/>
    </row>
    <row r="17" spans="1:4" x14ac:dyDescent="0.3">
      <c r="A17" t="s">
        <v>41</v>
      </c>
      <c r="C17" s="40">
        <f>SUM(C10:C16)</f>
        <v>200.00000000000003</v>
      </c>
    </row>
    <row r="18" spans="1:4" x14ac:dyDescent="0.3">
      <c r="C18" s="40"/>
    </row>
    <row r="19" spans="1:4" x14ac:dyDescent="0.3">
      <c r="A19" t="s">
        <v>42</v>
      </c>
      <c r="C19" s="40">
        <v>13.5</v>
      </c>
    </row>
    <row r="22" spans="1:4" x14ac:dyDescent="0.3">
      <c r="A22" s="23" t="s">
        <v>283</v>
      </c>
      <c r="B22" s="23"/>
    </row>
    <row r="24" spans="1:4" x14ac:dyDescent="0.3">
      <c r="C24" t="s">
        <v>284</v>
      </c>
    </row>
    <row r="26" spans="1:4" x14ac:dyDescent="0.3">
      <c r="A26" t="s">
        <v>285</v>
      </c>
    </row>
    <row r="27" spans="1:4" x14ac:dyDescent="0.3">
      <c r="A27" t="s">
        <v>75</v>
      </c>
      <c r="C27">
        <v>0</v>
      </c>
    </row>
    <row r="28" spans="1:4" x14ac:dyDescent="0.3">
      <c r="A28" t="s">
        <v>0</v>
      </c>
    </row>
    <row r="29" spans="1:4" x14ac:dyDescent="0.3">
      <c r="A29" t="s">
        <v>286</v>
      </c>
      <c r="C29" s="40">
        <v>35</v>
      </c>
    </row>
    <row r="30" spans="1:4" x14ac:dyDescent="0.3">
      <c r="A30" t="s">
        <v>287</v>
      </c>
      <c r="C30" s="40">
        <v>31.5</v>
      </c>
    </row>
    <row r="32" spans="1:4" x14ac:dyDescent="0.3">
      <c r="A32" t="s">
        <v>288</v>
      </c>
      <c r="C32" s="40">
        <f>SUM(C29,C30)</f>
        <v>66.5</v>
      </c>
      <c r="D32" s="40"/>
    </row>
    <row r="33" spans="1:4" x14ac:dyDescent="0.3">
      <c r="A33" t="s">
        <v>289</v>
      </c>
      <c r="C33" s="40">
        <v>132</v>
      </c>
      <c r="D33" s="40"/>
    </row>
    <row r="34" spans="1:4" x14ac:dyDescent="0.3">
      <c r="A34" t="s">
        <v>50</v>
      </c>
      <c r="C34" s="40">
        <v>1.5</v>
      </c>
      <c r="D34" s="40"/>
    </row>
    <row r="36" spans="1:4" x14ac:dyDescent="0.3">
      <c r="A36" t="s">
        <v>41</v>
      </c>
      <c r="C36" s="40">
        <f>SUM(C27,C32,C33,C34,C35,)</f>
        <v>200</v>
      </c>
      <c r="D36" s="40"/>
    </row>
    <row r="38" spans="1:4" x14ac:dyDescent="0.3">
      <c r="A38" s="23" t="s">
        <v>51</v>
      </c>
      <c r="B38" s="23"/>
    </row>
    <row r="40" spans="1:4" x14ac:dyDescent="0.3">
      <c r="A40" t="s">
        <v>290</v>
      </c>
    </row>
    <row r="41" spans="1:4" x14ac:dyDescent="0.3">
      <c r="A41" t="s">
        <v>52</v>
      </c>
      <c r="C41">
        <v>300</v>
      </c>
    </row>
    <row r="42" spans="1:4" x14ac:dyDescent="0.3">
      <c r="A42" t="s">
        <v>53</v>
      </c>
      <c r="C42">
        <v>2</v>
      </c>
    </row>
    <row r="43" spans="1:4" x14ac:dyDescent="0.3">
      <c r="A43" s="23" t="s">
        <v>291</v>
      </c>
      <c r="B43" s="23"/>
    </row>
    <row r="44" spans="1:4" x14ac:dyDescent="0.3">
      <c r="A44" t="s">
        <v>254</v>
      </c>
      <c r="C44">
        <v>730000</v>
      </c>
    </row>
    <row r="47" spans="1:4" x14ac:dyDescent="0.3">
      <c r="A47" s="23" t="s">
        <v>292</v>
      </c>
      <c r="B47" s="23"/>
    </row>
    <row r="50" spans="1:4" x14ac:dyDescent="0.3">
      <c r="A50" s="23" t="s">
        <v>293</v>
      </c>
      <c r="B50" s="23"/>
      <c r="C50" t="s">
        <v>294</v>
      </c>
      <c r="D50" t="s">
        <v>295</v>
      </c>
    </row>
    <row r="51" spans="1:4" x14ac:dyDescent="0.3">
      <c r="A51" s="23"/>
      <c r="B51" s="23"/>
    </row>
    <row r="53" spans="1:4" x14ac:dyDescent="0.3">
      <c r="A53" t="s">
        <v>255</v>
      </c>
      <c r="C53">
        <v>187</v>
      </c>
      <c r="D53">
        <v>49455</v>
      </c>
    </row>
    <row r="54" spans="1:4" x14ac:dyDescent="0.3">
      <c r="A54" t="s">
        <v>296</v>
      </c>
      <c r="C54">
        <v>72</v>
      </c>
      <c r="D54">
        <v>39780</v>
      </c>
    </row>
    <row r="55" spans="1:4" x14ac:dyDescent="0.3">
      <c r="A55" t="s">
        <v>257</v>
      </c>
      <c r="C55">
        <v>27</v>
      </c>
      <c r="D55">
        <v>89455</v>
      </c>
    </row>
    <row r="56" spans="1:4" x14ac:dyDescent="0.3">
      <c r="A56" t="s">
        <v>258</v>
      </c>
      <c r="C56">
        <v>205</v>
      </c>
      <c r="D56">
        <v>32065</v>
      </c>
    </row>
    <row r="57" spans="1:4" x14ac:dyDescent="0.3">
      <c r="A57" t="s">
        <v>259</v>
      </c>
      <c r="C57">
        <v>214</v>
      </c>
      <c r="D57">
        <v>12935</v>
      </c>
    </row>
    <row r="58" spans="1:4" x14ac:dyDescent="0.3">
      <c r="A58" t="s">
        <v>260</v>
      </c>
      <c r="C58">
        <v>19</v>
      </c>
      <c r="D58">
        <v>48150</v>
      </c>
    </row>
    <row r="59" spans="1:4" x14ac:dyDescent="0.3">
      <c r="A59" t="s">
        <v>261</v>
      </c>
      <c r="C59">
        <v>2</v>
      </c>
      <c r="D59">
        <v>19675</v>
      </c>
    </row>
    <row r="60" spans="1:4" x14ac:dyDescent="0.3">
      <c r="A60" t="s">
        <v>262</v>
      </c>
      <c r="C60">
        <v>1</v>
      </c>
      <c r="D60">
        <v>175760</v>
      </c>
    </row>
    <row r="62" spans="1:4" x14ac:dyDescent="0.3">
      <c r="A62" t="s">
        <v>297</v>
      </c>
      <c r="C62" s="40">
        <f>(C53*D53+C54*D54+C55*D55+C56*D56+C57*D57+C58*D58+C59*D59+C60*D60)/100000</f>
        <v>249.98904999999999</v>
      </c>
      <c r="D62">
        <f ca="1">RANDBETWEEN(240,300)</f>
        <v>269</v>
      </c>
    </row>
    <row r="65" spans="1:4" x14ac:dyDescent="0.3">
      <c r="A65" t="s">
        <v>298</v>
      </c>
      <c r="C65">
        <v>500</v>
      </c>
      <c r="D65">
        <f ca="1">RANDBETWEEN(450,550)</f>
        <v>474</v>
      </c>
    </row>
    <row r="67" spans="1:4" x14ac:dyDescent="0.3">
      <c r="A67" t="s">
        <v>299</v>
      </c>
      <c r="C67">
        <v>0</v>
      </c>
    </row>
    <row r="68" spans="1:4" x14ac:dyDescent="0.3">
      <c r="A68" t="s">
        <v>300</v>
      </c>
      <c r="C68">
        <v>0</v>
      </c>
    </row>
    <row r="69" spans="1:4" x14ac:dyDescent="0.3">
      <c r="A69" t="s">
        <v>301</v>
      </c>
      <c r="C69">
        <v>4</v>
      </c>
    </row>
    <row r="72" spans="1:4" x14ac:dyDescent="0.3">
      <c r="A72" t="s">
        <v>302</v>
      </c>
      <c r="C72" s="40">
        <f>(200000/10^6)*12</f>
        <v>2.4000000000000004</v>
      </c>
    </row>
    <row r="73" spans="1:4" x14ac:dyDescent="0.3">
      <c r="A73" t="s">
        <v>303</v>
      </c>
      <c r="C73" s="40">
        <f>(1/3)*C72</f>
        <v>0.8</v>
      </c>
    </row>
    <row r="74" spans="1:4" x14ac:dyDescent="0.3">
      <c r="A74" t="s">
        <v>304</v>
      </c>
      <c r="C74" s="40">
        <v>7.5</v>
      </c>
    </row>
    <row r="75" spans="1:4" x14ac:dyDescent="0.3">
      <c r="C75" s="40"/>
    </row>
    <row r="76" spans="1:4" x14ac:dyDescent="0.3">
      <c r="A76" t="s">
        <v>305</v>
      </c>
      <c r="C76" s="112">
        <v>0.1</v>
      </c>
    </row>
    <row r="77" spans="1:4" x14ac:dyDescent="0.3">
      <c r="A77" t="s">
        <v>104</v>
      </c>
      <c r="C77" s="40">
        <v>0</v>
      </c>
    </row>
    <row r="78" spans="1:4" x14ac:dyDescent="0.3">
      <c r="A78" t="s">
        <v>306</v>
      </c>
      <c r="C78" s="40">
        <v>5</v>
      </c>
    </row>
    <row r="79" spans="1:4" x14ac:dyDescent="0.3">
      <c r="A79" t="s">
        <v>106</v>
      </c>
      <c r="C79" s="40">
        <v>0</v>
      </c>
    </row>
    <row r="80" spans="1:4" x14ac:dyDescent="0.3">
      <c r="A80" t="s">
        <v>307</v>
      </c>
      <c r="C80" s="112">
        <v>0.02</v>
      </c>
    </row>
    <row r="81" spans="1:4" x14ac:dyDescent="0.3">
      <c r="C81" s="40"/>
    </row>
    <row r="82" spans="1:4" x14ac:dyDescent="0.3">
      <c r="A82" t="s">
        <v>115</v>
      </c>
      <c r="C82" s="40">
        <v>2</v>
      </c>
    </row>
    <row r="83" spans="1:4" x14ac:dyDescent="0.3">
      <c r="A83" t="s">
        <v>116</v>
      </c>
      <c r="C83" s="120">
        <v>5</v>
      </c>
    </row>
    <row r="84" spans="1:4" x14ac:dyDescent="0.3">
      <c r="C84" s="120"/>
    </row>
    <row r="85" spans="1:4" x14ac:dyDescent="0.3">
      <c r="A85" t="s">
        <v>110</v>
      </c>
      <c r="C85" s="40">
        <f>400000/10^6</f>
        <v>0.4</v>
      </c>
    </row>
    <row r="86" spans="1:4" x14ac:dyDescent="0.3">
      <c r="C86" s="120"/>
    </row>
    <row r="87" spans="1:4" x14ac:dyDescent="0.3">
      <c r="C87" s="120"/>
    </row>
    <row r="88" spans="1:4" x14ac:dyDescent="0.3">
      <c r="A88" s="23" t="s">
        <v>94</v>
      </c>
      <c r="B88" s="23"/>
      <c r="C88" s="120"/>
    </row>
    <row r="89" spans="1:4" x14ac:dyDescent="0.3">
      <c r="A89" t="s">
        <v>95</v>
      </c>
      <c r="C89" s="122">
        <v>1</v>
      </c>
      <c r="D89" s="76">
        <v>2</v>
      </c>
    </row>
    <row r="90" spans="1:4" x14ac:dyDescent="0.3">
      <c r="A90" t="s">
        <v>96</v>
      </c>
      <c r="C90" s="40">
        <v>3.34</v>
      </c>
      <c r="D90">
        <v>3.34</v>
      </c>
    </row>
    <row r="91" spans="1:4" x14ac:dyDescent="0.3">
      <c r="A91" t="s">
        <v>97</v>
      </c>
      <c r="C91" s="40">
        <v>5.15</v>
      </c>
      <c r="D91">
        <v>8.09</v>
      </c>
    </row>
    <row r="92" spans="1:4" x14ac:dyDescent="0.3">
      <c r="C92" s="40"/>
    </row>
    <row r="93" spans="1:4" x14ac:dyDescent="0.3">
      <c r="C93" s="40"/>
    </row>
    <row r="94" spans="1:4" x14ac:dyDescent="0.3">
      <c r="A94" s="23" t="s">
        <v>98</v>
      </c>
      <c r="B94" s="23"/>
      <c r="C94" s="40"/>
    </row>
    <row r="95" spans="1:4" x14ac:dyDescent="0.3">
      <c r="C95" s="40"/>
    </row>
    <row r="96" spans="1:4" x14ac:dyDescent="0.3">
      <c r="A96" t="s">
        <v>96</v>
      </c>
      <c r="C96" s="40">
        <v>10</v>
      </c>
      <c r="D96" s="40">
        <v>10</v>
      </c>
    </row>
    <row r="97" spans="1:4" x14ac:dyDescent="0.3">
      <c r="A97" t="s">
        <v>97</v>
      </c>
      <c r="C97" s="40">
        <v>25</v>
      </c>
      <c r="D97" s="40">
        <v>25</v>
      </c>
    </row>
    <row r="98" spans="1:4" x14ac:dyDescent="0.3">
      <c r="C98" s="40"/>
    </row>
    <row r="100" spans="1:4" x14ac:dyDescent="0.3">
      <c r="A100" t="s">
        <v>308</v>
      </c>
      <c r="C100" s="40">
        <f>(150000*12)/10^6</f>
        <v>1.8</v>
      </c>
    </row>
    <row r="101" spans="1:4" x14ac:dyDescent="0.3">
      <c r="A101" t="s">
        <v>304</v>
      </c>
      <c r="C101" s="40">
        <v>10</v>
      </c>
    </row>
    <row r="102" spans="1:4" x14ac:dyDescent="0.3">
      <c r="C102" s="40"/>
    </row>
    <row r="103" spans="1:4" x14ac:dyDescent="0.3">
      <c r="A103" s="23" t="s">
        <v>309</v>
      </c>
      <c r="B103" s="23"/>
      <c r="C103" s="40"/>
    </row>
    <row r="104" spans="1:4" x14ac:dyDescent="0.3">
      <c r="C104" s="40"/>
    </row>
    <row r="105" spans="1:4" x14ac:dyDescent="0.3">
      <c r="A105" t="s">
        <v>83</v>
      </c>
      <c r="C105" s="40">
        <v>13</v>
      </c>
    </row>
    <row r="106" spans="1:4" x14ac:dyDescent="0.3">
      <c r="A106" t="s">
        <v>92</v>
      </c>
      <c r="C106" s="40">
        <v>12</v>
      </c>
    </row>
    <row r="107" spans="1:4" x14ac:dyDescent="0.3">
      <c r="C107" s="40"/>
    </row>
    <row r="108" spans="1:4" x14ac:dyDescent="0.3">
      <c r="A108" s="23" t="s">
        <v>85</v>
      </c>
      <c r="B108" s="23"/>
      <c r="C108" s="40"/>
    </row>
    <row r="109" spans="1:4" x14ac:dyDescent="0.3">
      <c r="A109" t="s">
        <v>86</v>
      </c>
      <c r="C109" s="120">
        <v>2</v>
      </c>
    </row>
    <row r="110" spans="1:4" x14ac:dyDescent="0.3">
      <c r="A110" t="s">
        <v>87</v>
      </c>
      <c r="C110" s="120">
        <v>32</v>
      </c>
    </row>
    <row r="111" spans="1:4" x14ac:dyDescent="0.3">
      <c r="A111" t="s">
        <v>88</v>
      </c>
      <c r="C111" s="120">
        <v>4</v>
      </c>
    </row>
    <row r="112" spans="1:4" x14ac:dyDescent="0.3">
      <c r="C112" s="120"/>
    </row>
    <row r="113" spans="1:13" x14ac:dyDescent="0.3">
      <c r="A113" s="23" t="s">
        <v>89</v>
      </c>
      <c r="B113" s="23"/>
      <c r="C113">
        <v>25</v>
      </c>
    </row>
    <row r="114" spans="1:13" x14ac:dyDescent="0.3">
      <c r="C114" s="120"/>
    </row>
    <row r="115" spans="1:13" x14ac:dyDescent="0.3">
      <c r="C115" s="120"/>
    </row>
    <row r="116" spans="1:13" x14ac:dyDescent="0.3">
      <c r="C116" s="120"/>
    </row>
    <row r="117" spans="1:13" x14ac:dyDescent="0.3">
      <c r="C117" s="120"/>
    </row>
    <row r="118" spans="1:13" x14ac:dyDescent="0.3">
      <c r="C118" s="120"/>
    </row>
    <row r="119" spans="1:13" x14ac:dyDescent="0.3">
      <c r="C119" s="40"/>
    </row>
    <row r="120" spans="1:13" x14ac:dyDescent="0.3">
      <c r="A120" s="23"/>
      <c r="B120" s="23"/>
    </row>
    <row r="121" spans="1:13" x14ac:dyDescent="0.3">
      <c r="A121" s="23" t="s">
        <v>15</v>
      </c>
      <c r="C121" s="23">
        <v>0</v>
      </c>
      <c r="D121" s="23">
        <v>1</v>
      </c>
      <c r="E121" s="23">
        <f>D121+1</f>
        <v>2</v>
      </c>
      <c r="F121" s="23">
        <f t="shared" ref="F121:M121" si="1">E121+1</f>
        <v>3</v>
      </c>
      <c r="G121" s="23">
        <f t="shared" si="1"/>
        <v>4</v>
      </c>
      <c r="H121" s="23">
        <f t="shared" si="1"/>
        <v>5</v>
      </c>
      <c r="I121" s="23">
        <f t="shared" si="1"/>
        <v>6</v>
      </c>
      <c r="J121" s="23">
        <f t="shared" si="1"/>
        <v>7</v>
      </c>
      <c r="K121" s="23">
        <f t="shared" si="1"/>
        <v>8</v>
      </c>
      <c r="L121" s="23">
        <f t="shared" si="1"/>
        <v>9</v>
      </c>
      <c r="M121" s="23">
        <f t="shared" si="1"/>
        <v>10</v>
      </c>
    </row>
    <row r="122" spans="1:13" x14ac:dyDescent="0.3">
      <c r="A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x14ac:dyDescent="0.3">
      <c r="A123" t="s">
        <v>61</v>
      </c>
      <c r="D123" s="112">
        <f ca="1">RANDBETWEEN(35,45)/100</f>
        <v>0.42</v>
      </c>
      <c r="E123" s="112">
        <f ca="1">RANDBETWEEN(45,60)/100</f>
        <v>0.53</v>
      </c>
      <c r="F123" s="112">
        <f ca="1">RANDBETWEEN(55,70)/100</f>
        <v>0.67</v>
      </c>
      <c r="G123" s="112">
        <f ca="1">RANDBETWEEN(65,80)/100</f>
        <v>0.67</v>
      </c>
      <c r="H123" s="112">
        <f t="shared" ref="H123:M123" ca="1" si="2">RANDBETWEEN(65,80)/100</f>
        <v>0.75</v>
      </c>
      <c r="I123" s="112">
        <f t="shared" ca="1" si="2"/>
        <v>0.73</v>
      </c>
      <c r="J123" s="112">
        <f t="shared" ca="1" si="2"/>
        <v>0.68</v>
      </c>
      <c r="K123" s="112">
        <f t="shared" ca="1" si="2"/>
        <v>0.66</v>
      </c>
      <c r="L123" s="112">
        <f t="shared" ca="1" si="2"/>
        <v>0.69</v>
      </c>
      <c r="M123" s="112">
        <f t="shared" ca="1" si="2"/>
        <v>0.79</v>
      </c>
    </row>
    <row r="124" spans="1:13" x14ac:dyDescent="0.3">
      <c r="A124" t="s">
        <v>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65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</row>
    <row r="128" spans="1:13" x14ac:dyDescent="0.3">
      <c r="A128" t="s">
        <v>66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</row>
    <row r="129" spans="1:13" x14ac:dyDescent="0.3">
      <c r="A129" t="s">
        <v>67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</row>
    <row r="130" spans="1:13" x14ac:dyDescent="0.3">
      <c r="A130" t="s">
        <v>68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</row>
    <row r="131" spans="1:13" x14ac:dyDescent="0.3">
      <c r="A131" t="s">
        <v>69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</row>
    <row r="132" spans="1:13" x14ac:dyDescent="0.3">
      <c r="A132" t="s">
        <v>70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</row>
    <row r="133" spans="1:13" x14ac:dyDescent="0.3">
      <c r="A133" t="s">
        <v>71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</row>
    <row r="134" spans="1:13" x14ac:dyDescent="0.3">
      <c r="A134" s="55" t="s">
        <v>72</v>
      </c>
      <c r="B134" s="55"/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</row>
    <row r="135" spans="1:13" x14ac:dyDescent="0.3">
      <c r="A135" s="70" t="s">
        <v>310</v>
      </c>
      <c r="B135" s="70"/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</row>
    <row r="136" spans="1:13" x14ac:dyDescent="0.3">
      <c r="A136" t="s">
        <v>73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</row>
    <row r="137" spans="1:13" x14ac:dyDescent="0.3">
      <c r="A137" s="23" t="s">
        <v>157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</row>
    <row r="138" spans="1:13" x14ac:dyDescent="0.3">
      <c r="A138" t="s">
        <v>75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0</v>
      </c>
      <c r="D139">
        <v>0</v>
      </c>
      <c r="E139" s="40">
        <v>10</v>
      </c>
      <c r="F139" s="40">
        <v>15</v>
      </c>
      <c r="G139" s="40">
        <v>20</v>
      </c>
      <c r="H139" s="40">
        <f t="shared" ref="H139:M139" si="3">G139</f>
        <v>20</v>
      </c>
      <c r="I139" s="40">
        <f t="shared" si="3"/>
        <v>20</v>
      </c>
      <c r="J139" s="40">
        <f t="shared" si="3"/>
        <v>20</v>
      </c>
      <c r="K139" s="40">
        <f t="shared" si="3"/>
        <v>20</v>
      </c>
      <c r="L139" s="40">
        <f t="shared" si="3"/>
        <v>20</v>
      </c>
      <c r="M139" s="40">
        <f t="shared" si="3"/>
        <v>20</v>
      </c>
    </row>
    <row r="141" spans="1:13" x14ac:dyDescent="0.3">
      <c r="A141" t="s">
        <v>311</v>
      </c>
      <c r="D141">
        <v>0</v>
      </c>
      <c r="E141">
        <v>0</v>
      </c>
      <c r="F141">
        <v>2.5</v>
      </c>
      <c r="G141">
        <v>2.5</v>
      </c>
      <c r="H141">
        <v>2.5</v>
      </c>
      <c r="I141">
        <v>2.5</v>
      </c>
      <c r="J141">
        <v>5</v>
      </c>
      <c r="K141">
        <v>5</v>
      </c>
      <c r="L141">
        <v>5</v>
      </c>
      <c r="M141">
        <v>5</v>
      </c>
    </row>
    <row r="142" spans="1:13" x14ac:dyDescent="0.3">
      <c r="A142" t="s">
        <v>76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5" spans="1:13" x14ac:dyDescent="0.3">
      <c r="A145" t="s">
        <v>312</v>
      </c>
      <c r="C145" s="40">
        <f>C14</f>
        <v>9</v>
      </c>
      <c r="D145">
        <v>32.1</v>
      </c>
      <c r="E145">
        <v>42.7</v>
      </c>
      <c r="F145">
        <v>49.8</v>
      </c>
      <c r="G145">
        <v>56.9</v>
      </c>
      <c r="H145">
        <f t="shared" ref="H145:M146" si="4">G145</f>
        <v>56.9</v>
      </c>
      <c r="I145">
        <f t="shared" si="4"/>
        <v>56.9</v>
      </c>
      <c r="J145">
        <f t="shared" si="4"/>
        <v>56.9</v>
      </c>
      <c r="K145">
        <f t="shared" si="4"/>
        <v>56.9</v>
      </c>
      <c r="L145">
        <f t="shared" si="4"/>
        <v>56.9</v>
      </c>
      <c r="M145">
        <f t="shared" si="4"/>
        <v>56.9</v>
      </c>
    </row>
    <row r="146" spans="1:13" x14ac:dyDescent="0.3">
      <c r="A146" t="s">
        <v>313</v>
      </c>
      <c r="D146">
        <v>13</v>
      </c>
      <c r="E146">
        <f>D146+4.2</f>
        <v>17.2</v>
      </c>
      <c r="F146">
        <f>E146+2.8</f>
        <v>20</v>
      </c>
      <c r="G146">
        <f t="shared" ref="G146" si="5">F146+2.8</f>
        <v>22.8</v>
      </c>
      <c r="H146">
        <f>G146</f>
        <v>22.8</v>
      </c>
      <c r="I146">
        <f t="shared" si="4"/>
        <v>22.8</v>
      </c>
      <c r="J146">
        <f t="shared" si="4"/>
        <v>22.8</v>
      </c>
      <c r="K146">
        <f t="shared" si="4"/>
        <v>22.8</v>
      </c>
      <c r="L146">
        <f t="shared" si="4"/>
        <v>22.8</v>
      </c>
      <c r="M146">
        <f t="shared" si="4"/>
        <v>22.8</v>
      </c>
    </row>
    <row r="147" spans="1:13" x14ac:dyDescent="0.3">
      <c r="A147" t="s">
        <v>314</v>
      </c>
    </row>
    <row r="149" spans="1:13" x14ac:dyDescent="0.3">
      <c r="A149" t="s">
        <v>315</v>
      </c>
      <c r="D149">
        <v>6.8</v>
      </c>
      <c r="E149">
        <v>9.1</v>
      </c>
      <c r="F149">
        <v>10.6</v>
      </c>
      <c r="G149">
        <v>12.2</v>
      </c>
      <c r="H149">
        <f t="shared" ref="H149:M149" si="6">G149</f>
        <v>12.2</v>
      </c>
      <c r="I149">
        <f t="shared" si="6"/>
        <v>12.2</v>
      </c>
      <c r="J149">
        <f t="shared" si="6"/>
        <v>12.2</v>
      </c>
      <c r="K149">
        <f t="shared" si="6"/>
        <v>12.2</v>
      </c>
      <c r="L149">
        <f t="shared" si="6"/>
        <v>12.2</v>
      </c>
      <c r="M149">
        <f t="shared" si="6"/>
        <v>12.2</v>
      </c>
    </row>
    <row r="151" spans="1:13" x14ac:dyDescent="0.3">
      <c r="A151" t="s">
        <v>81</v>
      </c>
      <c r="D151">
        <v>17.3</v>
      </c>
      <c r="E151">
        <v>22.9</v>
      </c>
      <c r="F151">
        <v>26.7</v>
      </c>
      <c r="G151">
        <v>30.5</v>
      </c>
      <c r="H151">
        <f t="shared" ref="H151:M151" si="7">G151</f>
        <v>30.5</v>
      </c>
      <c r="I151">
        <f t="shared" si="7"/>
        <v>30.5</v>
      </c>
      <c r="J151">
        <f t="shared" si="7"/>
        <v>30.5</v>
      </c>
      <c r="K151">
        <f t="shared" si="7"/>
        <v>30.5</v>
      </c>
      <c r="L151">
        <f t="shared" si="7"/>
        <v>30.5</v>
      </c>
      <c r="M151">
        <f t="shared" si="7"/>
        <v>30.5</v>
      </c>
    </row>
    <row r="155" spans="1:13" x14ac:dyDescent="0.3">
      <c r="A155" s="121" t="s">
        <v>316</v>
      </c>
      <c r="B155" s="23"/>
    </row>
    <row r="157" spans="1:13" x14ac:dyDescent="0.3">
      <c r="A157" t="s">
        <v>317</v>
      </c>
      <c r="D157">
        <f t="shared" ref="D157:M157" ca="1" si="8">$C44*D123</f>
        <v>306600</v>
      </c>
      <c r="E157">
        <f t="shared" ca="1" si="8"/>
        <v>386900</v>
      </c>
      <c r="F157">
        <f t="shared" ca="1" si="8"/>
        <v>489100.00000000006</v>
      </c>
      <c r="G157">
        <f t="shared" ca="1" si="8"/>
        <v>489100.00000000006</v>
      </c>
      <c r="H157">
        <f t="shared" ca="1" si="8"/>
        <v>547500</v>
      </c>
      <c r="I157">
        <f t="shared" ca="1" si="8"/>
        <v>532900</v>
      </c>
      <c r="J157">
        <f t="shared" ca="1" si="8"/>
        <v>496400.00000000006</v>
      </c>
      <c r="K157">
        <f t="shared" ca="1" si="8"/>
        <v>481800</v>
      </c>
      <c r="L157">
        <f t="shared" ca="1" si="8"/>
        <v>503699.99999999994</v>
      </c>
      <c r="M157">
        <f t="shared" ca="1" si="8"/>
        <v>576700</v>
      </c>
    </row>
    <row r="158" spans="1:13" x14ac:dyDescent="0.3">
      <c r="A158" t="s">
        <v>318</v>
      </c>
      <c r="D158" s="40">
        <f ca="1">D157*$D65/1000000</f>
        <v>145.32839999999999</v>
      </c>
      <c r="E158" s="40">
        <f t="shared" ref="E158:M158" ca="1" si="9">E157*$D65/1000000</f>
        <v>183.39060000000001</v>
      </c>
      <c r="F158" s="40">
        <f t="shared" ca="1" si="9"/>
        <v>231.83340000000004</v>
      </c>
      <c r="G158" s="40">
        <f t="shared" ca="1" si="9"/>
        <v>231.83340000000004</v>
      </c>
      <c r="H158" s="40">
        <f t="shared" ca="1" si="9"/>
        <v>259.51499999999999</v>
      </c>
      <c r="I158" s="40">
        <f t="shared" ca="1" si="9"/>
        <v>252.59460000000001</v>
      </c>
      <c r="J158" s="40">
        <f t="shared" ca="1" si="9"/>
        <v>235.29360000000003</v>
      </c>
      <c r="K158" s="40">
        <f t="shared" ca="1" si="9"/>
        <v>228.3732</v>
      </c>
      <c r="L158" s="40">
        <f t="shared" ca="1" si="9"/>
        <v>238.75379999999998</v>
      </c>
      <c r="M158" s="40">
        <f t="shared" ca="1" si="9"/>
        <v>273.35579999999999</v>
      </c>
    </row>
    <row r="159" spans="1:13" x14ac:dyDescent="0.3">
      <c r="A159" t="s">
        <v>319</v>
      </c>
      <c r="D159" s="40">
        <f ca="1">((D157*$D62)/1000000)+(D146-C146)</f>
        <v>95.475399999999993</v>
      </c>
      <c r="E159" s="40">
        <f t="shared" ref="E159:M159" ca="1" si="10">((E157*$D62)/1000000)+(E146-D146)</f>
        <v>108.2761</v>
      </c>
      <c r="F159" s="40">
        <f t="shared" ca="1" si="10"/>
        <v>134.36790000000002</v>
      </c>
      <c r="G159" s="40">
        <f t="shared" ca="1" si="10"/>
        <v>134.36790000000002</v>
      </c>
      <c r="H159" s="40">
        <f t="shared" ca="1" si="10"/>
        <v>147.2775</v>
      </c>
      <c r="I159" s="40">
        <f t="shared" ca="1" si="10"/>
        <v>143.3501</v>
      </c>
      <c r="J159" s="40">
        <f t="shared" ca="1" si="10"/>
        <v>133.53160000000003</v>
      </c>
      <c r="K159" s="40">
        <f t="shared" ca="1" si="10"/>
        <v>129.60419999999999</v>
      </c>
      <c r="L159" s="40">
        <f t="shared" ca="1" si="10"/>
        <v>135.49529999999996</v>
      </c>
      <c r="M159" s="40">
        <f t="shared" ca="1" si="10"/>
        <v>155.13229999999999</v>
      </c>
    </row>
    <row r="160" spans="1:13" x14ac:dyDescent="0.3">
      <c r="A160" t="s">
        <v>100</v>
      </c>
      <c r="D160" s="40">
        <f ca="1">(D157*$C69)/1000000</f>
        <v>1.2263999999999999</v>
      </c>
      <c r="E160" s="40">
        <f t="shared" ref="E160:M160" ca="1" si="11">(E157*$C69)/1000000</f>
        <v>1.5476000000000001</v>
      </c>
      <c r="F160" s="40">
        <f t="shared" ca="1" si="11"/>
        <v>1.9564000000000001</v>
      </c>
      <c r="G160" s="40">
        <f t="shared" ca="1" si="11"/>
        <v>1.9564000000000001</v>
      </c>
      <c r="H160" s="40">
        <f t="shared" ca="1" si="11"/>
        <v>2.19</v>
      </c>
      <c r="I160" s="40">
        <f t="shared" ca="1" si="11"/>
        <v>2.1316000000000002</v>
      </c>
      <c r="J160" s="40">
        <f t="shared" ca="1" si="11"/>
        <v>1.9856000000000003</v>
      </c>
      <c r="K160" s="40">
        <f t="shared" ca="1" si="11"/>
        <v>1.9272</v>
      </c>
      <c r="L160" s="40">
        <f t="shared" ca="1" si="11"/>
        <v>2.0147999999999997</v>
      </c>
      <c r="M160" s="40">
        <f t="shared" ca="1" si="11"/>
        <v>2.3068</v>
      </c>
    </row>
    <row r="161" spans="1:13" x14ac:dyDescent="0.3">
      <c r="A161" t="s">
        <v>101</v>
      </c>
      <c r="D161" s="40">
        <f>C72+C73</f>
        <v>3.2</v>
      </c>
      <c r="E161" s="40">
        <f t="shared" ref="E161:M161" si="12">D161+(D161*$C74)/100</f>
        <v>3.4400000000000004</v>
      </c>
      <c r="F161" s="40">
        <f t="shared" si="12"/>
        <v>3.6980000000000004</v>
      </c>
      <c r="G161" s="40">
        <f t="shared" si="12"/>
        <v>3.9753500000000006</v>
      </c>
      <c r="H161" s="40">
        <f t="shared" si="12"/>
        <v>4.2735012500000007</v>
      </c>
      <c r="I161" s="40">
        <f t="shared" si="12"/>
        <v>4.5940138437500009</v>
      </c>
      <c r="J161" s="40">
        <f t="shared" si="12"/>
        <v>4.9385648820312511</v>
      </c>
      <c r="K161" s="40">
        <f t="shared" si="12"/>
        <v>5.3089572481835949</v>
      </c>
      <c r="L161" s="40">
        <f t="shared" si="12"/>
        <v>5.7071290417973648</v>
      </c>
      <c r="M161" s="40">
        <f t="shared" si="12"/>
        <v>6.1351637199321676</v>
      </c>
    </row>
    <row r="162" spans="1:13" x14ac:dyDescent="0.3">
      <c r="A162" t="s">
        <v>102</v>
      </c>
      <c r="D162" s="40">
        <f ca="1">$C76*D159</f>
        <v>9.5475399999999997</v>
      </c>
      <c r="E162" s="40">
        <f t="shared" ref="E162:M162" ca="1" si="13">$C76*E159</f>
        <v>10.82761</v>
      </c>
      <c r="F162" s="40">
        <f t="shared" ca="1" si="13"/>
        <v>13.436790000000002</v>
      </c>
      <c r="G162" s="40">
        <f t="shared" ca="1" si="13"/>
        <v>13.436790000000002</v>
      </c>
      <c r="H162" s="40">
        <f t="shared" ca="1" si="13"/>
        <v>14.72775</v>
      </c>
      <c r="I162" s="40">
        <f t="shared" ca="1" si="13"/>
        <v>14.33501</v>
      </c>
      <c r="J162" s="40">
        <f t="shared" ca="1" si="13"/>
        <v>13.353160000000003</v>
      </c>
      <c r="K162" s="40">
        <f t="shared" ca="1" si="13"/>
        <v>12.960419999999999</v>
      </c>
      <c r="L162" s="40">
        <f t="shared" ca="1" si="13"/>
        <v>13.549529999999997</v>
      </c>
      <c r="M162" s="40">
        <f t="shared" ca="1" si="13"/>
        <v>15.51323</v>
      </c>
    </row>
    <row r="163" spans="1:13" x14ac:dyDescent="0.3">
      <c r="A163" t="s">
        <v>320</v>
      </c>
      <c r="D163" s="40">
        <f t="shared" ref="D163:M163" ca="1" si="14">D157*$C78/1000000</f>
        <v>1.5329999999999999</v>
      </c>
      <c r="E163" s="40">
        <f t="shared" ca="1" si="14"/>
        <v>1.9345000000000001</v>
      </c>
      <c r="F163" s="40">
        <f t="shared" ca="1" si="14"/>
        <v>2.4455000000000005</v>
      </c>
      <c r="G163" s="40">
        <f t="shared" ca="1" si="14"/>
        <v>2.4455000000000005</v>
      </c>
      <c r="H163" s="40">
        <f t="shared" ca="1" si="14"/>
        <v>2.7374999999999998</v>
      </c>
      <c r="I163" s="40">
        <f t="shared" ca="1" si="14"/>
        <v>2.6644999999999999</v>
      </c>
      <c r="J163" s="40">
        <f t="shared" ca="1" si="14"/>
        <v>2.4820000000000007</v>
      </c>
      <c r="K163" s="40">
        <f t="shared" ca="1" si="14"/>
        <v>2.4089999999999998</v>
      </c>
      <c r="L163" s="40">
        <f t="shared" ca="1" si="14"/>
        <v>2.5184999999999995</v>
      </c>
      <c r="M163" s="40">
        <f t="shared" ca="1" si="14"/>
        <v>2.8835000000000002</v>
      </c>
    </row>
    <row r="164" spans="1:13" x14ac:dyDescent="0.3">
      <c r="A164" t="s">
        <v>111</v>
      </c>
      <c r="D164" s="40">
        <f ca="1">D157*$C77/1000000</f>
        <v>0</v>
      </c>
      <c r="E164" s="40">
        <f t="shared" ref="E164:M164" ca="1" si="15">E157*$C77/1000000</f>
        <v>0</v>
      </c>
      <c r="F164" s="40">
        <f t="shared" ca="1" si="15"/>
        <v>0</v>
      </c>
      <c r="G164" s="40">
        <f t="shared" ca="1" si="15"/>
        <v>0</v>
      </c>
      <c r="H164" s="40">
        <f t="shared" ca="1" si="15"/>
        <v>0</v>
      </c>
      <c r="I164" s="40">
        <f t="shared" ca="1" si="15"/>
        <v>0</v>
      </c>
      <c r="J164" s="40">
        <f t="shared" ca="1" si="15"/>
        <v>0</v>
      </c>
      <c r="K164" s="40">
        <f t="shared" ca="1" si="15"/>
        <v>0</v>
      </c>
      <c r="L164" s="40">
        <f t="shared" ca="1" si="15"/>
        <v>0</v>
      </c>
      <c r="M164" s="40">
        <f t="shared" ca="1" si="15"/>
        <v>0</v>
      </c>
    </row>
    <row r="165" spans="1:13" x14ac:dyDescent="0.3">
      <c r="A165" t="s">
        <v>112</v>
      </c>
      <c r="D165" s="40">
        <f ca="1">D157*$C79/1000000</f>
        <v>0</v>
      </c>
      <c r="E165" s="40">
        <f t="shared" ref="E165:M165" ca="1" si="16">E157*$C79/1000000</f>
        <v>0</v>
      </c>
      <c r="F165" s="40">
        <f t="shared" ca="1" si="16"/>
        <v>0</v>
      </c>
      <c r="G165" s="40">
        <f t="shared" ca="1" si="16"/>
        <v>0</v>
      </c>
      <c r="H165" s="40">
        <f t="shared" ca="1" si="16"/>
        <v>0</v>
      </c>
      <c r="I165" s="40">
        <f t="shared" ca="1" si="16"/>
        <v>0</v>
      </c>
      <c r="J165" s="40">
        <f t="shared" ca="1" si="16"/>
        <v>0</v>
      </c>
      <c r="K165" s="40">
        <f t="shared" ca="1" si="16"/>
        <v>0</v>
      </c>
      <c r="L165" s="40">
        <f t="shared" ca="1" si="16"/>
        <v>0</v>
      </c>
      <c r="M165" s="40">
        <f t="shared" ca="1" si="16"/>
        <v>0</v>
      </c>
    </row>
    <row r="166" spans="1:13" x14ac:dyDescent="0.3">
      <c r="A166" t="s">
        <v>321</v>
      </c>
      <c r="D166" s="40">
        <f ca="1">D158*$C80</f>
        <v>2.9065679999999996</v>
      </c>
      <c r="E166" s="40">
        <f t="shared" ref="E166:M166" ca="1" si="17">E158*$C80</f>
        <v>3.6678120000000001</v>
      </c>
      <c r="F166" s="40">
        <f t="shared" ca="1" si="17"/>
        <v>4.6366680000000011</v>
      </c>
      <c r="G166" s="40">
        <f t="shared" ca="1" si="17"/>
        <v>4.6366680000000011</v>
      </c>
      <c r="H166" s="40">
        <f t="shared" ca="1" si="17"/>
        <v>5.1902999999999997</v>
      </c>
      <c r="I166" s="40">
        <f t="shared" ca="1" si="17"/>
        <v>5.0518920000000005</v>
      </c>
      <c r="J166" s="40">
        <f t="shared" ca="1" si="17"/>
        <v>4.7058720000000003</v>
      </c>
      <c r="K166" s="40">
        <f t="shared" ca="1" si="17"/>
        <v>4.5674640000000002</v>
      </c>
      <c r="L166" s="40">
        <f t="shared" ca="1" si="17"/>
        <v>4.7750759999999994</v>
      </c>
      <c r="M166" s="40">
        <f t="shared" ca="1" si="17"/>
        <v>5.4671159999999999</v>
      </c>
    </row>
    <row r="167" spans="1:13" x14ac:dyDescent="0.3">
      <c r="A167" t="s">
        <v>113</v>
      </c>
      <c r="D167" s="40">
        <f t="shared" ref="D167:M167" ca="1" si="18">IF(D121&gt;$C83,0,D158*$C82/100)</f>
        <v>2.9065679999999996</v>
      </c>
      <c r="E167" s="40">
        <f t="shared" ca="1" si="18"/>
        <v>3.6678120000000001</v>
      </c>
      <c r="F167" s="40">
        <f t="shared" ca="1" si="18"/>
        <v>4.6366680000000011</v>
      </c>
      <c r="G167" s="40">
        <f t="shared" ca="1" si="18"/>
        <v>4.6366680000000011</v>
      </c>
      <c r="H167" s="40">
        <f t="shared" ca="1" si="18"/>
        <v>5.1902999999999997</v>
      </c>
      <c r="I167" s="40">
        <f t="shared" si="18"/>
        <v>0</v>
      </c>
      <c r="J167" s="40">
        <f t="shared" si="18"/>
        <v>0</v>
      </c>
      <c r="K167" s="40">
        <f t="shared" si="18"/>
        <v>0</v>
      </c>
      <c r="L167" s="40">
        <f t="shared" si="18"/>
        <v>0</v>
      </c>
      <c r="M167" s="40">
        <f t="shared" si="18"/>
        <v>0</v>
      </c>
    </row>
    <row r="168" spans="1:13" x14ac:dyDescent="0.3">
      <c r="A168" t="s">
        <v>114</v>
      </c>
      <c r="D168" s="40">
        <f>$C100</f>
        <v>1.8</v>
      </c>
      <c r="E168" s="40">
        <f>D168*(1+$C$101/100)</f>
        <v>1.9800000000000002</v>
      </c>
      <c r="F168" s="40">
        <f t="shared" ref="F168:M168" si="19">E168*(1+$C$101/100)</f>
        <v>2.1780000000000004</v>
      </c>
      <c r="G168" s="40">
        <f t="shared" si="19"/>
        <v>2.3958000000000008</v>
      </c>
      <c r="H168" s="40">
        <f t="shared" si="19"/>
        <v>2.6353800000000009</v>
      </c>
      <c r="I168" s="40">
        <f t="shared" si="19"/>
        <v>2.8989180000000014</v>
      </c>
      <c r="J168" s="40">
        <f t="shared" si="19"/>
        <v>3.1888098000000018</v>
      </c>
      <c r="K168" s="40">
        <f t="shared" si="19"/>
        <v>3.5076907800000021</v>
      </c>
      <c r="L168" s="40">
        <f t="shared" si="19"/>
        <v>3.8584598580000025</v>
      </c>
      <c r="M168" s="40">
        <f t="shared" si="19"/>
        <v>4.244305843800003</v>
      </c>
    </row>
    <row r="169" spans="1:13" x14ac:dyDescent="0.3">
      <c r="A169" s="123" t="s">
        <v>157</v>
      </c>
      <c r="B169" s="55"/>
    </row>
    <row r="170" spans="1:13" x14ac:dyDescent="0.3">
      <c r="A170" s="55" t="s">
        <v>75</v>
      </c>
      <c r="B170" s="55"/>
      <c r="C170">
        <f t="shared" ref="C170:M170" si="20">$C27*C138/100</f>
        <v>0</v>
      </c>
      <c r="D170">
        <f t="shared" si="20"/>
        <v>0</v>
      </c>
      <c r="E170">
        <f t="shared" si="20"/>
        <v>0</v>
      </c>
      <c r="F170">
        <f t="shared" si="20"/>
        <v>0</v>
      </c>
      <c r="G170">
        <f t="shared" si="20"/>
        <v>0</v>
      </c>
      <c r="H170">
        <f t="shared" si="20"/>
        <v>0</v>
      </c>
      <c r="I170">
        <f t="shared" si="20"/>
        <v>0</v>
      </c>
      <c r="J170">
        <f t="shared" si="20"/>
        <v>0</v>
      </c>
      <c r="K170">
        <f t="shared" si="20"/>
        <v>0</v>
      </c>
      <c r="L170">
        <f t="shared" si="20"/>
        <v>0</v>
      </c>
      <c r="M170">
        <f t="shared" si="20"/>
        <v>0</v>
      </c>
    </row>
    <row r="171" spans="1:13" x14ac:dyDescent="0.3">
      <c r="A171" s="55" t="s">
        <v>0</v>
      </c>
      <c r="B171" s="55"/>
      <c r="C171">
        <f t="shared" ref="C171:M171" si="21">$C32*C139/100</f>
        <v>0</v>
      </c>
      <c r="D171">
        <f t="shared" si="21"/>
        <v>0</v>
      </c>
      <c r="E171" s="40">
        <f t="shared" si="21"/>
        <v>6.65</v>
      </c>
      <c r="F171" s="40">
        <f t="shared" si="21"/>
        <v>9.9749999999999996</v>
      </c>
      <c r="G171" s="40">
        <f t="shared" si="21"/>
        <v>13.3</v>
      </c>
      <c r="H171" s="40">
        <f t="shared" si="21"/>
        <v>13.3</v>
      </c>
      <c r="I171" s="40">
        <f t="shared" si="21"/>
        <v>13.3</v>
      </c>
      <c r="J171" s="40">
        <f t="shared" si="21"/>
        <v>13.3</v>
      </c>
      <c r="K171" s="40">
        <f t="shared" si="21"/>
        <v>13.3</v>
      </c>
      <c r="L171" s="40">
        <f t="shared" si="21"/>
        <v>13.3</v>
      </c>
      <c r="M171" s="40">
        <f t="shared" si="21"/>
        <v>13.3</v>
      </c>
    </row>
    <row r="172" spans="1:13" x14ac:dyDescent="0.3">
      <c r="A172" s="55" t="s">
        <v>117</v>
      </c>
      <c r="B172" s="55"/>
      <c r="D172" s="40">
        <f>IF(($C13-C172)&gt;0, MIN($C85,($C13-C172)),0)</f>
        <v>0.4</v>
      </c>
      <c r="E172" s="40">
        <f>IF(($C13-SUM($C172:D172))&gt;0,MIN($C85,($C13-SUM($C172:D172))),0)</f>
        <v>0.4</v>
      </c>
      <c r="F172" s="40">
        <f>IF(($C13-SUM($C172:E172))&gt;0,MIN($C85,($C13-SUM($C172:E172))),0)</f>
        <v>0.4</v>
      </c>
      <c r="G172" s="40">
        <f>IF(($C13-SUM($C172:F172))&gt;0,MIN($C85,($C13-SUM($C172:F172))),0)</f>
        <v>0.4</v>
      </c>
      <c r="H172" s="40">
        <f>IF(($C13-SUM($C172:G172))&gt;0,MIN($C85,($C13-SUM($C172:G172))),0)</f>
        <v>0.4</v>
      </c>
      <c r="I172" s="40">
        <f>IF(($C13-SUM($C172:H172))&gt;0,MIN($C85,($C13-SUM($C172:H172))),0)</f>
        <v>0.4</v>
      </c>
      <c r="J172" s="40">
        <f>IF(($C13-SUM($C172:I172))&gt;0,MIN($C85,($C13-SUM($C172:I172))),0)</f>
        <v>0.4</v>
      </c>
      <c r="K172" s="40">
        <f>IF(($C13-SUM($C172:J172))&gt;0,MIN($C85,($C13-SUM($C172:J172))),0)</f>
        <v>0.4</v>
      </c>
      <c r="L172" s="40">
        <f>IF(($C13-SUM($C172:K172))&gt;0,MIN($C85,($C13-SUM($C172:K172))),0)</f>
        <v>0.4</v>
      </c>
      <c r="M172" s="40">
        <f>IF(($C13-SUM($C172:L172))&gt;0,MIN($C85,($C13-SUM($C172:L172))),0)</f>
        <v>0.4</v>
      </c>
    </row>
    <row r="175" spans="1:13" x14ac:dyDescent="0.3">
      <c r="A175" s="70"/>
      <c r="B175" s="70"/>
    </row>
    <row r="176" spans="1:13" x14ac:dyDescent="0.3">
      <c r="A176" s="70"/>
      <c r="B176" s="70"/>
    </row>
    <row r="177" spans="1:13" x14ac:dyDescent="0.3">
      <c r="A177" s="23" t="s">
        <v>322</v>
      </c>
      <c r="B177" s="23"/>
    </row>
    <row r="179" spans="1:13" x14ac:dyDescent="0.3">
      <c r="A179" s="23" t="s">
        <v>323</v>
      </c>
      <c r="B179" s="23"/>
    </row>
    <row r="180" spans="1:13" x14ac:dyDescent="0.3">
      <c r="A180" t="s">
        <v>324</v>
      </c>
      <c r="D180" s="40">
        <f>C33</f>
        <v>132</v>
      </c>
      <c r="E180" s="40">
        <f>D182</f>
        <v>132</v>
      </c>
      <c r="F180" s="40">
        <f t="shared" ref="F180:M180" si="22">E182</f>
        <v>132</v>
      </c>
      <c r="G180" s="40">
        <f t="shared" si="22"/>
        <v>115.5</v>
      </c>
      <c r="H180" s="40">
        <f t="shared" si="22"/>
        <v>99</v>
      </c>
      <c r="I180" s="40">
        <f t="shared" si="22"/>
        <v>82.5</v>
      </c>
      <c r="J180" s="40">
        <f t="shared" si="22"/>
        <v>66</v>
      </c>
      <c r="K180" s="40">
        <f t="shared" si="22"/>
        <v>49.5</v>
      </c>
      <c r="L180" s="40">
        <f t="shared" si="22"/>
        <v>33</v>
      </c>
      <c r="M180" s="40">
        <f t="shared" si="22"/>
        <v>16.5</v>
      </c>
    </row>
    <row r="181" spans="1:13" x14ac:dyDescent="0.3">
      <c r="A181" s="70" t="s">
        <v>325</v>
      </c>
      <c r="B181" s="70"/>
      <c r="D181">
        <f t="shared" ref="D181:M181" si="23">IF(D121&gt;$C109,($C33/$C110*$C111),0)</f>
        <v>0</v>
      </c>
      <c r="E181">
        <f t="shared" si="23"/>
        <v>0</v>
      </c>
      <c r="F181">
        <f t="shared" si="23"/>
        <v>16.5</v>
      </c>
      <c r="G181">
        <f t="shared" si="23"/>
        <v>16.5</v>
      </c>
      <c r="H181">
        <f t="shared" si="23"/>
        <v>16.5</v>
      </c>
      <c r="I181">
        <f t="shared" si="23"/>
        <v>16.5</v>
      </c>
      <c r="J181">
        <f t="shared" si="23"/>
        <v>16.5</v>
      </c>
      <c r="K181">
        <f t="shared" si="23"/>
        <v>16.5</v>
      </c>
      <c r="L181">
        <f t="shared" si="23"/>
        <v>16.5</v>
      </c>
      <c r="M181">
        <f t="shared" si="23"/>
        <v>16.5</v>
      </c>
    </row>
    <row r="182" spans="1:13" x14ac:dyDescent="0.3">
      <c r="A182" t="s">
        <v>326</v>
      </c>
      <c r="D182" s="40">
        <f>D180-D181</f>
        <v>132</v>
      </c>
      <c r="E182" s="40">
        <f t="shared" ref="E182:M182" si="24">E180-E181</f>
        <v>132</v>
      </c>
      <c r="F182" s="40">
        <f t="shared" si="24"/>
        <v>115.5</v>
      </c>
      <c r="G182" s="40">
        <f t="shared" si="24"/>
        <v>99</v>
      </c>
      <c r="H182" s="40">
        <f t="shared" si="24"/>
        <v>82.5</v>
      </c>
      <c r="I182" s="40">
        <f t="shared" si="24"/>
        <v>66</v>
      </c>
      <c r="J182" s="40">
        <f t="shared" si="24"/>
        <v>49.5</v>
      </c>
      <c r="K182" s="40">
        <f t="shared" si="24"/>
        <v>33</v>
      </c>
      <c r="L182" s="40">
        <f t="shared" si="24"/>
        <v>16.5</v>
      </c>
      <c r="M182" s="40">
        <f t="shared" si="24"/>
        <v>0</v>
      </c>
    </row>
    <row r="183" spans="1:13" x14ac:dyDescent="0.3">
      <c r="A183" s="70" t="s">
        <v>327</v>
      </c>
      <c r="B183" s="70"/>
      <c r="D183">
        <f t="shared" ref="D183:M183" si="25">((D180+D182)/2)*($C105/100)</f>
        <v>17.16</v>
      </c>
      <c r="E183" s="40">
        <f t="shared" si="25"/>
        <v>17.16</v>
      </c>
      <c r="F183" s="40">
        <f t="shared" si="25"/>
        <v>16.087500000000002</v>
      </c>
      <c r="G183" s="40">
        <f t="shared" si="25"/>
        <v>13.942500000000001</v>
      </c>
      <c r="H183" s="40">
        <f t="shared" si="25"/>
        <v>11.797500000000001</v>
      </c>
      <c r="I183" s="40">
        <f t="shared" si="25"/>
        <v>9.6524999999999999</v>
      </c>
      <c r="J183" s="40">
        <f t="shared" si="25"/>
        <v>7.5075000000000003</v>
      </c>
      <c r="K183" s="40">
        <f t="shared" si="25"/>
        <v>5.3624999999999998</v>
      </c>
      <c r="L183" s="40">
        <f t="shared" si="25"/>
        <v>3.2175000000000002</v>
      </c>
      <c r="M183" s="40">
        <f t="shared" si="25"/>
        <v>1.0725</v>
      </c>
    </row>
    <row r="185" spans="1:13" x14ac:dyDescent="0.3">
      <c r="A185" s="23" t="s">
        <v>118</v>
      </c>
      <c r="B185" s="23"/>
    </row>
    <row r="186" spans="1:13" x14ac:dyDescent="0.3">
      <c r="A186" t="s">
        <v>119</v>
      </c>
      <c r="D186" s="40">
        <f>D151</f>
        <v>17.3</v>
      </c>
      <c r="E186" s="40">
        <f t="shared" ref="E186:M186" si="26">E151</f>
        <v>22.9</v>
      </c>
      <c r="F186" s="40">
        <f t="shared" si="26"/>
        <v>26.7</v>
      </c>
      <c r="G186" s="40">
        <f t="shared" si="26"/>
        <v>30.5</v>
      </c>
      <c r="H186" s="40">
        <f t="shared" si="26"/>
        <v>30.5</v>
      </c>
      <c r="I186" s="40">
        <f t="shared" si="26"/>
        <v>30.5</v>
      </c>
      <c r="J186" s="40">
        <f t="shared" si="26"/>
        <v>30.5</v>
      </c>
      <c r="K186" s="40">
        <f t="shared" si="26"/>
        <v>30.5</v>
      </c>
      <c r="L186" s="40">
        <f t="shared" si="26"/>
        <v>30.5</v>
      </c>
      <c r="M186" s="40">
        <f t="shared" si="26"/>
        <v>30.5</v>
      </c>
    </row>
    <row r="187" spans="1:13" x14ac:dyDescent="0.3">
      <c r="A187" t="s">
        <v>226</v>
      </c>
      <c r="D187" s="40">
        <f t="shared" ref="D187:M187" si="27">D186*$C106/100</f>
        <v>2.0760000000000001</v>
      </c>
      <c r="E187" s="40">
        <f t="shared" si="27"/>
        <v>2.7479999999999993</v>
      </c>
      <c r="F187" s="40">
        <f t="shared" si="27"/>
        <v>3.2039999999999997</v>
      </c>
      <c r="G187" s="40">
        <f t="shared" si="27"/>
        <v>3.66</v>
      </c>
      <c r="H187" s="40">
        <f t="shared" si="27"/>
        <v>3.66</v>
      </c>
      <c r="I187" s="40">
        <f t="shared" si="27"/>
        <v>3.66</v>
      </c>
      <c r="J187" s="40">
        <f t="shared" si="27"/>
        <v>3.66</v>
      </c>
      <c r="K187" s="40">
        <f t="shared" si="27"/>
        <v>3.66</v>
      </c>
      <c r="L187" s="40">
        <f t="shared" si="27"/>
        <v>3.66</v>
      </c>
      <c r="M187" s="40">
        <f t="shared" si="27"/>
        <v>3.66</v>
      </c>
    </row>
    <row r="189" spans="1:13" x14ac:dyDescent="0.3">
      <c r="A189" s="23" t="s">
        <v>328</v>
      </c>
      <c r="B189" s="23"/>
      <c r="D189" s="40">
        <f>D183+D187</f>
        <v>19.236000000000001</v>
      </c>
      <c r="E189" s="40">
        <f t="shared" ref="E189:M189" si="28">E183+E187</f>
        <v>19.908000000000001</v>
      </c>
      <c r="F189" s="40">
        <f t="shared" si="28"/>
        <v>19.291500000000003</v>
      </c>
      <c r="G189" s="40">
        <f t="shared" si="28"/>
        <v>17.602499999999999</v>
      </c>
      <c r="H189" s="40">
        <f t="shared" si="28"/>
        <v>15.457500000000001</v>
      </c>
      <c r="I189" s="40">
        <f t="shared" si="28"/>
        <v>13.3125</v>
      </c>
      <c r="J189" s="40">
        <f t="shared" si="28"/>
        <v>11.1675</v>
      </c>
      <c r="K189" s="40">
        <f t="shared" si="28"/>
        <v>9.0225000000000009</v>
      </c>
      <c r="L189" s="40">
        <f t="shared" si="28"/>
        <v>6.8775000000000004</v>
      </c>
      <c r="M189" s="40">
        <f t="shared" si="28"/>
        <v>4.7324999999999999</v>
      </c>
    </row>
    <row r="191" spans="1:13" x14ac:dyDescent="0.3">
      <c r="A191" s="124" t="s">
        <v>329</v>
      </c>
      <c r="B191" s="124"/>
    </row>
    <row r="193" spans="1:13" x14ac:dyDescent="0.3">
      <c r="A193" t="s">
        <v>330</v>
      </c>
    </row>
    <row r="195" spans="1:13" x14ac:dyDescent="0.3">
      <c r="A195" s="23" t="s">
        <v>38</v>
      </c>
      <c r="B195" s="23"/>
    </row>
    <row r="197" spans="1:13" x14ac:dyDescent="0.3">
      <c r="A197" t="s">
        <v>331</v>
      </c>
      <c r="D197" s="40">
        <f>C11</f>
        <v>10.9</v>
      </c>
      <c r="E197" s="40">
        <f>D199</f>
        <v>10.9</v>
      </c>
      <c r="F197" s="40">
        <f t="shared" ref="F197:M197" si="29">E199</f>
        <v>10.9</v>
      </c>
      <c r="G197" s="40">
        <f t="shared" si="29"/>
        <v>10.9</v>
      </c>
      <c r="H197" s="40">
        <f t="shared" si="29"/>
        <v>10.9</v>
      </c>
      <c r="I197" s="40">
        <f t="shared" si="29"/>
        <v>10.9</v>
      </c>
      <c r="J197" s="40">
        <f t="shared" si="29"/>
        <v>10.9</v>
      </c>
      <c r="K197" s="40">
        <f t="shared" si="29"/>
        <v>10.9</v>
      </c>
      <c r="L197" s="40">
        <f t="shared" si="29"/>
        <v>10.9</v>
      </c>
      <c r="M197" s="40">
        <f t="shared" si="29"/>
        <v>10.9</v>
      </c>
    </row>
    <row r="198" spans="1:13" x14ac:dyDescent="0.3">
      <c r="A198" t="s">
        <v>124</v>
      </c>
      <c r="D198">
        <f>D142</f>
        <v>0</v>
      </c>
      <c r="E198">
        <f t="shared" ref="E198:M198" si="30">E142</f>
        <v>0</v>
      </c>
      <c r="F198">
        <f t="shared" si="30"/>
        <v>0</v>
      </c>
      <c r="G198">
        <f t="shared" si="30"/>
        <v>0</v>
      </c>
      <c r="H198">
        <f t="shared" si="30"/>
        <v>0</v>
      </c>
      <c r="I198">
        <f t="shared" si="30"/>
        <v>0</v>
      </c>
      <c r="J198">
        <f t="shared" si="30"/>
        <v>0</v>
      </c>
      <c r="K198">
        <f t="shared" si="30"/>
        <v>0</v>
      </c>
      <c r="L198">
        <f t="shared" si="30"/>
        <v>0</v>
      </c>
      <c r="M198">
        <f t="shared" si="30"/>
        <v>0</v>
      </c>
    </row>
    <row r="199" spans="1:13" x14ac:dyDescent="0.3">
      <c r="A199" t="s">
        <v>125</v>
      </c>
      <c r="D199" s="40">
        <f>D197+D198</f>
        <v>10.9</v>
      </c>
      <c r="E199" s="40">
        <f t="shared" ref="E199:M199" si="31">E197+E198</f>
        <v>10.9</v>
      </c>
      <c r="F199" s="40">
        <f t="shared" si="31"/>
        <v>10.9</v>
      </c>
      <c r="G199" s="40">
        <f t="shared" si="31"/>
        <v>10.9</v>
      </c>
      <c r="H199" s="40">
        <f t="shared" si="31"/>
        <v>10.9</v>
      </c>
      <c r="I199" s="40">
        <f t="shared" si="31"/>
        <v>10.9</v>
      </c>
      <c r="J199" s="40">
        <f t="shared" si="31"/>
        <v>10.9</v>
      </c>
      <c r="K199" s="40">
        <f t="shared" si="31"/>
        <v>10.9</v>
      </c>
      <c r="L199" s="40">
        <f t="shared" si="31"/>
        <v>10.9</v>
      </c>
      <c r="M199" s="40">
        <f t="shared" si="31"/>
        <v>10.9</v>
      </c>
    </row>
    <row r="200" spans="1:13" x14ac:dyDescent="0.3">
      <c r="A200" t="s">
        <v>126</v>
      </c>
      <c r="D200">
        <f t="shared" ref="D200:M200" si="32">IF($C42&gt;1,(IF($C42&gt;2,$E90,$D90)),$C90)</f>
        <v>3.34</v>
      </c>
      <c r="E200">
        <f t="shared" si="32"/>
        <v>3.34</v>
      </c>
      <c r="F200">
        <f t="shared" si="32"/>
        <v>3.34</v>
      </c>
      <c r="G200">
        <f t="shared" si="32"/>
        <v>3.34</v>
      </c>
      <c r="H200">
        <f t="shared" si="32"/>
        <v>3.34</v>
      </c>
      <c r="I200">
        <f t="shared" si="32"/>
        <v>3.34</v>
      </c>
      <c r="J200">
        <f t="shared" si="32"/>
        <v>3.34</v>
      </c>
      <c r="K200">
        <f t="shared" si="32"/>
        <v>3.34</v>
      </c>
      <c r="L200">
        <f t="shared" si="32"/>
        <v>3.34</v>
      </c>
      <c r="M200">
        <f t="shared" si="32"/>
        <v>3.34</v>
      </c>
    </row>
    <row r="201" spans="1:13" x14ac:dyDescent="0.3">
      <c r="A201" s="125" t="s">
        <v>332</v>
      </c>
      <c r="B201" s="125"/>
      <c r="C201" s="40"/>
      <c r="D201" s="40">
        <f>D199*D200/100</f>
        <v>0.36405999999999999</v>
      </c>
      <c r="E201" s="40">
        <f>E199*E200/100</f>
        <v>0.36405999999999999</v>
      </c>
      <c r="F201" s="40">
        <f t="shared" ref="F201:M201" si="33">F199*F200/100</f>
        <v>0.36405999999999999</v>
      </c>
      <c r="G201" s="40">
        <f t="shared" si="33"/>
        <v>0.36405999999999999</v>
      </c>
      <c r="H201" s="40">
        <f t="shared" si="33"/>
        <v>0.36405999999999999</v>
      </c>
      <c r="I201" s="40">
        <f t="shared" si="33"/>
        <v>0.36405999999999999</v>
      </c>
      <c r="J201" s="40">
        <f t="shared" si="33"/>
        <v>0.36405999999999999</v>
      </c>
      <c r="K201" s="40">
        <f t="shared" si="33"/>
        <v>0.36405999999999999</v>
      </c>
      <c r="L201" s="40">
        <f t="shared" si="33"/>
        <v>0.36405999999999999</v>
      </c>
      <c r="M201" s="40">
        <f t="shared" si="33"/>
        <v>0.36405999999999999</v>
      </c>
    </row>
    <row r="203" spans="1:13" x14ac:dyDescent="0.3">
      <c r="A203" s="23" t="s">
        <v>232</v>
      </c>
      <c r="B203" s="23"/>
    </row>
    <row r="205" spans="1:13" x14ac:dyDescent="0.3">
      <c r="A205" t="s">
        <v>331</v>
      </c>
      <c r="D205" s="40">
        <f>C12</f>
        <v>154.80000000000001</v>
      </c>
      <c r="E205" s="40">
        <f>D207</f>
        <v>154.80000000000001</v>
      </c>
      <c r="F205" s="40">
        <f t="shared" ref="F205:M205" si="34">E207</f>
        <v>154.80000000000001</v>
      </c>
      <c r="G205" s="40">
        <f t="shared" si="34"/>
        <v>157.30000000000001</v>
      </c>
      <c r="H205" s="40">
        <f t="shared" si="34"/>
        <v>159.80000000000001</v>
      </c>
      <c r="I205" s="40">
        <f t="shared" si="34"/>
        <v>162.30000000000001</v>
      </c>
      <c r="J205" s="40">
        <f t="shared" si="34"/>
        <v>164.8</v>
      </c>
      <c r="K205" s="40">
        <f t="shared" si="34"/>
        <v>169.8</v>
      </c>
      <c r="L205" s="40">
        <f t="shared" si="34"/>
        <v>174.8</v>
      </c>
      <c r="M205" s="40">
        <f t="shared" si="34"/>
        <v>179.8</v>
      </c>
    </row>
    <row r="206" spans="1:13" x14ac:dyDescent="0.3">
      <c r="A206" t="s">
        <v>124</v>
      </c>
      <c r="D206">
        <f>D141</f>
        <v>0</v>
      </c>
      <c r="E206">
        <f t="shared" ref="E206:M206" si="35">E141</f>
        <v>0</v>
      </c>
      <c r="F206">
        <f t="shared" si="35"/>
        <v>2.5</v>
      </c>
      <c r="G206">
        <f t="shared" si="35"/>
        <v>2.5</v>
      </c>
      <c r="H206">
        <f t="shared" si="35"/>
        <v>2.5</v>
      </c>
      <c r="I206">
        <f t="shared" si="35"/>
        <v>2.5</v>
      </c>
      <c r="J206">
        <f t="shared" si="35"/>
        <v>5</v>
      </c>
      <c r="K206">
        <f t="shared" si="35"/>
        <v>5</v>
      </c>
      <c r="L206">
        <f t="shared" si="35"/>
        <v>5</v>
      </c>
      <c r="M206">
        <f t="shared" si="35"/>
        <v>5</v>
      </c>
    </row>
    <row r="207" spans="1:13" x14ac:dyDescent="0.3">
      <c r="A207" t="s">
        <v>125</v>
      </c>
      <c r="D207" s="40">
        <f>D205+D206</f>
        <v>154.80000000000001</v>
      </c>
      <c r="E207" s="40">
        <f t="shared" ref="E207:M207" si="36">E205+E206</f>
        <v>154.80000000000001</v>
      </c>
      <c r="F207" s="40">
        <f t="shared" si="36"/>
        <v>157.30000000000001</v>
      </c>
      <c r="G207" s="40">
        <f t="shared" si="36"/>
        <v>159.80000000000001</v>
      </c>
      <c r="H207" s="40">
        <f t="shared" si="36"/>
        <v>162.30000000000001</v>
      </c>
      <c r="I207" s="40">
        <f t="shared" si="36"/>
        <v>164.8</v>
      </c>
      <c r="J207" s="40">
        <f t="shared" si="36"/>
        <v>169.8</v>
      </c>
      <c r="K207" s="40">
        <f t="shared" si="36"/>
        <v>174.8</v>
      </c>
      <c r="L207" s="40">
        <f t="shared" si="36"/>
        <v>179.8</v>
      </c>
      <c r="M207" s="40">
        <f t="shared" si="36"/>
        <v>184.8</v>
      </c>
    </row>
    <row r="208" spans="1:13" x14ac:dyDescent="0.3">
      <c r="A208" t="s">
        <v>126</v>
      </c>
      <c r="D208">
        <f t="shared" ref="D208:M208" si="37">IF($C42&gt;1,(IF($C42&gt;2,$E91,$D91)),$C91)</f>
        <v>8.09</v>
      </c>
      <c r="E208">
        <f t="shared" si="37"/>
        <v>8.09</v>
      </c>
      <c r="F208">
        <f t="shared" si="37"/>
        <v>8.09</v>
      </c>
      <c r="G208">
        <f t="shared" si="37"/>
        <v>8.09</v>
      </c>
      <c r="H208">
        <f t="shared" si="37"/>
        <v>8.09</v>
      </c>
      <c r="I208">
        <f t="shared" si="37"/>
        <v>8.09</v>
      </c>
      <c r="J208">
        <f t="shared" si="37"/>
        <v>8.09</v>
      </c>
      <c r="K208">
        <f t="shared" si="37"/>
        <v>8.09</v>
      </c>
      <c r="L208">
        <f t="shared" si="37"/>
        <v>8.09</v>
      </c>
      <c r="M208">
        <f t="shared" si="37"/>
        <v>8.09</v>
      </c>
    </row>
    <row r="209" spans="1:13" x14ac:dyDescent="0.3">
      <c r="A209" s="125" t="s">
        <v>333</v>
      </c>
      <c r="B209" s="125"/>
      <c r="C209" s="40"/>
      <c r="D209" s="40">
        <f>(D207*D208)/100</f>
        <v>12.523320000000002</v>
      </c>
      <c r="E209" s="40">
        <f t="shared" ref="E209:M209" si="38">E207*$D91/100</f>
        <v>12.523320000000002</v>
      </c>
      <c r="F209" s="40">
        <f t="shared" si="38"/>
        <v>12.725569999999999</v>
      </c>
      <c r="G209" s="40">
        <f t="shared" si="38"/>
        <v>12.927820000000002</v>
      </c>
      <c r="H209" s="40">
        <f t="shared" si="38"/>
        <v>13.13007</v>
      </c>
      <c r="I209" s="40">
        <f t="shared" si="38"/>
        <v>13.332319999999999</v>
      </c>
      <c r="J209" s="40">
        <f t="shared" si="38"/>
        <v>13.73682</v>
      </c>
      <c r="K209" s="40">
        <f t="shared" si="38"/>
        <v>14.14132</v>
      </c>
      <c r="L209" s="40">
        <f t="shared" si="38"/>
        <v>14.545820000000001</v>
      </c>
      <c r="M209" s="40">
        <f t="shared" si="38"/>
        <v>14.950320000000001</v>
      </c>
    </row>
    <row r="211" spans="1:13" x14ac:dyDescent="0.3">
      <c r="A211" t="s">
        <v>334</v>
      </c>
      <c r="D211" s="40">
        <f>D201+D209</f>
        <v>12.887380000000002</v>
      </c>
      <c r="E211" s="40">
        <f t="shared" ref="E211:M211" si="39">E201+E209</f>
        <v>12.887380000000002</v>
      </c>
      <c r="F211" s="40">
        <f t="shared" si="39"/>
        <v>13.08963</v>
      </c>
      <c r="G211" s="40">
        <f t="shared" si="39"/>
        <v>13.291880000000003</v>
      </c>
      <c r="H211" s="40">
        <f t="shared" si="39"/>
        <v>13.49413</v>
      </c>
      <c r="I211" s="40">
        <f t="shared" si="39"/>
        <v>13.69638</v>
      </c>
      <c r="J211" s="40">
        <f t="shared" si="39"/>
        <v>14.10088</v>
      </c>
      <c r="K211" s="40">
        <f t="shared" si="39"/>
        <v>14.505380000000001</v>
      </c>
      <c r="L211" s="40">
        <f t="shared" si="39"/>
        <v>14.909880000000001</v>
      </c>
      <c r="M211" s="40">
        <f t="shared" si="39"/>
        <v>15.314380000000002</v>
      </c>
    </row>
    <row r="213" spans="1:13" x14ac:dyDescent="0.3">
      <c r="A213" s="23" t="s">
        <v>329</v>
      </c>
      <c r="B213" s="23"/>
    </row>
    <row r="215" spans="1:13" x14ac:dyDescent="0.3">
      <c r="A215" t="s">
        <v>335</v>
      </c>
    </row>
    <row r="217" spans="1:13" x14ac:dyDescent="0.3">
      <c r="A217" s="23" t="s">
        <v>38</v>
      </c>
      <c r="B217" s="23"/>
    </row>
    <row r="219" spans="1:13" x14ac:dyDescent="0.3">
      <c r="A219" t="s">
        <v>331</v>
      </c>
      <c r="D219" s="40">
        <f>C11</f>
        <v>10.9</v>
      </c>
      <c r="E219" s="40">
        <f>D224</f>
        <v>9.81</v>
      </c>
      <c r="F219" s="40">
        <f t="shared" ref="F219:M219" si="40">E224</f>
        <v>8.8290000000000006</v>
      </c>
      <c r="G219" s="40">
        <f t="shared" si="40"/>
        <v>7.9461000000000004</v>
      </c>
      <c r="H219" s="40">
        <f t="shared" si="40"/>
        <v>7.1514900000000008</v>
      </c>
      <c r="I219" s="40">
        <f t="shared" si="40"/>
        <v>6.4363410000000005</v>
      </c>
      <c r="J219" s="40">
        <f t="shared" si="40"/>
        <v>5.7927069000000007</v>
      </c>
      <c r="K219" s="40">
        <f t="shared" si="40"/>
        <v>5.2134362100000011</v>
      </c>
      <c r="L219" s="40">
        <f t="shared" si="40"/>
        <v>4.6920925890000014</v>
      </c>
      <c r="M219" s="40">
        <f t="shared" si="40"/>
        <v>4.2228833301000011</v>
      </c>
    </row>
    <row r="220" spans="1:13" x14ac:dyDescent="0.3">
      <c r="A220" t="s">
        <v>124</v>
      </c>
      <c r="D220">
        <f>D142</f>
        <v>0</v>
      </c>
      <c r="E220">
        <f t="shared" ref="E220:M220" si="41">E142</f>
        <v>0</v>
      </c>
      <c r="F220">
        <f t="shared" si="41"/>
        <v>0</v>
      </c>
      <c r="G220">
        <f t="shared" si="41"/>
        <v>0</v>
      </c>
      <c r="H220">
        <f t="shared" si="41"/>
        <v>0</v>
      </c>
      <c r="I220">
        <f t="shared" si="41"/>
        <v>0</v>
      </c>
      <c r="J220">
        <f t="shared" si="41"/>
        <v>0</v>
      </c>
      <c r="K220">
        <f t="shared" si="41"/>
        <v>0</v>
      </c>
      <c r="L220">
        <f t="shared" si="41"/>
        <v>0</v>
      </c>
      <c r="M220">
        <f t="shared" si="41"/>
        <v>0</v>
      </c>
    </row>
    <row r="221" spans="1:13" x14ac:dyDescent="0.3">
      <c r="A221" t="s">
        <v>125</v>
      </c>
      <c r="D221" s="40">
        <f>D219+D220</f>
        <v>10.9</v>
      </c>
      <c r="E221" s="40">
        <f t="shared" ref="E221:M221" si="42">E219+E220</f>
        <v>9.81</v>
      </c>
      <c r="F221" s="40">
        <f t="shared" si="42"/>
        <v>8.8290000000000006</v>
      </c>
      <c r="G221" s="40">
        <f t="shared" si="42"/>
        <v>7.9461000000000004</v>
      </c>
      <c r="H221" s="40">
        <f t="shared" si="42"/>
        <v>7.1514900000000008</v>
      </c>
      <c r="I221" s="40">
        <f t="shared" si="42"/>
        <v>6.4363410000000005</v>
      </c>
      <c r="J221" s="40">
        <f t="shared" si="42"/>
        <v>5.7927069000000007</v>
      </c>
      <c r="K221" s="40">
        <f t="shared" si="42"/>
        <v>5.2134362100000011</v>
      </c>
      <c r="L221" s="40">
        <f t="shared" si="42"/>
        <v>4.6920925890000014</v>
      </c>
      <c r="M221" s="40">
        <f t="shared" si="42"/>
        <v>4.2228833301000011</v>
      </c>
    </row>
    <row r="222" spans="1:13" x14ac:dyDescent="0.3">
      <c r="A222" t="s">
        <v>126</v>
      </c>
      <c r="D222" s="40">
        <f t="shared" ref="D222:M222" si="43">IF($C42&gt;1,(IF($C42&gt;2,$E96,$D96)),$C96)</f>
        <v>10</v>
      </c>
      <c r="E222" s="40">
        <f t="shared" si="43"/>
        <v>10</v>
      </c>
      <c r="F222" s="40">
        <f t="shared" si="43"/>
        <v>10</v>
      </c>
      <c r="G222" s="40">
        <f t="shared" si="43"/>
        <v>10</v>
      </c>
      <c r="H222" s="40">
        <f t="shared" si="43"/>
        <v>10</v>
      </c>
      <c r="I222" s="40">
        <f t="shared" si="43"/>
        <v>10</v>
      </c>
      <c r="J222" s="40">
        <f t="shared" si="43"/>
        <v>10</v>
      </c>
      <c r="K222" s="40">
        <f t="shared" si="43"/>
        <v>10</v>
      </c>
      <c r="L222" s="40">
        <f t="shared" si="43"/>
        <v>10</v>
      </c>
      <c r="M222" s="40">
        <f t="shared" si="43"/>
        <v>10</v>
      </c>
    </row>
    <row r="223" spans="1:13" x14ac:dyDescent="0.3">
      <c r="A223" s="55" t="s">
        <v>332</v>
      </c>
      <c r="B223" s="55"/>
      <c r="C223" s="40"/>
      <c r="D223">
        <f>D221*D222/100</f>
        <v>1.0900000000000001</v>
      </c>
      <c r="E223" s="40">
        <f t="shared" ref="E223:M223" si="44">E221*E222/100</f>
        <v>0.98100000000000009</v>
      </c>
      <c r="F223" s="40">
        <f t="shared" si="44"/>
        <v>0.88290000000000002</v>
      </c>
      <c r="G223" s="40">
        <f t="shared" si="44"/>
        <v>0.79461000000000004</v>
      </c>
      <c r="H223" s="40">
        <f t="shared" si="44"/>
        <v>0.71514900000000015</v>
      </c>
      <c r="I223" s="40">
        <f t="shared" si="44"/>
        <v>0.64363409999999999</v>
      </c>
      <c r="J223" s="40">
        <f t="shared" si="44"/>
        <v>0.57927068999999998</v>
      </c>
      <c r="K223" s="40">
        <f t="shared" si="44"/>
        <v>0.52134362100000009</v>
      </c>
      <c r="L223" s="40">
        <f t="shared" si="44"/>
        <v>0.46920925890000015</v>
      </c>
      <c r="M223" s="40">
        <f t="shared" si="44"/>
        <v>0.42228833301000007</v>
      </c>
    </row>
    <row r="224" spans="1:13" x14ac:dyDescent="0.3">
      <c r="A224" s="55" t="s">
        <v>336</v>
      </c>
      <c r="B224" s="55"/>
      <c r="D224" s="40">
        <f>D221-D223</f>
        <v>9.81</v>
      </c>
      <c r="E224" s="40">
        <f t="shared" ref="E224:M224" si="45">E221-E223</f>
        <v>8.8290000000000006</v>
      </c>
      <c r="F224" s="40">
        <f t="shared" si="45"/>
        <v>7.9461000000000004</v>
      </c>
      <c r="G224" s="40">
        <f t="shared" si="45"/>
        <v>7.1514900000000008</v>
      </c>
      <c r="H224" s="40">
        <f t="shared" si="45"/>
        <v>6.4363410000000005</v>
      </c>
      <c r="I224" s="40">
        <f t="shared" si="45"/>
        <v>5.7927069000000007</v>
      </c>
      <c r="J224" s="40">
        <f t="shared" si="45"/>
        <v>5.2134362100000011</v>
      </c>
      <c r="K224" s="40">
        <f t="shared" si="45"/>
        <v>4.6920925890000014</v>
      </c>
      <c r="L224" s="40">
        <f t="shared" si="45"/>
        <v>4.2228833301000011</v>
      </c>
      <c r="M224" s="40">
        <f t="shared" si="45"/>
        <v>3.800594997090001</v>
      </c>
    </row>
    <row r="226" spans="1:13" x14ac:dyDescent="0.3">
      <c r="A226" s="23" t="s">
        <v>232</v>
      </c>
      <c r="B226" s="23"/>
    </row>
    <row r="228" spans="1:13" x14ac:dyDescent="0.3">
      <c r="A228" t="s">
        <v>331</v>
      </c>
      <c r="D228" s="40">
        <f>C12</f>
        <v>154.80000000000001</v>
      </c>
      <c r="E228" s="40">
        <f>D233</f>
        <v>116.10000000000001</v>
      </c>
      <c r="F228" s="40">
        <f t="shared" ref="F228:M228" si="46">E233</f>
        <v>87.075000000000017</v>
      </c>
      <c r="G228" s="40">
        <f t="shared" si="46"/>
        <v>67.181250000000006</v>
      </c>
      <c r="H228" s="40">
        <f t="shared" si="46"/>
        <v>52.260937500000004</v>
      </c>
      <c r="I228" s="40">
        <f t="shared" si="46"/>
        <v>41.070703125000009</v>
      </c>
      <c r="J228" s="40">
        <f t="shared" si="46"/>
        <v>32.678027343750003</v>
      </c>
      <c r="K228" s="40">
        <f t="shared" si="46"/>
        <v>28.258520507812502</v>
      </c>
      <c r="L228" s="40">
        <f t="shared" si="46"/>
        <v>24.943890380859379</v>
      </c>
      <c r="M228" s="40">
        <f t="shared" si="46"/>
        <v>22.457917785644533</v>
      </c>
    </row>
    <row r="229" spans="1:13" x14ac:dyDescent="0.3">
      <c r="A229" t="s">
        <v>124</v>
      </c>
      <c r="D229">
        <f>D141</f>
        <v>0</v>
      </c>
      <c r="E229">
        <f t="shared" ref="E229:M229" si="47">E141</f>
        <v>0</v>
      </c>
      <c r="F229">
        <f t="shared" si="47"/>
        <v>2.5</v>
      </c>
      <c r="G229">
        <f t="shared" si="47"/>
        <v>2.5</v>
      </c>
      <c r="H229">
        <f t="shared" si="47"/>
        <v>2.5</v>
      </c>
      <c r="I229">
        <f t="shared" si="47"/>
        <v>2.5</v>
      </c>
      <c r="J229">
        <f t="shared" si="47"/>
        <v>5</v>
      </c>
      <c r="K229">
        <f t="shared" si="47"/>
        <v>5</v>
      </c>
      <c r="L229">
        <f t="shared" si="47"/>
        <v>5</v>
      </c>
      <c r="M229">
        <f t="shared" si="47"/>
        <v>5</v>
      </c>
    </row>
    <row r="230" spans="1:13" x14ac:dyDescent="0.3">
      <c r="A230" t="s">
        <v>125</v>
      </c>
      <c r="D230" s="40">
        <f t="shared" ref="D230:M230" si="48">D228+D229</f>
        <v>154.80000000000001</v>
      </c>
      <c r="E230" s="40">
        <f t="shared" si="48"/>
        <v>116.10000000000001</v>
      </c>
      <c r="F230" s="40">
        <f t="shared" si="48"/>
        <v>89.575000000000017</v>
      </c>
      <c r="G230" s="40">
        <f t="shared" si="48"/>
        <v>69.681250000000006</v>
      </c>
      <c r="H230" s="40">
        <f t="shared" si="48"/>
        <v>54.760937500000004</v>
      </c>
      <c r="I230" s="40">
        <f t="shared" si="48"/>
        <v>43.570703125000009</v>
      </c>
      <c r="J230" s="40">
        <f t="shared" si="48"/>
        <v>37.678027343750003</v>
      </c>
      <c r="K230" s="40">
        <f t="shared" si="48"/>
        <v>33.258520507812506</v>
      </c>
      <c r="L230" s="40">
        <f t="shared" si="48"/>
        <v>29.943890380859379</v>
      </c>
      <c r="M230" s="40">
        <f t="shared" si="48"/>
        <v>27.457917785644533</v>
      </c>
    </row>
    <row r="231" spans="1:13" x14ac:dyDescent="0.3">
      <c r="A231" t="s">
        <v>126</v>
      </c>
      <c r="D231" s="40">
        <f t="shared" ref="D231:M231" si="49">IF($C42&gt;1,(IF($C42&gt;2,$E97,$D97)),$C97)</f>
        <v>25</v>
      </c>
      <c r="E231" s="40">
        <f t="shared" si="49"/>
        <v>25</v>
      </c>
      <c r="F231" s="40">
        <f t="shared" si="49"/>
        <v>25</v>
      </c>
      <c r="G231" s="40">
        <f t="shared" si="49"/>
        <v>25</v>
      </c>
      <c r="H231" s="40">
        <f t="shared" si="49"/>
        <v>25</v>
      </c>
      <c r="I231" s="40">
        <f t="shared" si="49"/>
        <v>25</v>
      </c>
      <c r="J231" s="40">
        <f t="shared" si="49"/>
        <v>25</v>
      </c>
      <c r="K231" s="40">
        <f t="shared" si="49"/>
        <v>25</v>
      </c>
      <c r="L231" s="40">
        <f t="shared" si="49"/>
        <v>25</v>
      </c>
      <c r="M231" s="40">
        <f t="shared" si="49"/>
        <v>25</v>
      </c>
    </row>
    <row r="232" spans="1:13" x14ac:dyDescent="0.3">
      <c r="A232" s="55" t="s">
        <v>337</v>
      </c>
      <c r="B232" s="55"/>
      <c r="C232" s="40"/>
      <c r="D232">
        <f>D230*D231/100</f>
        <v>38.700000000000003</v>
      </c>
      <c r="E232" s="40">
        <f t="shared" ref="E232:M232" si="50">E230*E231/100</f>
        <v>29.024999999999999</v>
      </c>
      <c r="F232" s="40">
        <f t="shared" si="50"/>
        <v>22.393750000000004</v>
      </c>
      <c r="G232" s="40">
        <f t="shared" si="50"/>
        <v>17.420312500000001</v>
      </c>
      <c r="H232" s="40">
        <f t="shared" si="50"/>
        <v>13.690234374999999</v>
      </c>
      <c r="I232" s="40">
        <f t="shared" si="50"/>
        <v>10.892675781250002</v>
      </c>
      <c r="J232" s="40">
        <f t="shared" si="50"/>
        <v>9.4195068359375007</v>
      </c>
      <c r="K232" s="40">
        <f t="shared" si="50"/>
        <v>8.3146301269531264</v>
      </c>
      <c r="L232" s="40">
        <f t="shared" si="50"/>
        <v>7.4859725952148448</v>
      </c>
      <c r="M232" s="40">
        <f t="shared" si="50"/>
        <v>6.8644794464111332</v>
      </c>
    </row>
    <row r="233" spans="1:13" x14ac:dyDescent="0.3">
      <c r="A233" s="55" t="s">
        <v>336</v>
      </c>
      <c r="B233" s="55"/>
      <c r="D233" s="40">
        <f>D230-D232</f>
        <v>116.10000000000001</v>
      </c>
      <c r="E233" s="40">
        <f t="shared" ref="E233:M233" si="51">E230-E232</f>
        <v>87.075000000000017</v>
      </c>
      <c r="F233" s="40">
        <f t="shared" si="51"/>
        <v>67.181250000000006</v>
      </c>
      <c r="G233" s="40">
        <f t="shared" si="51"/>
        <v>52.260937500000004</v>
      </c>
      <c r="H233" s="40">
        <f t="shared" si="51"/>
        <v>41.070703125000009</v>
      </c>
      <c r="I233" s="40">
        <f t="shared" si="51"/>
        <v>32.678027343750003</v>
      </c>
      <c r="J233" s="40">
        <f t="shared" si="51"/>
        <v>28.258520507812502</v>
      </c>
      <c r="K233" s="40">
        <f t="shared" si="51"/>
        <v>24.943890380859379</v>
      </c>
      <c r="L233" s="40">
        <f t="shared" si="51"/>
        <v>22.457917785644533</v>
      </c>
      <c r="M233" s="40">
        <f t="shared" si="51"/>
        <v>20.593438339233401</v>
      </c>
    </row>
    <row r="235" spans="1:13" x14ac:dyDescent="0.3">
      <c r="A235" t="s">
        <v>338</v>
      </c>
      <c r="D235">
        <f>D223+D232</f>
        <v>39.790000000000006</v>
      </c>
      <c r="E235" s="40">
        <f t="shared" ref="E235:M235" si="52">E223+E232</f>
        <v>30.006</v>
      </c>
      <c r="F235" s="40">
        <f t="shared" si="52"/>
        <v>23.276650000000004</v>
      </c>
      <c r="G235" s="40">
        <f t="shared" si="52"/>
        <v>18.2149225</v>
      </c>
      <c r="H235" s="40">
        <f t="shared" si="52"/>
        <v>14.405383375</v>
      </c>
      <c r="I235" s="40">
        <f t="shared" si="52"/>
        <v>11.536309881250002</v>
      </c>
      <c r="J235" s="40">
        <f t="shared" si="52"/>
        <v>9.9987775259375002</v>
      </c>
      <c r="K235" s="40">
        <f t="shared" si="52"/>
        <v>8.8359737479531262</v>
      </c>
      <c r="L235" s="40">
        <f t="shared" si="52"/>
        <v>7.9551818541148451</v>
      </c>
      <c r="M235" s="40">
        <f t="shared" si="52"/>
        <v>7.2867677794211332</v>
      </c>
    </row>
    <row r="238" spans="1:13" x14ac:dyDescent="0.3">
      <c r="A238" s="123" t="s">
        <v>339</v>
      </c>
      <c r="B238" s="123"/>
    </row>
    <row r="240" spans="1:13" x14ac:dyDescent="0.3">
      <c r="A240" s="23" t="s">
        <v>340</v>
      </c>
      <c r="B240" s="23"/>
      <c r="D240" s="40">
        <f ca="1">D293</f>
        <v>7.209543999999994</v>
      </c>
      <c r="E240" s="40">
        <f t="shared" ref="E240:M240" ca="1" si="53">E293</f>
        <v>19.053786000000002</v>
      </c>
      <c r="F240" s="40">
        <f t="shared" ca="1" si="53"/>
        <v>34.496344000000008</v>
      </c>
      <c r="G240" s="40">
        <f t="shared" ca="1" si="53"/>
        <v>35.48794400000002</v>
      </c>
      <c r="H240" s="40">
        <f t="shared" ca="1" si="53"/>
        <v>45.941138749999951</v>
      </c>
      <c r="I240" s="40">
        <f t="shared" ca="1" si="53"/>
        <v>50.159686156250018</v>
      </c>
      <c r="J240" s="40">
        <f t="shared" ca="1" si="53"/>
        <v>45.43961331796875</v>
      </c>
      <c r="K240" s="40">
        <f t="shared" ca="1" si="53"/>
        <v>44.160387971816427</v>
      </c>
      <c r="L240" s="40">
        <f t="shared" ca="1" si="53"/>
        <v>48.647625100202653</v>
      </c>
      <c r="M240" s="40">
        <f t="shared" ca="1" si="53"/>
        <v>61.226504436267831</v>
      </c>
    </row>
    <row r="241" spans="1:13" x14ac:dyDescent="0.3">
      <c r="A241" s="23" t="s">
        <v>341</v>
      </c>
      <c r="B241" s="23"/>
      <c r="D241" s="40">
        <f>D279</f>
        <v>12.887380000000002</v>
      </c>
      <c r="E241" s="40">
        <f t="shared" ref="E241:M241" si="54">E279</f>
        <v>12.887380000000002</v>
      </c>
      <c r="F241" s="40">
        <f t="shared" si="54"/>
        <v>13.08963</v>
      </c>
      <c r="G241" s="40">
        <f t="shared" si="54"/>
        <v>13.291880000000003</v>
      </c>
      <c r="H241" s="40">
        <f t="shared" si="54"/>
        <v>13.49413</v>
      </c>
      <c r="I241" s="40">
        <f t="shared" si="54"/>
        <v>13.69638</v>
      </c>
      <c r="J241" s="40">
        <f t="shared" si="54"/>
        <v>14.10088</v>
      </c>
      <c r="K241" s="40">
        <f t="shared" si="54"/>
        <v>14.505380000000001</v>
      </c>
      <c r="L241" s="40">
        <f t="shared" si="54"/>
        <v>14.909880000000001</v>
      </c>
      <c r="M241" s="40">
        <f t="shared" si="54"/>
        <v>15.314380000000002</v>
      </c>
    </row>
    <row r="242" spans="1:13" x14ac:dyDescent="0.3">
      <c r="A242" s="23" t="s">
        <v>342</v>
      </c>
      <c r="B242" s="23"/>
      <c r="D242" s="40">
        <f>-1*D235</f>
        <v>-39.790000000000006</v>
      </c>
      <c r="E242" s="40">
        <f t="shared" ref="E242:M242" si="55">-1*E235</f>
        <v>-30.006</v>
      </c>
      <c r="F242" s="40">
        <f t="shared" si="55"/>
        <v>-23.276650000000004</v>
      </c>
      <c r="G242" s="40">
        <f t="shared" si="55"/>
        <v>-18.2149225</v>
      </c>
      <c r="H242" s="40">
        <f t="shared" si="55"/>
        <v>-14.405383375</v>
      </c>
      <c r="I242" s="40">
        <f t="shared" si="55"/>
        <v>-11.536309881250002</v>
      </c>
      <c r="J242" s="40">
        <f t="shared" si="55"/>
        <v>-9.9987775259375002</v>
      </c>
      <c r="K242" s="40">
        <f t="shared" si="55"/>
        <v>-8.8359737479531262</v>
      </c>
      <c r="L242" s="40">
        <f t="shared" si="55"/>
        <v>-7.9551818541148451</v>
      </c>
      <c r="M242" s="40">
        <f t="shared" si="55"/>
        <v>-7.2867677794211332</v>
      </c>
    </row>
    <row r="243" spans="1:13" x14ac:dyDescent="0.3">
      <c r="A243" s="23"/>
      <c r="B243" s="23"/>
      <c r="D243" s="40"/>
      <c r="E243" s="40"/>
      <c r="F243" s="40"/>
      <c r="G243" s="40"/>
      <c r="H243" s="40"/>
      <c r="I243" s="40"/>
      <c r="J243" s="40"/>
      <c r="K243" s="40"/>
      <c r="L243" s="40"/>
      <c r="M243" s="40"/>
    </row>
    <row r="244" spans="1:13" x14ac:dyDescent="0.3">
      <c r="A244" s="23" t="s">
        <v>160</v>
      </c>
      <c r="B244" s="23"/>
      <c r="D244" s="40">
        <f ca="1">SUM(D240:D242)</f>
        <v>-19.693076000000012</v>
      </c>
      <c r="E244" s="40">
        <f t="shared" ref="E244:M244" ca="1" si="56">SUM(E240:E242)</f>
        <v>1.9351660000000024</v>
      </c>
      <c r="F244" s="40">
        <f t="shared" ca="1" si="56"/>
        <v>24.309324000000004</v>
      </c>
      <c r="G244" s="40">
        <f t="shared" ca="1" si="56"/>
        <v>30.564901500000019</v>
      </c>
      <c r="H244" s="40">
        <f t="shared" ca="1" si="56"/>
        <v>45.029885374999949</v>
      </c>
      <c r="I244" s="40">
        <f t="shared" ca="1" si="56"/>
        <v>52.319756275000017</v>
      </c>
      <c r="J244" s="40">
        <f t="shared" ca="1" si="56"/>
        <v>49.541715792031255</v>
      </c>
      <c r="K244" s="40">
        <f t="shared" ca="1" si="56"/>
        <v>49.829794223863303</v>
      </c>
      <c r="L244" s="40">
        <f t="shared" ca="1" si="56"/>
        <v>55.602323246087806</v>
      </c>
      <c r="M244" s="40">
        <f t="shared" ca="1" si="56"/>
        <v>69.254116656846691</v>
      </c>
    </row>
    <row r="245" spans="1:13" x14ac:dyDescent="0.3">
      <c r="A245" s="123" t="s">
        <v>161</v>
      </c>
      <c r="B245" s="123"/>
      <c r="D245" s="40">
        <f ca="1">IF(C245&lt;=0,(C245+D244),D244)</f>
        <v>-19.693076000000012</v>
      </c>
      <c r="E245" s="40">
        <f t="shared" ref="E245:M245" ca="1" si="57">IF(D245&lt;=0,(D245+E244),E244)</f>
        <v>-17.75791000000001</v>
      </c>
      <c r="F245" s="40">
        <f t="shared" ca="1" si="57"/>
        <v>6.5514139999999941</v>
      </c>
      <c r="G245" s="40">
        <f t="shared" ca="1" si="57"/>
        <v>30.564901500000019</v>
      </c>
      <c r="H245" s="40">
        <f t="shared" ca="1" si="57"/>
        <v>45.029885374999949</v>
      </c>
      <c r="I245" s="40">
        <f t="shared" ca="1" si="57"/>
        <v>52.319756275000017</v>
      </c>
      <c r="J245" s="40">
        <f t="shared" ca="1" si="57"/>
        <v>49.541715792031255</v>
      </c>
      <c r="K245" s="40">
        <f t="shared" ca="1" si="57"/>
        <v>49.829794223863303</v>
      </c>
      <c r="L245" s="40">
        <f t="shared" ca="1" si="57"/>
        <v>55.602323246087806</v>
      </c>
      <c r="M245" s="40">
        <f t="shared" ca="1" si="57"/>
        <v>69.254116656846691</v>
      </c>
    </row>
    <row r="246" spans="1:13" x14ac:dyDescent="0.3">
      <c r="A246" s="23" t="s">
        <v>162</v>
      </c>
      <c r="B246" s="23"/>
      <c r="D246" s="40">
        <f t="shared" ref="D246:M246" ca="1" si="58">IF(D245&lt;0,0,D245*$C113/100)</f>
        <v>0</v>
      </c>
      <c r="E246" s="40">
        <f t="shared" ca="1" si="58"/>
        <v>0</v>
      </c>
      <c r="F246" s="40">
        <f t="shared" ca="1" si="58"/>
        <v>1.6378534999999985</v>
      </c>
      <c r="G246" s="40">
        <f t="shared" ca="1" si="58"/>
        <v>7.6412253750000048</v>
      </c>
      <c r="H246" s="40">
        <f t="shared" ca="1" si="58"/>
        <v>11.257471343749987</v>
      </c>
      <c r="I246" s="40">
        <f t="shared" ca="1" si="58"/>
        <v>13.079939068750004</v>
      </c>
      <c r="J246" s="40">
        <f t="shared" ca="1" si="58"/>
        <v>12.385428948007814</v>
      </c>
      <c r="K246" s="40">
        <f t="shared" ca="1" si="58"/>
        <v>12.457448555965826</v>
      </c>
      <c r="L246" s="40">
        <f t="shared" ca="1" si="58"/>
        <v>13.900580811521952</v>
      </c>
      <c r="M246" s="40">
        <f t="shared" ca="1" si="58"/>
        <v>17.313529164211673</v>
      </c>
    </row>
    <row r="247" spans="1:13" x14ac:dyDescent="0.3">
      <c r="A247" s="23" t="s">
        <v>163</v>
      </c>
      <c r="D247">
        <f ca="1">IF(D246&gt;0,0,D246)</f>
        <v>0</v>
      </c>
      <c r="E247">
        <f ca="1">IF(E246&gt;0,0,E246)</f>
        <v>0</v>
      </c>
      <c r="F247">
        <f ca="1">IF(F246&gt;0,0,F246)</f>
        <v>0</v>
      </c>
      <c r="G247">
        <f ca="1">IF(G246&gt;0,0,G246)</f>
        <v>0</v>
      </c>
      <c r="H247">
        <f ca="1">IF(H246&gt;0,0,H246)</f>
        <v>0</v>
      </c>
      <c r="I247" s="40">
        <f ca="1">I246</f>
        <v>13.079939068750004</v>
      </c>
      <c r="J247" s="40">
        <f ca="1">J246</f>
        <v>12.385428948007814</v>
      </c>
      <c r="K247" s="40">
        <f ca="1">K246</f>
        <v>12.457448555965826</v>
      </c>
      <c r="L247" s="40">
        <f ca="1">L246</f>
        <v>13.900580811521952</v>
      </c>
      <c r="M247" s="40">
        <f ca="1">M246</f>
        <v>17.313529164211673</v>
      </c>
    </row>
    <row r="248" spans="1:13" x14ac:dyDescent="0.3">
      <c r="A248" s="121" t="s">
        <v>343</v>
      </c>
      <c r="B248" s="23"/>
    </row>
    <row r="250" spans="1:13" x14ac:dyDescent="0.3">
      <c r="A250" s="23" t="s">
        <v>31</v>
      </c>
      <c r="B250" s="23"/>
    </row>
    <row r="253" spans="1:13" x14ac:dyDescent="0.3">
      <c r="A253" s="23" t="s">
        <v>344</v>
      </c>
      <c r="B253" s="23"/>
      <c r="D253" s="4">
        <f ca="1">D123</f>
        <v>0.42</v>
      </c>
      <c r="E253" s="4">
        <f t="shared" ref="E253:M253" ca="1" si="59">E123</f>
        <v>0.53</v>
      </c>
      <c r="F253" s="4">
        <f t="shared" ca="1" si="59"/>
        <v>0.67</v>
      </c>
      <c r="G253" s="4">
        <f t="shared" ca="1" si="59"/>
        <v>0.67</v>
      </c>
      <c r="H253" s="4">
        <f t="shared" ca="1" si="59"/>
        <v>0.75</v>
      </c>
      <c r="I253" s="4">
        <f t="shared" ca="1" si="59"/>
        <v>0.73</v>
      </c>
      <c r="J253" s="4">
        <f t="shared" ca="1" si="59"/>
        <v>0.68</v>
      </c>
      <c r="K253" s="4">
        <f t="shared" ca="1" si="59"/>
        <v>0.66</v>
      </c>
      <c r="L253" s="4">
        <f t="shared" ca="1" si="59"/>
        <v>0.69</v>
      </c>
      <c r="M253" s="4">
        <f t="shared" ca="1" si="59"/>
        <v>0.79</v>
      </c>
    </row>
    <row r="254" spans="1:13" x14ac:dyDescent="0.3">
      <c r="A254" s="23" t="s">
        <v>317</v>
      </c>
      <c r="B254" s="23"/>
      <c r="D254" s="15">
        <f ca="1">D157</f>
        <v>306600</v>
      </c>
      <c r="E254" s="15">
        <f t="shared" ref="E254:M255" ca="1" si="60">E157</f>
        <v>386900</v>
      </c>
      <c r="F254" s="15">
        <f t="shared" ca="1" si="60"/>
        <v>489100.00000000006</v>
      </c>
      <c r="G254" s="15">
        <f t="shared" ca="1" si="60"/>
        <v>489100.00000000006</v>
      </c>
      <c r="H254" s="15">
        <f t="shared" ca="1" si="60"/>
        <v>547500</v>
      </c>
      <c r="I254" s="15">
        <f t="shared" ca="1" si="60"/>
        <v>532900</v>
      </c>
      <c r="J254" s="15">
        <f t="shared" ca="1" si="60"/>
        <v>496400.00000000006</v>
      </c>
      <c r="K254" s="15">
        <f t="shared" ca="1" si="60"/>
        <v>481800</v>
      </c>
      <c r="L254" s="15">
        <f t="shared" ca="1" si="60"/>
        <v>503699.99999999994</v>
      </c>
      <c r="M254" s="15">
        <f t="shared" ca="1" si="60"/>
        <v>576700</v>
      </c>
    </row>
    <row r="255" spans="1:13" x14ac:dyDescent="0.3">
      <c r="A255" t="s">
        <v>345</v>
      </c>
      <c r="D255" s="15">
        <f ca="1">D158</f>
        <v>145.32839999999999</v>
      </c>
      <c r="E255" s="15">
        <f t="shared" ca="1" si="60"/>
        <v>183.39060000000001</v>
      </c>
      <c r="F255" s="15">
        <f t="shared" ca="1" si="60"/>
        <v>231.83340000000004</v>
      </c>
      <c r="G255" s="15">
        <f t="shared" ca="1" si="60"/>
        <v>231.83340000000004</v>
      </c>
      <c r="H255" s="15">
        <f t="shared" ca="1" si="60"/>
        <v>259.51499999999999</v>
      </c>
      <c r="I255" s="15">
        <f t="shared" ca="1" si="60"/>
        <v>252.59460000000001</v>
      </c>
      <c r="J255" s="15">
        <f t="shared" ca="1" si="60"/>
        <v>235.29360000000003</v>
      </c>
      <c r="K255" s="15">
        <f t="shared" ca="1" si="60"/>
        <v>228.3732</v>
      </c>
      <c r="L255" s="15">
        <f t="shared" ca="1" si="60"/>
        <v>238.75379999999998</v>
      </c>
      <c r="M255" s="15">
        <f t="shared" ca="1" si="60"/>
        <v>273.35579999999999</v>
      </c>
    </row>
    <row r="256" spans="1:13" x14ac:dyDescent="0.3">
      <c r="A256" t="s">
        <v>132</v>
      </c>
      <c r="D256" s="15">
        <f>D126</f>
        <v>0</v>
      </c>
      <c r="E256" s="15">
        <f t="shared" ref="E256:M256" si="61">E126</f>
        <v>0</v>
      </c>
      <c r="F256" s="15">
        <f t="shared" si="61"/>
        <v>0</v>
      </c>
      <c r="G256" s="15">
        <f t="shared" si="61"/>
        <v>0</v>
      </c>
      <c r="H256" s="15">
        <f t="shared" si="61"/>
        <v>0</v>
      </c>
      <c r="I256" s="15">
        <f t="shared" si="61"/>
        <v>0</v>
      </c>
      <c r="J256" s="15">
        <f t="shared" si="61"/>
        <v>0</v>
      </c>
      <c r="K256" s="15">
        <f t="shared" si="61"/>
        <v>0</v>
      </c>
      <c r="L256" s="15">
        <f t="shared" si="61"/>
        <v>0</v>
      </c>
      <c r="M256" s="15">
        <f t="shared" si="61"/>
        <v>0</v>
      </c>
    </row>
    <row r="257" spans="1:13" x14ac:dyDescent="0.3">
      <c r="A257" t="s">
        <v>346</v>
      </c>
      <c r="D257" s="15">
        <f ca="1">D255-D256</f>
        <v>145.32839999999999</v>
      </c>
      <c r="E257" s="15">
        <f t="shared" ref="E257:M257" ca="1" si="62">E255-E256</f>
        <v>183.39060000000001</v>
      </c>
      <c r="F257" s="15">
        <f t="shared" ca="1" si="62"/>
        <v>231.83340000000004</v>
      </c>
      <c r="G257" s="15">
        <f t="shared" ca="1" si="62"/>
        <v>231.83340000000004</v>
      </c>
      <c r="H257" s="15">
        <f t="shared" ca="1" si="62"/>
        <v>259.51499999999999</v>
      </c>
      <c r="I257" s="15">
        <f t="shared" ca="1" si="62"/>
        <v>252.59460000000001</v>
      </c>
      <c r="J257" s="15">
        <f t="shared" ca="1" si="62"/>
        <v>235.29360000000003</v>
      </c>
      <c r="K257" s="15">
        <f t="shared" ca="1" si="62"/>
        <v>228.3732</v>
      </c>
      <c r="L257" s="15">
        <f t="shared" ca="1" si="62"/>
        <v>238.75379999999998</v>
      </c>
      <c r="M257" s="15">
        <f t="shared" ca="1" si="62"/>
        <v>273.35579999999999</v>
      </c>
    </row>
    <row r="258" spans="1:13" x14ac:dyDescent="0.3">
      <c r="A258" t="s">
        <v>134</v>
      </c>
      <c r="D258" s="15">
        <f>D124</f>
        <v>0</v>
      </c>
      <c r="E258" s="15">
        <f t="shared" ref="E258:M258" si="63">E124</f>
        <v>0</v>
      </c>
      <c r="F258" s="15">
        <f t="shared" si="63"/>
        <v>0</v>
      </c>
      <c r="G258" s="15">
        <f t="shared" si="63"/>
        <v>0</v>
      </c>
      <c r="H258" s="15">
        <f t="shared" si="63"/>
        <v>0</v>
      </c>
      <c r="I258" s="15">
        <f t="shared" si="63"/>
        <v>0</v>
      </c>
      <c r="J258" s="15">
        <f t="shared" si="63"/>
        <v>0</v>
      </c>
      <c r="K258" s="15">
        <f t="shared" si="63"/>
        <v>0</v>
      </c>
      <c r="L258" s="15">
        <f t="shared" si="63"/>
        <v>0</v>
      </c>
      <c r="M258" s="15">
        <f t="shared" si="63"/>
        <v>0</v>
      </c>
    </row>
    <row r="259" spans="1:13" x14ac:dyDescent="0.3">
      <c r="A259" s="23" t="s">
        <v>347</v>
      </c>
      <c r="B259" s="23"/>
      <c r="D259" s="15">
        <f ca="1">D257+D258</f>
        <v>145.32839999999999</v>
      </c>
      <c r="E259" s="15">
        <f t="shared" ref="E259:M259" ca="1" si="64">E257+E258</f>
        <v>183.39060000000001</v>
      </c>
      <c r="F259" s="15">
        <f t="shared" ca="1" si="64"/>
        <v>231.83340000000004</v>
      </c>
      <c r="G259" s="15">
        <f t="shared" ca="1" si="64"/>
        <v>231.83340000000004</v>
      </c>
      <c r="H259" s="15">
        <f t="shared" ca="1" si="64"/>
        <v>259.51499999999999</v>
      </c>
      <c r="I259" s="15">
        <f t="shared" ca="1" si="64"/>
        <v>252.59460000000001</v>
      </c>
      <c r="J259" s="15">
        <f t="shared" ca="1" si="64"/>
        <v>235.29360000000003</v>
      </c>
      <c r="K259" s="15">
        <f t="shared" ca="1" si="64"/>
        <v>228.3732</v>
      </c>
      <c r="L259" s="15">
        <f t="shared" ca="1" si="64"/>
        <v>238.75379999999998</v>
      </c>
      <c r="M259" s="15">
        <f t="shared" ca="1" si="64"/>
        <v>273.35579999999999</v>
      </c>
    </row>
    <row r="260" spans="1:13" x14ac:dyDescent="0.3">
      <c r="A260" t="s">
        <v>136</v>
      </c>
      <c r="D260" s="15">
        <f>D125</f>
        <v>0</v>
      </c>
      <c r="E260" s="15">
        <f t="shared" ref="E260:M260" si="65">E125</f>
        <v>0</v>
      </c>
      <c r="F260" s="15">
        <f t="shared" si="65"/>
        <v>0</v>
      </c>
      <c r="G260" s="15">
        <f t="shared" si="65"/>
        <v>0</v>
      </c>
      <c r="H260" s="15">
        <f t="shared" si="65"/>
        <v>0</v>
      </c>
      <c r="I260" s="15">
        <f t="shared" si="65"/>
        <v>0</v>
      </c>
      <c r="J260" s="15">
        <f t="shared" si="65"/>
        <v>0</v>
      </c>
      <c r="K260" s="15">
        <f t="shared" si="65"/>
        <v>0</v>
      </c>
      <c r="L260" s="15">
        <f t="shared" si="65"/>
        <v>0</v>
      </c>
      <c r="M260" s="15">
        <f t="shared" si="65"/>
        <v>0</v>
      </c>
    </row>
    <row r="261" spans="1:13" x14ac:dyDescent="0.3">
      <c r="A261" s="23" t="s">
        <v>137</v>
      </c>
      <c r="B261" s="23"/>
      <c r="D261" s="126">
        <f ca="1">D259+D260</f>
        <v>145.32839999999999</v>
      </c>
      <c r="E261" s="126">
        <f t="shared" ref="E261:M261" ca="1" si="66">E259+E260</f>
        <v>183.39060000000001</v>
      </c>
      <c r="F261" s="126">
        <f t="shared" ca="1" si="66"/>
        <v>231.83340000000004</v>
      </c>
      <c r="G261" s="126">
        <f t="shared" ca="1" si="66"/>
        <v>231.83340000000004</v>
      </c>
      <c r="H261" s="126">
        <f t="shared" ca="1" si="66"/>
        <v>259.51499999999999</v>
      </c>
      <c r="I261" s="126">
        <f t="shared" ca="1" si="66"/>
        <v>252.59460000000001</v>
      </c>
      <c r="J261" s="126">
        <f t="shared" ca="1" si="66"/>
        <v>235.29360000000003</v>
      </c>
      <c r="K261" s="126">
        <f t="shared" ca="1" si="66"/>
        <v>228.3732</v>
      </c>
      <c r="L261" s="126">
        <f t="shared" ca="1" si="66"/>
        <v>238.75379999999998</v>
      </c>
      <c r="M261" s="126">
        <f t="shared" ca="1" si="66"/>
        <v>273.35579999999999</v>
      </c>
    </row>
    <row r="262" spans="1:13" x14ac:dyDescent="0.3">
      <c r="A262" t="s">
        <v>139</v>
      </c>
      <c r="D262" s="15">
        <f ca="1">D159</f>
        <v>95.475399999999993</v>
      </c>
      <c r="E262" s="15">
        <f t="shared" ref="E262:M262" ca="1" si="67">E159</f>
        <v>108.2761</v>
      </c>
      <c r="F262" s="15">
        <f t="shared" ca="1" si="67"/>
        <v>134.36790000000002</v>
      </c>
      <c r="G262" s="15">
        <f t="shared" ca="1" si="67"/>
        <v>134.36790000000002</v>
      </c>
      <c r="H262" s="15">
        <f t="shared" ca="1" si="67"/>
        <v>147.2775</v>
      </c>
      <c r="I262" s="15">
        <f t="shared" ca="1" si="67"/>
        <v>143.3501</v>
      </c>
      <c r="J262" s="15">
        <f t="shared" ca="1" si="67"/>
        <v>133.53160000000003</v>
      </c>
      <c r="K262" s="15">
        <f t="shared" ca="1" si="67"/>
        <v>129.60419999999999</v>
      </c>
      <c r="L262" s="15">
        <f t="shared" ca="1" si="67"/>
        <v>135.49529999999996</v>
      </c>
      <c r="M262" s="15">
        <f t="shared" ca="1" si="67"/>
        <v>155.13229999999999</v>
      </c>
    </row>
    <row r="263" spans="1:13" x14ac:dyDescent="0.3">
      <c r="A263" t="s">
        <v>65</v>
      </c>
      <c r="D263" s="15">
        <f t="shared" ref="D263:M264" si="68">D127</f>
        <v>0</v>
      </c>
      <c r="E263" s="15">
        <f t="shared" si="68"/>
        <v>0</v>
      </c>
      <c r="F263" s="15">
        <f t="shared" si="68"/>
        <v>0</v>
      </c>
      <c r="G263" s="15">
        <f t="shared" si="68"/>
        <v>0</v>
      </c>
      <c r="H263" s="15">
        <f t="shared" si="68"/>
        <v>0</v>
      </c>
      <c r="I263" s="15">
        <f t="shared" si="68"/>
        <v>0</v>
      </c>
      <c r="J263" s="15">
        <f t="shared" si="68"/>
        <v>0</v>
      </c>
      <c r="K263" s="15">
        <f t="shared" si="68"/>
        <v>0</v>
      </c>
      <c r="L263" s="15">
        <f t="shared" si="68"/>
        <v>0</v>
      </c>
      <c r="M263" s="15">
        <f t="shared" si="68"/>
        <v>0</v>
      </c>
    </row>
    <row r="264" spans="1:13" x14ac:dyDescent="0.3">
      <c r="A264" t="s">
        <v>66</v>
      </c>
      <c r="D264" s="15">
        <f>D128</f>
        <v>0</v>
      </c>
      <c r="E264" s="15">
        <f t="shared" si="68"/>
        <v>0</v>
      </c>
      <c r="F264" s="15">
        <f t="shared" si="68"/>
        <v>0</v>
      </c>
      <c r="G264" s="15">
        <f t="shared" si="68"/>
        <v>0</v>
      </c>
      <c r="H264" s="15">
        <f t="shared" si="68"/>
        <v>0</v>
      </c>
      <c r="I264" s="15">
        <f t="shared" si="68"/>
        <v>0</v>
      </c>
      <c r="J264" s="15">
        <f t="shared" si="68"/>
        <v>0</v>
      </c>
      <c r="K264" s="15">
        <f t="shared" si="68"/>
        <v>0</v>
      </c>
      <c r="L264" s="15">
        <f t="shared" si="68"/>
        <v>0</v>
      </c>
      <c r="M264" s="15">
        <f t="shared" si="68"/>
        <v>0</v>
      </c>
    </row>
    <row r="265" spans="1:13" x14ac:dyDescent="0.3">
      <c r="A265" t="s">
        <v>67</v>
      </c>
      <c r="D265" s="15">
        <f ca="1">D164</f>
        <v>0</v>
      </c>
      <c r="E265" s="15">
        <f t="shared" ref="E265:M265" ca="1" si="69">E164</f>
        <v>0</v>
      </c>
      <c r="F265" s="15">
        <f t="shared" ca="1" si="69"/>
        <v>0</v>
      </c>
      <c r="G265" s="15">
        <f t="shared" ca="1" si="69"/>
        <v>0</v>
      </c>
      <c r="H265" s="15">
        <f t="shared" ca="1" si="69"/>
        <v>0</v>
      </c>
      <c r="I265" s="15">
        <f t="shared" ca="1" si="69"/>
        <v>0</v>
      </c>
      <c r="J265" s="15">
        <f t="shared" ca="1" si="69"/>
        <v>0</v>
      </c>
      <c r="K265" s="15">
        <f t="shared" ca="1" si="69"/>
        <v>0</v>
      </c>
      <c r="L265" s="15">
        <f t="shared" ca="1" si="69"/>
        <v>0</v>
      </c>
      <c r="M265" s="15">
        <f t="shared" ca="1" si="69"/>
        <v>0</v>
      </c>
    </row>
    <row r="266" spans="1:13" x14ac:dyDescent="0.3">
      <c r="A266" t="s">
        <v>140</v>
      </c>
      <c r="D266" s="15">
        <f ca="1">D163</f>
        <v>1.5329999999999999</v>
      </c>
      <c r="E266" s="15">
        <f t="shared" ref="E266:M266" ca="1" si="70">E163</f>
        <v>1.9345000000000001</v>
      </c>
      <c r="F266" s="15">
        <f t="shared" ca="1" si="70"/>
        <v>2.4455000000000005</v>
      </c>
      <c r="G266" s="15">
        <f t="shared" ca="1" si="70"/>
        <v>2.4455000000000005</v>
      </c>
      <c r="H266" s="15">
        <f t="shared" ca="1" si="70"/>
        <v>2.7374999999999998</v>
      </c>
      <c r="I266" s="15">
        <f t="shared" ca="1" si="70"/>
        <v>2.6644999999999999</v>
      </c>
      <c r="J266" s="15">
        <f t="shared" ca="1" si="70"/>
        <v>2.4820000000000007</v>
      </c>
      <c r="K266" s="15">
        <f t="shared" ca="1" si="70"/>
        <v>2.4089999999999998</v>
      </c>
      <c r="L266" s="15">
        <f t="shared" ca="1" si="70"/>
        <v>2.5184999999999995</v>
      </c>
      <c r="M266" s="15">
        <f t="shared" ca="1" si="70"/>
        <v>2.8835000000000002</v>
      </c>
    </row>
    <row r="267" spans="1:13" x14ac:dyDescent="0.3">
      <c r="A267" t="s">
        <v>141</v>
      </c>
      <c r="D267" s="15">
        <f ca="1">D160</f>
        <v>1.2263999999999999</v>
      </c>
      <c r="E267" s="15">
        <f t="shared" ref="E267:M267" ca="1" si="71">E160</f>
        <v>1.5476000000000001</v>
      </c>
      <c r="F267" s="15">
        <f t="shared" ca="1" si="71"/>
        <v>1.9564000000000001</v>
      </c>
      <c r="G267" s="15">
        <f t="shared" ca="1" si="71"/>
        <v>1.9564000000000001</v>
      </c>
      <c r="H267" s="15">
        <f t="shared" ca="1" si="71"/>
        <v>2.19</v>
      </c>
      <c r="I267" s="15">
        <f t="shared" ca="1" si="71"/>
        <v>2.1316000000000002</v>
      </c>
      <c r="J267" s="15">
        <f t="shared" ca="1" si="71"/>
        <v>1.9856000000000003</v>
      </c>
      <c r="K267" s="15">
        <f t="shared" ca="1" si="71"/>
        <v>1.9272</v>
      </c>
      <c r="L267" s="15">
        <f t="shared" ca="1" si="71"/>
        <v>2.0147999999999997</v>
      </c>
      <c r="M267" s="15">
        <f t="shared" ca="1" si="71"/>
        <v>2.3068</v>
      </c>
    </row>
    <row r="268" spans="1:13" x14ac:dyDescent="0.3">
      <c r="A268" t="s">
        <v>2</v>
      </c>
      <c r="D268" s="15">
        <f>D130</f>
        <v>0</v>
      </c>
      <c r="E268" s="15">
        <f t="shared" ref="E268:M268" si="72">E130</f>
        <v>0</v>
      </c>
      <c r="F268" s="15">
        <f t="shared" si="72"/>
        <v>0</v>
      </c>
      <c r="G268" s="15">
        <f t="shared" si="72"/>
        <v>0</v>
      </c>
      <c r="H268" s="15">
        <f t="shared" si="72"/>
        <v>0</v>
      </c>
      <c r="I268" s="15">
        <f t="shared" si="72"/>
        <v>0</v>
      </c>
      <c r="J268" s="15">
        <f t="shared" si="72"/>
        <v>0</v>
      </c>
      <c r="K268" s="15">
        <f t="shared" si="72"/>
        <v>0</v>
      </c>
      <c r="L268" s="15">
        <f t="shared" si="72"/>
        <v>0</v>
      </c>
      <c r="M268" s="15">
        <f t="shared" si="72"/>
        <v>0</v>
      </c>
    </row>
    <row r="269" spans="1:13" x14ac:dyDescent="0.3">
      <c r="A269" t="s">
        <v>142</v>
      </c>
      <c r="D269" s="15">
        <f>D161</f>
        <v>3.2</v>
      </c>
      <c r="E269" s="15">
        <f t="shared" ref="E269:M269" si="73">E161</f>
        <v>3.4400000000000004</v>
      </c>
      <c r="F269" s="15">
        <f t="shared" si="73"/>
        <v>3.6980000000000004</v>
      </c>
      <c r="G269" s="15">
        <f t="shared" si="73"/>
        <v>3.9753500000000006</v>
      </c>
      <c r="H269" s="15">
        <f t="shared" si="73"/>
        <v>4.2735012500000007</v>
      </c>
      <c r="I269" s="15">
        <f t="shared" si="73"/>
        <v>4.5940138437500009</v>
      </c>
      <c r="J269" s="15">
        <f t="shared" si="73"/>
        <v>4.9385648820312511</v>
      </c>
      <c r="K269" s="15">
        <f t="shared" si="73"/>
        <v>5.3089572481835949</v>
      </c>
      <c r="L269" s="15">
        <f t="shared" si="73"/>
        <v>5.7071290417973648</v>
      </c>
      <c r="M269" s="15">
        <f t="shared" si="73"/>
        <v>6.1351637199321676</v>
      </c>
    </row>
    <row r="270" spans="1:13" x14ac:dyDescent="0.3">
      <c r="A270" t="s">
        <v>112</v>
      </c>
      <c r="D270" s="15">
        <f ca="1">D165</f>
        <v>0</v>
      </c>
      <c r="E270" s="15">
        <f t="shared" ref="E270:M270" ca="1" si="74">E165</f>
        <v>0</v>
      </c>
      <c r="F270" s="15">
        <f t="shared" ca="1" si="74"/>
        <v>0</v>
      </c>
      <c r="G270" s="15">
        <f t="shared" ca="1" si="74"/>
        <v>0</v>
      </c>
      <c r="H270" s="15">
        <f t="shared" ca="1" si="74"/>
        <v>0</v>
      </c>
      <c r="I270" s="15">
        <f t="shared" ca="1" si="74"/>
        <v>0</v>
      </c>
      <c r="J270" s="15">
        <f t="shared" ca="1" si="74"/>
        <v>0</v>
      </c>
      <c r="K270" s="15">
        <f t="shared" ca="1" si="74"/>
        <v>0</v>
      </c>
      <c r="L270" s="15">
        <f t="shared" ca="1" si="74"/>
        <v>0</v>
      </c>
      <c r="M270" s="15">
        <f t="shared" ca="1" si="74"/>
        <v>0</v>
      </c>
    </row>
    <row r="271" spans="1:13" x14ac:dyDescent="0.3">
      <c r="A271" t="s">
        <v>143</v>
      </c>
      <c r="D271" s="15">
        <f ca="1">D162</f>
        <v>9.5475399999999997</v>
      </c>
      <c r="E271" s="15">
        <f t="shared" ref="E271:M271" ca="1" si="75">E162</f>
        <v>10.82761</v>
      </c>
      <c r="F271" s="15">
        <f t="shared" ca="1" si="75"/>
        <v>13.436790000000002</v>
      </c>
      <c r="G271" s="15">
        <f t="shared" ca="1" si="75"/>
        <v>13.436790000000002</v>
      </c>
      <c r="H271" s="15">
        <f t="shared" ca="1" si="75"/>
        <v>14.72775</v>
      </c>
      <c r="I271" s="15">
        <f t="shared" ca="1" si="75"/>
        <v>14.33501</v>
      </c>
      <c r="J271" s="15">
        <f t="shared" ca="1" si="75"/>
        <v>13.353160000000003</v>
      </c>
      <c r="K271" s="15">
        <f t="shared" ca="1" si="75"/>
        <v>12.960419999999999</v>
      </c>
      <c r="L271" s="15">
        <f t="shared" ca="1" si="75"/>
        <v>13.549529999999997</v>
      </c>
      <c r="M271" s="15">
        <f t="shared" ca="1" si="75"/>
        <v>15.51323</v>
      </c>
    </row>
    <row r="272" spans="1:13" ht="86.4" x14ac:dyDescent="0.3">
      <c r="A272" s="68" t="s">
        <v>144</v>
      </c>
      <c r="B272" s="68"/>
      <c r="D272" s="15">
        <f>C146-D146</f>
        <v>-13</v>
      </c>
      <c r="E272" s="15">
        <f t="shared" ref="E272:M272" si="76">D146-E146</f>
        <v>-4.1999999999999993</v>
      </c>
      <c r="F272" s="15">
        <f t="shared" si="76"/>
        <v>-2.8000000000000007</v>
      </c>
      <c r="G272" s="15">
        <f t="shared" si="76"/>
        <v>-2.8000000000000007</v>
      </c>
      <c r="H272" s="15">
        <f t="shared" si="76"/>
        <v>0</v>
      </c>
      <c r="I272" s="15">
        <f t="shared" si="76"/>
        <v>0</v>
      </c>
      <c r="J272" s="15">
        <f t="shared" si="76"/>
        <v>0</v>
      </c>
      <c r="K272" s="15">
        <f t="shared" si="76"/>
        <v>0</v>
      </c>
      <c r="L272" s="15">
        <f t="shared" si="76"/>
        <v>0</v>
      </c>
      <c r="M272" s="15">
        <f t="shared" si="76"/>
        <v>0</v>
      </c>
    </row>
    <row r="273" spans="1:13" x14ac:dyDescent="0.3">
      <c r="A273" s="23" t="s">
        <v>145</v>
      </c>
      <c r="B273" s="23"/>
      <c r="D273" s="15">
        <f ca="1">SUM(D262:D272)</f>
        <v>97.982339999999994</v>
      </c>
      <c r="E273" s="15">
        <f t="shared" ref="E273:M273" ca="1" si="77">SUM(E262:E272)</f>
        <v>121.82581</v>
      </c>
      <c r="F273" s="15">
        <f t="shared" ca="1" si="77"/>
        <v>153.10459000000003</v>
      </c>
      <c r="G273" s="15">
        <f t="shared" ca="1" si="77"/>
        <v>153.38194000000001</v>
      </c>
      <c r="H273" s="15">
        <f t="shared" ca="1" si="77"/>
        <v>171.20625125000004</v>
      </c>
      <c r="I273" s="15">
        <f t="shared" ca="1" si="77"/>
        <v>167.07522384375</v>
      </c>
      <c r="J273" s="15">
        <f t="shared" ca="1" si="77"/>
        <v>156.29092488203128</v>
      </c>
      <c r="K273" s="15">
        <f t="shared" ca="1" si="77"/>
        <v>152.20977724818357</v>
      </c>
      <c r="L273" s="15">
        <f t="shared" ca="1" si="77"/>
        <v>159.28525904179733</v>
      </c>
      <c r="M273" s="15">
        <f t="shared" ca="1" si="77"/>
        <v>181.97099371993215</v>
      </c>
    </row>
    <row r="274" spans="1:13" x14ac:dyDescent="0.3">
      <c r="A274" s="23" t="s">
        <v>348</v>
      </c>
      <c r="B274" s="23"/>
      <c r="D274" s="15">
        <f ca="1">D261-D273</f>
        <v>47.346059999999994</v>
      </c>
      <c r="E274" s="15">
        <f t="shared" ref="E274:M274" ca="1" si="78">E261-E273</f>
        <v>61.564790000000002</v>
      </c>
      <c r="F274" s="15">
        <f t="shared" ca="1" si="78"/>
        <v>78.72881000000001</v>
      </c>
      <c r="G274" s="15">
        <f t="shared" ca="1" si="78"/>
        <v>78.451460000000026</v>
      </c>
      <c r="H274" s="15">
        <f t="shared" ca="1" si="78"/>
        <v>88.30874874999995</v>
      </c>
      <c r="I274" s="15">
        <f t="shared" ca="1" si="78"/>
        <v>85.519376156250019</v>
      </c>
      <c r="J274" s="15">
        <f t="shared" ca="1" si="78"/>
        <v>79.002675117968749</v>
      </c>
      <c r="K274" s="15">
        <f t="shared" ca="1" si="78"/>
        <v>76.163422751816427</v>
      </c>
      <c r="L274" s="15">
        <f t="shared" ca="1" si="78"/>
        <v>79.468540958202652</v>
      </c>
      <c r="M274" s="15">
        <f t="shared" ca="1" si="78"/>
        <v>91.384806280067835</v>
      </c>
    </row>
    <row r="275" spans="1:13" x14ac:dyDescent="0.3">
      <c r="A275" t="s">
        <v>114</v>
      </c>
      <c r="D275" s="15">
        <f>D168</f>
        <v>1.8</v>
      </c>
      <c r="E275" s="15">
        <f t="shared" ref="E275:M275" si="79">E168</f>
        <v>1.9800000000000002</v>
      </c>
      <c r="F275" s="15">
        <f t="shared" si="79"/>
        <v>2.1780000000000004</v>
      </c>
      <c r="G275" s="15">
        <f t="shared" si="79"/>
        <v>2.3958000000000008</v>
      </c>
      <c r="H275" s="15">
        <f t="shared" si="79"/>
        <v>2.6353800000000009</v>
      </c>
      <c r="I275" s="15">
        <f t="shared" si="79"/>
        <v>2.8989180000000014</v>
      </c>
      <c r="J275" s="15">
        <f t="shared" si="79"/>
        <v>3.1888098000000018</v>
      </c>
      <c r="K275" s="15">
        <f t="shared" si="79"/>
        <v>3.5076907800000021</v>
      </c>
      <c r="L275" s="15">
        <f t="shared" si="79"/>
        <v>3.8584598580000025</v>
      </c>
      <c r="M275" s="15">
        <f t="shared" si="79"/>
        <v>4.244305843800003</v>
      </c>
    </row>
    <row r="276" spans="1:13" x14ac:dyDescent="0.3">
      <c r="A276" t="s">
        <v>321</v>
      </c>
      <c r="D276" s="15">
        <f ca="1">D166</f>
        <v>2.9065679999999996</v>
      </c>
      <c r="E276" s="15">
        <f t="shared" ref="E276:M277" ca="1" si="80">E166</f>
        <v>3.6678120000000001</v>
      </c>
      <c r="F276" s="15">
        <f t="shared" ca="1" si="80"/>
        <v>4.6366680000000011</v>
      </c>
      <c r="G276" s="15">
        <f t="shared" ca="1" si="80"/>
        <v>4.6366680000000011</v>
      </c>
      <c r="H276" s="15">
        <f t="shared" ca="1" si="80"/>
        <v>5.1902999999999997</v>
      </c>
      <c r="I276" s="15">
        <f t="shared" ca="1" si="80"/>
        <v>5.0518920000000005</v>
      </c>
      <c r="J276" s="15">
        <f t="shared" ca="1" si="80"/>
        <v>4.7058720000000003</v>
      </c>
      <c r="K276" s="15">
        <f t="shared" ca="1" si="80"/>
        <v>4.5674640000000002</v>
      </c>
      <c r="L276" s="15">
        <f t="shared" ca="1" si="80"/>
        <v>4.7750759999999994</v>
      </c>
      <c r="M276" s="15">
        <f t="shared" ca="1" si="80"/>
        <v>5.4671159999999999</v>
      </c>
    </row>
    <row r="277" spans="1:13" x14ac:dyDescent="0.3">
      <c r="A277" t="s">
        <v>113</v>
      </c>
      <c r="D277" s="15">
        <f ca="1">D167</f>
        <v>2.9065679999999996</v>
      </c>
      <c r="E277" s="15">
        <f t="shared" ca="1" si="80"/>
        <v>3.6678120000000001</v>
      </c>
      <c r="F277" s="15">
        <f t="shared" ca="1" si="80"/>
        <v>4.6366680000000011</v>
      </c>
      <c r="G277" s="15">
        <f t="shared" ca="1" si="80"/>
        <v>4.6366680000000011</v>
      </c>
      <c r="H277" s="15">
        <f t="shared" ca="1" si="80"/>
        <v>5.1902999999999997</v>
      </c>
      <c r="I277" s="15">
        <f t="shared" si="80"/>
        <v>0</v>
      </c>
      <c r="J277" s="15">
        <f t="shared" si="80"/>
        <v>0</v>
      </c>
      <c r="K277" s="15">
        <f t="shared" si="80"/>
        <v>0</v>
      </c>
      <c r="L277" s="15">
        <f t="shared" si="80"/>
        <v>0</v>
      </c>
      <c r="M277" s="15">
        <f t="shared" si="80"/>
        <v>0</v>
      </c>
    </row>
    <row r="278" spans="1:13" x14ac:dyDescent="0.3">
      <c r="A278" t="s">
        <v>146</v>
      </c>
      <c r="D278" s="15">
        <f>D131</f>
        <v>0</v>
      </c>
      <c r="E278" s="15">
        <f t="shared" ref="E278:M278" si="81">E131</f>
        <v>0</v>
      </c>
      <c r="F278" s="15">
        <f t="shared" si="81"/>
        <v>0</v>
      </c>
      <c r="G278" s="15">
        <f t="shared" si="81"/>
        <v>0</v>
      </c>
      <c r="H278" s="15">
        <f t="shared" si="81"/>
        <v>0</v>
      </c>
      <c r="I278" s="15">
        <f t="shared" si="81"/>
        <v>0</v>
      </c>
      <c r="J278" s="15">
        <f t="shared" si="81"/>
        <v>0</v>
      </c>
      <c r="K278" s="15">
        <f t="shared" si="81"/>
        <v>0</v>
      </c>
      <c r="L278" s="15">
        <f t="shared" si="81"/>
        <v>0</v>
      </c>
      <c r="M278" s="15">
        <f t="shared" si="81"/>
        <v>0</v>
      </c>
    </row>
    <row r="279" spans="1:13" x14ac:dyDescent="0.3">
      <c r="A279" s="70" t="s">
        <v>20</v>
      </c>
      <c r="B279" s="70"/>
      <c r="D279" s="15">
        <f>D211</f>
        <v>12.887380000000002</v>
      </c>
      <c r="E279" s="15">
        <f t="shared" ref="E279:M279" si="82">E211</f>
        <v>12.887380000000002</v>
      </c>
      <c r="F279" s="15">
        <f t="shared" si="82"/>
        <v>13.08963</v>
      </c>
      <c r="G279" s="15">
        <f t="shared" si="82"/>
        <v>13.291880000000003</v>
      </c>
      <c r="H279" s="15">
        <f t="shared" si="82"/>
        <v>13.49413</v>
      </c>
      <c r="I279" s="15">
        <f t="shared" si="82"/>
        <v>13.69638</v>
      </c>
      <c r="J279" s="15">
        <f t="shared" si="82"/>
        <v>14.10088</v>
      </c>
      <c r="K279" s="15">
        <f t="shared" si="82"/>
        <v>14.505380000000001</v>
      </c>
      <c r="L279" s="15">
        <f t="shared" si="82"/>
        <v>14.909880000000001</v>
      </c>
      <c r="M279" s="15">
        <f t="shared" si="82"/>
        <v>15.314380000000002</v>
      </c>
    </row>
    <row r="280" spans="1:13" x14ac:dyDescent="0.3">
      <c r="A280" s="70" t="s">
        <v>147</v>
      </c>
      <c r="B280" s="70"/>
      <c r="D280" s="15">
        <f>D172</f>
        <v>0.4</v>
      </c>
      <c r="E280" s="15">
        <f t="shared" ref="E280:M280" si="83">E172</f>
        <v>0.4</v>
      </c>
      <c r="F280" s="15">
        <f t="shared" si="83"/>
        <v>0.4</v>
      </c>
      <c r="G280" s="15">
        <f t="shared" si="83"/>
        <v>0.4</v>
      </c>
      <c r="H280" s="15">
        <f t="shared" si="83"/>
        <v>0.4</v>
      </c>
      <c r="I280" s="15">
        <f t="shared" si="83"/>
        <v>0.4</v>
      </c>
      <c r="J280" s="15">
        <f t="shared" si="83"/>
        <v>0.4</v>
      </c>
      <c r="K280" s="15">
        <f t="shared" si="83"/>
        <v>0.4</v>
      </c>
      <c r="L280" s="15">
        <f t="shared" si="83"/>
        <v>0.4</v>
      </c>
      <c r="M280" s="15">
        <f t="shared" si="83"/>
        <v>0.4</v>
      </c>
    </row>
    <row r="281" spans="1:13" x14ac:dyDescent="0.3">
      <c r="A281" s="70" t="s">
        <v>70</v>
      </c>
      <c r="B281" s="70"/>
      <c r="D281" s="15">
        <f>D132</f>
        <v>0</v>
      </c>
      <c r="E281" s="15">
        <f t="shared" ref="E281:M281" si="84">E132</f>
        <v>0</v>
      </c>
      <c r="F281" s="15">
        <f t="shared" si="84"/>
        <v>0</v>
      </c>
      <c r="G281" s="15">
        <f t="shared" si="84"/>
        <v>0</v>
      </c>
      <c r="H281" s="15">
        <f t="shared" si="84"/>
        <v>0</v>
      </c>
      <c r="I281" s="15">
        <f t="shared" si="84"/>
        <v>0</v>
      </c>
      <c r="J281" s="15">
        <f t="shared" si="84"/>
        <v>0</v>
      </c>
      <c r="K281" s="15">
        <f t="shared" si="84"/>
        <v>0</v>
      </c>
      <c r="L281" s="15">
        <f t="shared" si="84"/>
        <v>0</v>
      </c>
      <c r="M281" s="15">
        <f t="shared" si="84"/>
        <v>0</v>
      </c>
    </row>
    <row r="282" spans="1:13" x14ac:dyDescent="0.3">
      <c r="A282" s="70"/>
      <c r="B282" s="70"/>
    </row>
    <row r="283" spans="1:13" x14ac:dyDescent="0.3">
      <c r="A283" s="68"/>
      <c r="B283" s="68"/>
    </row>
    <row r="284" spans="1:13" ht="57.6" x14ac:dyDescent="0.3">
      <c r="A284" s="68" t="s">
        <v>148</v>
      </c>
      <c r="B284" s="68"/>
      <c r="D284" s="40">
        <f>-1*D133</f>
        <v>0</v>
      </c>
      <c r="E284" s="40">
        <f t="shared" ref="E284:M284" si="85">-1*E133</f>
        <v>0</v>
      </c>
      <c r="F284" s="40">
        <f t="shared" si="85"/>
        <v>0</v>
      </c>
      <c r="G284" s="40">
        <f t="shared" si="85"/>
        <v>0</v>
      </c>
      <c r="H284" s="40">
        <f t="shared" si="85"/>
        <v>0</v>
      </c>
      <c r="I284" s="40">
        <f t="shared" si="85"/>
        <v>0</v>
      </c>
      <c r="J284" s="40">
        <f t="shared" si="85"/>
        <v>0</v>
      </c>
      <c r="K284" s="40">
        <f t="shared" si="85"/>
        <v>0</v>
      </c>
      <c r="L284" s="40">
        <f t="shared" si="85"/>
        <v>0</v>
      </c>
      <c r="M284" s="40">
        <f t="shared" si="85"/>
        <v>0</v>
      </c>
    </row>
    <row r="285" spans="1:13" x14ac:dyDescent="0.3">
      <c r="A285" s="23" t="s">
        <v>149</v>
      </c>
      <c r="B285" s="23"/>
      <c r="D285" s="40">
        <f ca="1">SUM(D275:D284)</f>
        <v>20.900516</v>
      </c>
      <c r="E285" s="40">
        <f t="shared" ref="E285:M285" ca="1" si="86">SUM(E275:E284)</f>
        <v>22.603003999999999</v>
      </c>
      <c r="F285" s="40">
        <f t="shared" ca="1" si="86"/>
        <v>24.940966</v>
      </c>
      <c r="G285" s="40">
        <f t="shared" ca="1" si="86"/>
        <v>25.361016000000003</v>
      </c>
      <c r="H285" s="40">
        <f t="shared" ca="1" si="86"/>
        <v>26.910109999999996</v>
      </c>
      <c r="I285" s="40">
        <f t="shared" ca="1" si="86"/>
        <v>22.047190000000001</v>
      </c>
      <c r="J285" s="40">
        <f t="shared" ca="1" si="86"/>
        <v>22.395561800000003</v>
      </c>
      <c r="K285" s="40">
        <f t="shared" ca="1" si="86"/>
        <v>22.980534779999999</v>
      </c>
      <c r="L285" s="40">
        <f t="shared" ca="1" si="86"/>
        <v>23.943415858000002</v>
      </c>
      <c r="M285" s="40">
        <f t="shared" ca="1" si="86"/>
        <v>25.425801843800002</v>
      </c>
    </row>
    <row r="286" spans="1:13" x14ac:dyDescent="0.3">
      <c r="A286" s="23" t="s">
        <v>150</v>
      </c>
      <c r="B286" s="23"/>
      <c r="D286" s="40">
        <f ca="1">D274-D285</f>
        <v>26.445543999999995</v>
      </c>
      <c r="E286" s="40">
        <f t="shared" ref="E286:M286" ca="1" si="87">E274-E285</f>
        <v>38.961786000000004</v>
      </c>
      <c r="F286" s="40">
        <f t="shared" ca="1" si="87"/>
        <v>53.787844000000007</v>
      </c>
      <c r="G286" s="40">
        <f t="shared" ca="1" si="87"/>
        <v>53.090444000000019</v>
      </c>
      <c r="H286" s="40">
        <f t="shared" ca="1" si="87"/>
        <v>61.398638749999954</v>
      </c>
      <c r="I286" s="40">
        <f t="shared" ca="1" si="87"/>
        <v>63.472186156250018</v>
      </c>
      <c r="J286" s="40">
        <f t="shared" ca="1" si="87"/>
        <v>56.607113317968746</v>
      </c>
      <c r="K286" s="40">
        <f t="shared" ca="1" si="87"/>
        <v>53.182887971816427</v>
      </c>
      <c r="L286" s="40">
        <f t="shared" ca="1" si="87"/>
        <v>55.525125100202651</v>
      </c>
      <c r="M286" s="40">
        <f t="shared" ca="1" si="87"/>
        <v>65.959004436267833</v>
      </c>
    </row>
    <row r="287" spans="1:13" x14ac:dyDescent="0.3">
      <c r="A287" s="70" t="s">
        <v>151</v>
      </c>
      <c r="B287" s="70"/>
      <c r="D287" s="40">
        <f>D189</f>
        <v>19.236000000000001</v>
      </c>
      <c r="E287" s="40">
        <f t="shared" ref="E287:M287" si="88">E189</f>
        <v>19.908000000000001</v>
      </c>
      <c r="F287" s="40">
        <f t="shared" si="88"/>
        <v>19.291500000000003</v>
      </c>
      <c r="G287" s="40">
        <f t="shared" si="88"/>
        <v>17.602499999999999</v>
      </c>
      <c r="H287" s="40">
        <f t="shared" si="88"/>
        <v>15.457500000000001</v>
      </c>
      <c r="I287" s="40">
        <f t="shared" si="88"/>
        <v>13.3125</v>
      </c>
      <c r="J287" s="40">
        <f t="shared" si="88"/>
        <v>11.1675</v>
      </c>
      <c r="K287" s="40">
        <f t="shared" si="88"/>
        <v>9.0225000000000009</v>
      </c>
      <c r="L287" s="40">
        <f t="shared" si="88"/>
        <v>6.8775000000000004</v>
      </c>
      <c r="M287" s="40">
        <f t="shared" si="88"/>
        <v>4.7324999999999999</v>
      </c>
    </row>
    <row r="288" spans="1:13" x14ac:dyDescent="0.3">
      <c r="A288" s="70" t="s">
        <v>73</v>
      </c>
      <c r="B288" s="70"/>
      <c r="D288" s="40">
        <f>D136</f>
        <v>0</v>
      </c>
      <c r="E288" s="40">
        <f t="shared" ref="E288:M288" si="89">E136</f>
        <v>0</v>
      </c>
      <c r="F288" s="40">
        <f t="shared" si="89"/>
        <v>0</v>
      </c>
      <c r="G288" s="40">
        <f t="shared" si="89"/>
        <v>0</v>
      </c>
      <c r="H288" s="40">
        <f t="shared" si="89"/>
        <v>0</v>
      </c>
      <c r="I288" s="40">
        <f t="shared" si="89"/>
        <v>0</v>
      </c>
      <c r="J288" s="40">
        <f t="shared" si="89"/>
        <v>0</v>
      </c>
      <c r="K288" s="40">
        <f t="shared" si="89"/>
        <v>0</v>
      </c>
      <c r="L288" s="40">
        <f t="shared" si="89"/>
        <v>0</v>
      </c>
      <c r="M288" s="40">
        <f t="shared" si="89"/>
        <v>0</v>
      </c>
    </row>
    <row r="289" spans="1:13" x14ac:dyDescent="0.3">
      <c r="A289" s="70" t="s">
        <v>72</v>
      </c>
      <c r="B289" s="70"/>
      <c r="D289" s="40">
        <f t="shared" ref="D289:M290" si="90">D134</f>
        <v>0</v>
      </c>
      <c r="E289" s="40">
        <f t="shared" si="90"/>
        <v>0</v>
      </c>
      <c r="F289" s="40">
        <f t="shared" si="90"/>
        <v>0</v>
      </c>
      <c r="G289" s="40">
        <f t="shared" si="90"/>
        <v>0</v>
      </c>
      <c r="H289" s="40">
        <f t="shared" si="90"/>
        <v>0</v>
      </c>
      <c r="I289" s="40">
        <f t="shared" si="90"/>
        <v>0</v>
      </c>
      <c r="J289" s="40">
        <f t="shared" si="90"/>
        <v>0</v>
      </c>
      <c r="K289" s="40">
        <f t="shared" si="90"/>
        <v>0</v>
      </c>
      <c r="L289" s="40">
        <f t="shared" si="90"/>
        <v>0</v>
      </c>
      <c r="M289" s="40">
        <f t="shared" si="90"/>
        <v>0</v>
      </c>
    </row>
    <row r="290" spans="1:13" x14ac:dyDescent="0.3">
      <c r="A290" s="70" t="s">
        <v>152</v>
      </c>
      <c r="B290" s="70"/>
      <c r="D290" s="40">
        <f t="shared" si="90"/>
        <v>0</v>
      </c>
      <c r="E290" s="40">
        <f t="shared" si="90"/>
        <v>0</v>
      </c>
      <c r="F290" s="40">
        <f t="shared" si="90"/>
        <v>0</v>
      </c>
      <c r="G290" s="40">
        <f t="shared" si="90"/>
        <v>0</v>
      </c>
      <c r="H290" s="40">
        <f t="shared" si="90"/>
        <v>0</v>
      </c>
      <c r="I290" s="40">
        <f t="shared" si="90"/>
        <v>0</v>
      </c>
      <c r="J290" s="40">
        <f t="shared" si="90"/>
        <v>0</v>
      </c>
      <c r="K290" s="40">
        <f t="shared" si="90"/>
        <v>0</v>
      </c>
      <c r="L290" s="40">
        <f t="shared" si="90"/>
        <v>0</v>
      </c>
      <c r="M290" s="40">
        <f t="shared" si="90"/>
        <v>0</v>
      </c>
    </row>
    <row r="291" spans="1:13" x14ac:dyDescent="0.3">
      <c r="A291" s="70"/>
      <c r="B291" s="70"/>
      <c r="D291" s="40"/>
    </row>
    <row r="292" spans="1:13" x14ac:dyDescent="0.3">
      <c r="A292" s="70"/>
      <c r="B292" s="70"/>
    </row>
    <row r="293" spans="1:13" x14ac:dyDescent="0.3">
      <c r="A293" s="23" t="s">
        <v>340</v>
      </c>
      <c r="B293" s="23"/>
      <c r="D293" s="40">
        <f ca="1">D286-D287-D288+D289+D290</f>
        <v>7.209543999999994</v>
      </c>
      <c r="E293" s="40">
        <f t="shared" ref="E293:M293" ca="1" si="91">E286-E287-E288+E289+E290</f>
        <v>19.053786000000002</v>
      </c>
      <c r="F293" s="40">
        <f t="shared" ca="1" si="91"/>
        <v>34.496344000000008</v>
      </c>
      <c r="G293" s="40">
        <f t="shared" ca="1" si="91"/>
        <v>35.48794400000002</v>
      </c>
      <c r="H293" s="40">
        <f t="shared" ca="1" si="91"/>
        <v>45.941138749999951</v>
      </c>
      <c r="I293" s="40">
        <f t="shared" ca="1" si="91"/>
        <v>50.159686156250018</v>
      </c>
      <c r="J293" s="40">
        <f t="shared" ca="1" si="91"/>
        <v>45.43961331796875</v>
      </c>
      <c r="K293" s="40">
        <f t="shared" ca="1" si="91"/>
        <v>44.160387971816427</v>
      </c>
      <c r="L293" s="40">
        <f t="shared" ca="1" si="91"/>
        <v>48.647625100202653</v>
      </c>
      <c r="M293" s="40">
        <f t="shared" ca="1" si="91"/>
        <v>61.226504436267831</v>
      </c>
    </row>
    <row r="294" spans="1:13" x14ac:dyDescent="0.3">
      <c r="A294" s="70" t="s">
        <v>154</v>
      </c>
      <c r="B294" s="70"/>
      <c r="D294" s="40">
        <f ca="1">D246</f>
        <v>0</v>
      </c>
      <c r="E294" s="40">
        <f t="shared" ref="E294:M294" ca="1" si="92">E246</f>
        <v>0</v>
      </c>
      <c r="F294" s="40">
        <f t="shared" ca="1" si="92"/>
        <v>1.6378534999999985</v>
      </c>
      <c r="G294" s="40">
        <f t="shared" ca="1" si="92"/>
        <v>7.6412253750000048</v>
      </c>
      <c r="H294" s="40">
        <f t="shared" ca="1" si="92"/>
        <v>11.257471343749987</v>
      </c>
      <c r="I294" s="40">
        <f t="shared" ca="1" si="92"/>
        <v>13.079939068750004</v>
      </c>
      <c r="J294" s="40">
        <f t="shared" ca="1" si="92"/>
        <v>12.385428948007814</v>
      </c>
      <c r="K294" s="40">
        <f t="shared" ca="1" si="92"/>
        <v>12.457448555965826</v>
      </c>
      <c r="L294" s="40">
        <f t="shared" ca="1" si="92"/>
        <v>13.900580811521952</v>
      </c>
      <c r="M294" s="40">
        <f t="shared" ca="1" si="92"/>
        <v>17.313529164211673</v>
      </c>
    </row>
    <row r="295" spans="1:13" x14ac:dyDescent="0.3">
      <c r="A295" s="23" t="s">
        <v>349</v>
      </c>
      <c r="B295" s="23"/>
      <c r="D295" s="40">
        <f ca="1">D293-D294</f>
        <v>7.209543999999994</v>
      </c>
      <c r="E295" s="40">
        <f t="shared" ref="E295:M295" ca="1" si="93">E293-E294</f>
        <v>19.053786000000002</v>
      </c>
      <c r="F295" s="40">
        <f t="shared" ca="1" si="93"/>
        <v>32.858490500000009</v>
      </c>
      <c r="G295" s="40">
        <f t="shared" ca="1" si="93"/>
        <v>27.846718625000015</v>
      </c>
      <c r="H295" s="40">
        <f t="shared" ca="1" si="93"/>
        <v>34.683667406249967</v>
      </c>
      <c r="I295" s="40">
        <f t="shared" ca="1" si="93"/>
        <v>37.07974708750001</v>
      </c>
      <c r="J295" s="40">
        <f t="shared" ca="1" si="93"/>
        <v>33.054184369960936</v>
      </c>
      <c r="K295" s="40">
        <f t="shared" ca="1" si="93"/>
        <v>31.702939415850601</v>
      </c>
      <c r="L295" s="40">
        <f t="shared" ca="1" si="93"/>
        <v>34.747044288680698</v>
      </c>
      <c r="M295" s="40">
        <f t="shared" ca="1" si="93"/>
        <v>43.912975272056158</v>
      </c>
    </row>
    <row r="296" spans="1:13" x14ac:dyDescent="0.3">
      <c r="A296" s="70" t="s">
        <v>156</v>
      </c>
      <c r="B296" s="70"/>
      <c r="D296" s="40">
        <f ca="1">D295+D279+D280</f>
        <v>20.496923999999993</v>
      </c>
      <c r="E296" s="40">
        <f t="shared" ref="E296:M296" ca="1" si="94">E295+E279+E280</f>
        <v>32.341166000000001</v>
      </c>
      <c r="F296" s="40">
        <f t="shared" ca="1" si="94"/>
        <v>46.348120500000007</v>
      </c>
      <c r="G296" s="40">
        <f t="shared" ca="1" si="94"/>
        <v>41.538598625000013</v>
      </c>
      <c r="H296" s="40">
        <f t="shared" ca="1" si="94"/>
        <v>48.577797406249964</v>
      </c>
      <c r="I296" s="40">
        <f t="shared" ca="1" si="94"/>
        <v>51.176127087500006</v>
      </c>
      <c r="J296" s="40">
        <f t="shared" ca="1" si="94"/>
        <v>47.555064369960938</v>
      </c>
      <c r="K296" s="40">
        <f t="shared" ca="1" si="94"/>
        <v>46.608319415850602</v>
      </c>
      <c r="L296" s="40">
        <f t="shared" ca="1" si="94"/>
        <v>50.056924288680698</v>
      </c>
      <c r="M296" s="40">
        <f t="shared" ca="1" si="94"/>
        <v>59.627355272056157</v>
      </c>
    </row>
    <row r="297" spans="1:13" x14ac:dyDescent="0.3">
      <c r="A297" s="23" t="s">
        <v>350</v>
      </c>
      <c r="B297" s="23"/>
      <c r="D297" s="40">
        <f ca="1">IF((C299+D295)&gt;0, MIN(D170,(C299+D295)),0)</f>
        <v>0</v>
      </c>
      <c r="E297" s="40">
        <f ca="1">IF((E295+SUM($C299:D299))&gt;0,MIN(E170,(E295+SUM($C299:D299))),0)</f>
        <v>0</v>
      </c>
      <c r="F297" s="40">
        <f ca="1">IF((F295+SUM($C299:E299))&gt;0,MIN(F170,(F295+SUM($C299:E299))),0)</f>
        <v>0</v>
      </c>
      <c r="G297" s="40">
        <f ca="1">IF((G295+SUM($C299:F299))&gt;0,MIN(G170,(G295+SUM($C299:F299))),0)</f>
        <v>0</v>
      </c>
      <c r="H297" s="40">
        <f ca="1">IF((H295+SUM($C299:G299))&gt;0,MIN(H170,(H295+SUM($C299:G299))),0)</f>
        <v>0</v>
      </c>
      <c r="I297" s="40">
        <f ca="1">IF((I295+SUM($C299:H299))&gt;0,MIN(I170,(I295+SUM($C299:H299))),0)</f>
        <v>0</v>
      </c>
      <c r="J297" s="40">
        <f ca="1">IF((J295+SUM($C299:I299))&gt;0,MIN(J170,(J295+SUM($C299:I299))),0)</f>
        <v>0</v>
      </c>
      <c r="K297" s="40">
        <f ca="1">IF((K295+SUM($C299:J299))&gt;0,MIN(K170,(K295+SUM($C299:J299))),0)</f>
        <v>0</v>
      </c>
      <c r="L297" s="40">
        <f ca="1">IF((L295+SUM($C299:K299))&gt;0,MIN(L170,(L295+SUM($C299:K299))),0)</f>
        <v>0</v>
      </c>
      <c r="M297" s="40">
        <f ca="1">IF((M295+SUM($C299:L299))&gt;0,MIN(M170,(M295+SUM($C299:L299))),0)</f>
        <v>0</v>
      </c>
    </row>
    <row r="298" spans="1:13" x14ac:dyDescent="0.3">
      <c r="A298" s="23" t="s">
        <v>351</v>
      </c>
      <c r="B298" s="23"/>
      <c r="D298" s="40">
        <f ca="1">IF((C299+D295)&gt;0, MIN(D171,(C299+D295)),0)</f>
        <v>0</v>
      </c>
      <c r="E298" s="40">
        <f ca="1">IF((E295+SUM($C299:D299))&gt;0,MIN(E171,(E295+SUM($C299:D299))),0)</f>
        <v>6.65</v>
      </c>
      <c r="F298" s="40">
        <f ca="1">IF((F295+SUM($C299:E299))&gt;0,MIN(F171,(F295+SUM($C299:E299))),0)</f>
        <v>9.9749999999999996</v>
      </c>
      <c r="G298" s="40">
        <f ca="1">IF((G295+SUM($C299:F299))&gt;0,MIN(G171,(G295+SUM($C299:F299))),0)</f>
        <v>13.3</v>
      </c>
      <c r="H298" s="40">
        <f ca="1">IF((H295+SUM($C299:G299))&gt;0,MIN(H171,(H295+SUM($C299:G299))),0)</f>
        <v>13.3</v>
      </c>
      <c r="I298" s="40">
        <f ca="1">IF((I295+SUM($C299:H299))&gt;0,MIN(I171,(I295+SUM($C299:H299))),0)</f>
        <v>13.3</v>
      </c>
      <c r="J298" s="40">
        <f ca="1">IF((J295+SUM($C299:I299))&gt;0,MIN(J171,(J295+SUM($C299:I299))),0)</f>
        <v>13.3</v>
      </c>
      <c r="K298" s="40">
        <f ca="1">IF((K295+SUM($C299:J299))&gt;0,MIN(K171,(K295+SUM($C299:J299))),0)</f>
        <v>13.3</v>
      </c>
      <c r="L298" s="40">
        <f ca="1">IF((L295+SUM($C299:K299))&gt;0,MIN(L171,(L295+SUM($C299:K299))),0)</f>
        <v>13.3</v>
      </c>
      <c r="M298" s="40">
        <f ca="1">IF((M295+SUM($C299:L299))&gt;0,MIN(M171,(M295+SUM($C299:L299))),0)</f>
        <v>13.3</v>
      </c>
    </row>
    <row r="299" spans="1:13" x14ac:dyDescent="0.3">
      <c r="A299" s="70" t="s">
        <v>158</v>
      </c>
      <c r="B299" s="70"/>
      <c r="D299" s="40">
        <f t="shared" ref="D299:M299" ca="1" si="95">D295-D297-D298</f>
        <v>7.209543999999994</v>
      </c>
      <c r="E299" s="40">
        <f t="shared" ca="1" si="95"/>
        <v>12.403786000000002</v>
      </c>
      <c r="F299" s="40">
        <f t="shared" ca="1" si="95"/>
        <v>22.883490500000008</v>
      </c>
      <c r="G299" s="40">
        <f t="shared" ca="1" si="95"/>
        <v>14.546718625000015</v>
      </c>
      <c r="H299" s="40">
        <f t="shared" ca="1" si="95"/>
        <v>21.383667406249966</v>
      </c>
      <c r="I299" s="40">
        <f t="shared" ca="1" si="95"/>
        <v>23.779747087500009</v>
      </c>
      <c r="J299" s="40">
        <f t="shared" ca="1" si="95"/>
        <v>19.754184369960935</v>
      </c>
      <c r="K299" s="40">
        <f t="shared" ca="1" si="95"/>
        <v>18.4029394158506</v>
      </c>
      <c r="L299" s="40">
        <f t="shared" ca="1" si="95"/>
        <v>21.447044288680697</v>
      </c>
      <c r="M299" s="40">
        <f t="shared" ca="1" si="95"/>
        <v>30.612975272056158</v>
      </c>
    </row>
    <row r="300" spans="1:13" x14ac:dyDescent="0.3">
      <c r="A300" s="70" t="s">
        <v>159</v>
      </c>
      <c r="D300" s="40">
        <f ca="1">C300+D299</f>
        <v>7.209543999999994</v>
      </c>
      <c r="E300" s="40">
        <f t="shared" ref="E300:M300" ca="1" si="96">D300+E299</f>
        <v>19.613329999999998</v>
      </c>
      <c r="F300" s="40">
        <f t="shared" ca="1" si="96"/>
        <v>42.496820500000005</v>
      </c>
      <c r="G300" s="40">
        <f t="shared" ca="1" si="96"/>
        <v>57.043539125000024</v>
      </c>
      <c r="H300" s="40">
        <f t="shared" ca="1" si="96"/>
        <v>78.427206531249993</v>
      </c>
      <c r="I300" s="40">
        <f t="shared" ca="1" si="96"/>
        <v>102.20695361875001</v>
      </c>
      <c r="J300" s="40">
        <f t="shared" ca="1" si="96"/>
        <v>121.96113798871095</v>
      </c>
      <c r="K300" s="40">
        <f t="shared" ca="1" si="96"/>
        <v>140.36407740456156</v>
      </c>
      <c r="L300" s="40">
        <f t="shared" ca="1" si="96"/>
        <v>161.81112169324226</v>
      </c>
      <c r="M300" s="40">
        <f t="shared" ca="1" si="96"/>
        <v>192.42409696529842</v>
      </c>
    </row>
    <row r="303" spans="1:13" x14ac:dyDescent="0.3">
      <c r="A303" s="127" t="s">
        <v>352</v>
      </c>
      <c r="B303" s="127"/>
    </row>
    <row r="304" spans="1:13" x14ac:dyDescent="0.3">
      <c r="A304" s="23"/>
      <c r="B304" s="23"/>
    </row>
    <row r="305" spans="1:13" x14ac:dyDescent="0.3">
      <c r="A305" s="23" t="s">
        <v>353</v>
      </c>
      <c r="B305" s="23"/>
      <c r="C305" s="23">
        <v>0</v>
      </c>
      <c r="D305" s="23">
        <v>1</v>
      </c>
      <c r="E305" s="23">
        <f>D305+1</f>
        <v>2</v>
      </c>
      <c r="F305" s="23">
        <f t="shared" ref="F305:M305" si="97">E305+1</f>
        <v>3</v>
      </c>
      <c r="G305" s="23">
        <f t="shared" si="97"/>
        <v>4</v>
      </c>
      <c r="H305" s="23">
        <f t="shared" si="97"/>
        <v>5</v>
      </c>
      <c r="I305" s="23">
        <f t="shared" si="97"/>
        <v>6</v>
      </c>
      <c r="J305" s="23">
        <f t="shared" si="97"/>
        <v>7</v>
      </c>
      <c r="K305" s="23">
        <f t="shared" si="97"/>
        <v>8</v>
      </c>
      <c r="L305" s="23">
        <f t="shared" si="97"/>
        <v>9</v>
      </c>
      <c r="M305" s="23">
        <f t="shared" si="97"/>
        <v>10</v>
      </c>
    </row>
    <row r="306" spans="1:13" x14ac:dyDescent="0.3">
      <c r="A306" s="23"/>
      <c r="B306" s="23"/>
    </row>
    <row r="307" spans="1:13" x14ac:dyDescent="0.3">
      <c r="A307" s="23" t="s">
        <v>164</v>
      </c>
      <c r="B307" s="23"/>
      <c r="D307" s="40">
        <f ca="1">D286</f>
        <v>26.445543999999995</v>
      </c>
      <c r="E307" s="40">
        <f t="shared" ref="E307:M307" ca="1" si="98">E286</f>
        <v>38.961786000000004</v>
      </c>
      <c r="F307" s="40">
        <f t="shared" ca="1" si="98"/>
        <v>53.787844000000007</v>
      </c>
      <c r="G307" s="40">
        <f t="shared" ca="1" si="98"/>
        <v>53.090444000000019</v>
      </c>
      <c r="H307" s="40">
        <f t="shared" ca="1" si="98"/>
        <v>61.398638749999954</v>
      </c>
      <c r="I307" s="40">
        <f t="shared" ca="1" si="98"/>
        <v>63.472186156250018</v>
      </c>
      <c r="J307" s="40">
        <f t="shared" ca="1" si="98"/>
        <v>56.607113317968746</v>
      </c>
      <c r="K307" s="40">
        <f t="shared" ca="1" si="98"/>
        <v>53.182887971816427</v>
      </c>
      <c r="L307" s="40">
        <f t="shared" ca="1" si="98"/>
        <v>55.525125100202651</v>
      </c>
      <c r="M307" s="40">
        <f t="shared" ca="1" si="98"/>
        <v>65.959004436267833</v>
      </c>
    </row>
    <row r="308" spans="1:13" x14ac:dyDescent="0.3">
      <c r="A308" s="70" t="s">
        <v>165</v>
      </c>
      <c r="B308" s="70"/>
      <c r="D308" s="40">
        <f ca="1">-1*D294</f>
        <v>0</v>
      </c>
      <c r="E308" s="40">
        <f t="shared" ref="E308:M308" ca="1" si="99">-1*E294</f>
        <v>0</v>
      </c>
      <c r="F308" s="40">
        <f t="shared" ca="1" si="99"/>
        <v>-1.6378534999999985</v>
      </c>
      <c r="G308" s="40">
        <f t="shared" ca="1" si="99"/>
        <v>-7.6412253750000048</v>
      </c>
      <c r="H308" s="40">
        <f t="shared" ca="1" si="99"/>
        <v>-11.257471343749987</v>
      </c>
      <c r="I308" s="40">
        <f t="shared" ca="1" si="99"/>
        <v>-13.079939068750004</v>
      </c>
      <c r="J308" s="40">
        <f t="shared" ca="1" si="99"/>
        <v>-12.385428948007814</v>
      </c>
      <c r="K308" s="40">
        <f t="shared" ca="1" si="99"/>
        <v>-12.457448555965826</v>
      </c>
      <c r="L308" s="40">
        <f t="shared" ca="1" si="99"/>
        <v>-13.900580811521952</v>
      </c>
      <c r="M308" s="40">
        <f t="shared" ca="1" si="99"/>
        <v>-17.313529164211673</v>
      </c>
    </row>
    <row r="309" spans="1:13" x14ac:dyDescent="0.3">
      <c r="A309" s="128" t="s">
        <v>166</v>
      </c>
      <c r="B309" s="128"/>
      <c r="D309" s="40">
        <f ca="1">SUM(D307:D308)</f>
        <v>26.445543999999995</v>
      </c>
      <c r="E309" s="40">
        <f t="shared" ref="E309:M309" ca="1" si="100">SUM(E307:E308)</f>
        <v>38.961786000000004</v>
      </c>
      <c r="F309" s="40">
        <f t="shared" ca="1" si="100"/>
        <v>52.149990500000008</v>
      </c>
      <c r="G309" s="40">
        <f t="shared" ca="1" si="100"/>
        <v>45.449218625000015</v>
      </c>
      <c r="H309" s="40">
        <f t="shared" ca="1" si="100"/>
        <v>50.141167406249963</v>
      </c>
      <c r="I309" s="40">
        <f t="shared" ca="1" si="100"/>
        <v>50.39224708750001</v>
      </c>
      <c r="J309" s="40">
        <f t="shared" ca="1" si="100"/>
        <v>44.221684369960933</v>
      </c>
      <c r="K309" s="40">
        <f t="shared" ca="1" si="100"/>
        <v>40.725439415850602</v>
      </c>
      <c r="L309" s="40">
        <f t="shared" ca="1" si="100"/>
        <v>41.624544288680696</v>
      </c>
      <c r="M309" s="40">
        <f t="shared" ca="1" si="100"/>
        <v>48.64547527205616</v>
      </c>
    </row>
    <row r="310" spans="1:13" x14ac:dyDescent="0.3">
      <c r="A310" s="23"/>
      <c r="B310" s="23"/>
    </row>
    <row r="311" spans="1:13" x14ac:dyDescent="0.3">
      <c r="A311" s="23" t="s">
        <v>167</v>
      </c>
      <c r="B311" s="23"/>
    </row>
    <row r="312" spans="1:13" x14ac:dyDescent="0.3">
      <c r="A312" s="70" t="s">
        <v>168</v>
      </c>
      <c r="B312" s="70"/>
      <c r="D312" s="40">
        <f>D279</f>
        <v>12.887380000000002</v>
      </c>
      <c r="E312" s="40">
        <f t="shared" ref="E312:M313" si="101">E279</f>
        <v>12.887380000000002</v>
      </c>
      <c r="F312" s="40">
        <f t="shared" si="101"/>
        <v>13.08963</v>
      </c>
      <c r="G312" s="40">
        <f t="shared" si="101"/>
        <v>13.291880000000003</v>
      </c>
      <c r="H312" s="40">
        <f t="shared" si="101"/>
        <v>13.49413</v>
      </c>
      <c r="I312" s="40">
        <f t="shared" si="101"/>
        <v>13.69638</v>
      </c>
      <c r="J312" s="40">
        <f t="shared" si="101"/>
        <v>14.10088</v>
      </c>
      <c r="K312" s="40">
        <f t="shared" si="101"/>
        <v>14.505380000000001</v>
      </c>
      <c r="L312" s="40">
        <f t="shared" si="101"/>
        <v>14.909880000000001</v>
      </c>
      <c r="M312" s="40">
        <f t="shared" si="101"/>
        <v>15.314380000000002</v>
      </c>
    </row>
    <row r="313" spans="1:13" x14ac:dyDescent="0.3">
      <c r="A313" s="70" t="s">
        <v>169</v>
      </c>
      <c r="B313" s="70"/>
      <c r="D313" s="40">
        <f>D280</f>
        <v>0.4</v>
      </c>
      <c r="E313" s="40">
        <f t="shared" si="101"/>
        <v>0.4</v>
      </c>
      <c r="F313" s="40">
        <f t="shared" si="101"/>
        <v>0.4</v>
      </c>
      <c r="G313" s="40">
        <f t="shared" si="101"/>
        <v>0.4</v>
      </c>
      <c r="H313" s="40">
        <f t="shared" si="101"/>
        <v>0.4</v>
      </c>
      <c r="I313" s="40">
        <f t="shared" si="101"/>
        <v>0.4</v>
      </c>
      <c r="J313" s="40">
        <f t="shared" si="101"/>
        <v>0.4</v>
      </c>
      <c r="K313" s="40">
        <f t="shared" si="101"/>
        <v>0.4</v>
      </c>
      <c r="L313" s="40">
        <f t="shared" si="101"/>
        <v>0.4</v>
      </c>
      <c r="M313" s="40">
        <f t="shared" si="101"/>
        <v>0.4</v>
      </c>
    </row>
    <row r="314" spans="1:13" x14ac:dyDescent="0.3">
      <c r="A314" s="23"/>
      <c r="B314" s="23"/>
    </row>
    <row r="315" spans="1:13" x14ac:dyDescent="0.3">
      <c r="A315" s="23" t="s">
        <v>354</v>
      </c>
      <c r="B315" s="23"/>
      <c r="D315" s="40">
        <f ca="1">D309+D312+D313</f>
        <v>39.732923999999997</v>
      </c>
      <c r="E315" s="40">
        <f t="shared" ref="E315:M315" ca="1" si="102">E309+E312+E313</f>
        <v>52.249166000000002</v>
      </c>
      <c r="F315" s="40">
        <f t="shared" ca="1" si="102"/>
        <v>65.639620500000007</v>
      </c>
      <c r="G315" s="40">
        <f t="shared" ca="1" si="102"/>
        <v>59.141098625000019</v>
      </c>
      <c r="H315" s="40">
        <f t="shared" ca="1" si="102"/>
        <v>64.035297406249967</v>
      </c>
      <c r="I315" s="40">
        <f t="shared" ca="1" si="102"/>
        <v>64.488627087500021</v>
      </c>
      <c r="J315" s="40">
        <f t="shared" ca="1" si="102"/>
        <v>58.722564369960928</v>
      </c>
      <c r="K315" s="40">
        <f t="shared" ca="1" si="102"/>
        <v>55.630819415850603</v>
      </c>
      <c r="L315" s="40">
        <f t="shared" ca="1" si="102"/>
        <v>56.934424288680695</v>
      </c>
      <c r="M315" s="40">
        <f t="shared" ca="1" si="102"/>
        <v>64.359855272056166</v>
      </c>
    </row>
    <row r="316" spans="1:13" x14ac:dyDescent="0.3">
      <c r="A316" s="23"/>
      <c r="B316" s="23"/>
    </row>
    <row r="317" spans="1:13" x14ac:dyDescent="0.3">
      <c r="A317" s="23" t="s">
        <v>170</v>
      </c>
      <c r="B317" s="23"/>
    </row>
    <row r="318" spans="1:13" x14ac:dyDescent="0.3">
      <c r="A318" s="70" t="s">
        <v>171</v>
      </c>
      <c r="B318" s="70"/>
      <c r="C318" s="40">
        <f>B145-C145</f>
        <v>-9</v>
      </c>
      <c r="D318" s="40">
        <f t="shared" ref="D318:M318" si="103">C145-D145</f>
        <v>-23.1</v>
      </c>
      <c r="E318" s="40">
        <f t="shared" si="103"/>
        <v>-10.600000000000001</v>
      </c>
      <c r="F318" s="40">
        <f t="shared" si="103"/>
        <v>-7.0999999999999943</v>
      </c>
      <c r="G318" s="40">
        <f t="shared" si="103"/>
        <v>-7.1000000000000014</v>
      </c>
      <c r="H318" s="40">
        <f t="shared" si="103"/>
        <v>0</v>
      </c>
      <c r="I318" s="40">
        <f t="shared" si="103"/>
        <v>0</v>
      </c>
      <c r="J318" s="40">
        <f t="shared" si="103"/>
        <v>0</v>
      </c>
      <c r="K318" s="40">
        <f t="shared" si="103"/>
        <v>0</v>
      </c>
      <c r="L318" s="40">
        <f t="shared" si="103"/>
        <v>0</v>
      </c>
      <c r="M318" s="40">
        <f t="shared" si="103"/>
        <v>0</v>
      </c>
    </row>
    <row r="319" spans="1:13" x14ac:dyDescent="0.3">
      <c r="A319" s="70" t="s">
        <v>172</v>
      </c>
      <c r="B319" s="70"/>
      <c r="C319">
        <f>C151-B151</f>
        <v>0</v>
      </c>
      <c r="D319">
        <f>D151-C151</f>
        <v>17.3</v>
      </c>
      <c r="E319">
        <f t="shared" ref="E319:M319" si="104">E151-D151</f>
        <v>5.5999999999999979</v>
      </c>
      <c r="F319">
        <f t="shared" si="104"/>
        <v>3.8000000000000007</v>
      </c>
      <c r="G319">
        <f t="shared" si="104"/>
        <v>3.8000000000000007</v>
      </c>
      <c r="H319">
        <f t="shared" si="104"/>
        <v>0</v>
      </c>
      <c r="I319">
        <f t="shared" si="104"/>
        <v>0</v>
      </c>
      <c r="J319">
        <f t="shared" si="104"/>
        <v>0</v>
      </c>
      <c r="K319">
        <f t="shared" si="104"/>
        <v>0</v>
      </c>
      <c r="L319">
        <f t="shared" si="104"/>
        <v>0</v>
      </c>
      <c r="M319">
        <f t="shared" si="104"/>
        <v>0</v>
      </c>
    </row>
    <row r="320" spans="1:13" x14ac:dyDescent="0.3">
      <c r="A320" s="70" t="s">
        <v>173</v>
      </c>
      <c r="B320" s="70"/>
      <c r="C320">
        <f>C149-B149</f>
        <v>0</v>
      </c>
      <c r="D320">
        <f>D149-C149</f>
        <v>6.8</v>
      </c>
      <c r="E320">
        <f t="shared" ref="E320:M320" si="105">E149-D149</f>
        <v>2.2999999999999998</v>
      </c>
      <c r="F320">
        <f t="shared" si="105"/>
        <v>1.5</v>
      </c>
      <c r="G320">
        <f t="shared" si="105"/>
        <v>1.5999999999999996</v>
      </c>
      <c r="H320">
        <f t="shared" si="105"/>
        <v>0</v>
      </c>
      <c r="I320">
        <f t="shared" si="105"/>
        <v>0</v>
      </c>
      <c r="J320">
        <f t="shared" si="105"/>
        <v>0</v>
      </c>
      <c r="K320">
        <f t="shared" si="105"/>
        <v>0</v>
      </c>
      <c r="L320">
        <f t="shared" si="105"/>
        <v>0</v>
      </c>
      <c r="M320">
        <f t="shared" si="105"/>
        <v>0</v>
      </c>
    </row>
    <row r="321" spans="1:13" x14ac:dyDescent="0.3">
      <c r="A321" s="23"/>
      <c r="B321" s="23"/>
    </row>
    <row r="322" spans="1:13" x14ac:dyDescent="0.3">
      <c r="A322" s="23" t="s">
        <v>175</v>
      </c>
      <c r="B322" s="23"/>
      <c r="C322" s="40">
        <f>SUM(C315:C321)</f>
        <v>-9</v>
      </c>
      <c r="D322" s="40">
        <f ca="1">SUM(D315:D321)</f>
        <v>40.732923999999997</v>
      </c>
      <c r="E322" s="40">
        <f t="shared" ref="E322:M322" ca="1" si="106">SUM(E315:E321)</f>
        <v>49.549166</v>
      </c>
      <c r="F322" s="40">
        <f t="shared" ca="1" si="106"/>
        <v>63.839620500000009</v>
      </c>
      <c r="G322" s="40">
        <f t="shared" ca="1" si="106"/>
        <v>57.441098625000016</v>
      </c>
      <c r="H322" s="40">
        <f t="shared" ca="1" si="106"/>
        <v>64.035297406249967</v>
      </c>
      <c r="I322" s="40">
        <f t="shared" ca="1" si="106"/>
        <v>64.488627087500021</v>
      </c>
      <c r="J322" s="40">
        <f t="shared" ca="1" si="106"/>
        <v>58.722564369960928</v>
      </c>
      <c r="K322" s="40">
        <f t="shared" ca="1" si="106"/>
        <v>55.630819415850603</v>
      </c>
      <c r="L322" s="40">
        <f t="shared" ca="1" si="106"/>
        <v>56.934424288680695</v>
      </c>
      <c r="M322" s="40">
        <f t="shared" ca="1" si="106"/>
        <v>64.359855272056166</v>
      </c>
    </row>
    <row r="323" spans="1:13" x14ac:dyDescent="0.3">
      <c r="A323" s="23"/>
      <c r="B323" s="23"/>
    </row>
    <row r="324" spans="1:13" x14ac:dyDescent="0.3">
      <c r="A324" s="70" t="s">
        <v>176</v>
      </c>
      <c r="B324" s="70"/>
      <c r="C324">
        <f>-1*C181</f>
        <v>0</v>
      </c>
      <c r="D324">
        <f>-1*D181</f>
        <v>0</v>
      </c>
      <c r="E324">
        <f t="shared" ref="E324:M324" si="107">-1*E181</f>
        <v>0</v>
      </c>
      <c r="F324">
        <f t="shared" si="107"/>
        <v>-16.5</v>
      </c>
      <c r="G324">
        <f t="shared" si="107"/>
        <v>-16.5</v>
      </c>
      <c r="H324">
        <f t="shared" si="107"/>
        <v>-16.5</v>
      </c>
      <c r="I324">
        <f t="shared" si="107"/>
        <v>-16.5</v>
      </c>
      <c r="J324">
        <f t="shared" si="107"/>
        <v>-16.5</v>
      </c>
      <c r="K324">
        <f t="shared" si="107"/>
        <v>-16.5</v>
      </c>
      <c r="L324">
        <f t="shared" si="107"/>
        <v>-16.5</v>
      </c>
      <c r="M324">
        <f t="shared" si="107"/>
        <v>-16.5</v>
      </c>
    </row>
    <row r="325" spans="1:13" x14ac:dyDescent="0.3">
      <c r="A325" s="70" t="s">
        <v>177</v>
      </c>
      <c r="B325" s="70"/>
      <c r="C325" s="40">
        <f>-1*C287</f>
        <v>0</v>
      </c>
      <c r="D325" s="40">
        <f>-1*D287</f>
        <v>-19.236000000000001</v>
      </c>
      <c r="E325" s="40">
        <f t="shared" ref="E325:M326" si="108">-1*E287</f>
        <v>-19.908000000000001</v>
      </c>
      <c r="F325" s="40">
        <f t="shared" si="108"/>
        <v>-19.291500000000003</v>
      </c>
      <c r="G325" s="40">
        <f t="shared" si="108"/>
        <v>-17.602499999999999</v>
      </c>
      <c r="H325" s="40">
        <f t="shared" si="108"/>
        <v>-15.457500000000001</v>
      </c>
      <c r="I325" s="40">
        <f t="shared" si="108"/>
        <v>-13.3125</v>
      </c>
      <c r="J325" s="40">
        <f t="shared" si="108"/>
        <v>-11.1675</v>
      </c>
      <c r="K325" s="40">
        <f t="shared" si="108"/>
        <v>-9.0225000000000009</v>
      </c>
      <c r="L325" s="40">
        <f t="shared" si="108"/>
        <v>-6.8775000000000004</v>
      </c>
      <c r="M325" s="40">
        <f t="shared" si="108"/>
        <v>-4.7324999999999999</v>
      </c>
    </row>
    <row r="326" spans="1:13" x14ac:dyDescent="0.3">
      <c r="A326" s="70" t="s">
        <v>178</v>
      </c>
      <c r="B326" s="23"/>
      <c r="C326" s="40">
        <f>-1*C288</f>
        <v>0</v>
      </c>
      <c r="D326" s="40">
        <f>-1*D288</f>
        <v>0</v>
      </c>
      <c r="E326" s="40">
        <f t="shared" si="108"/>
        <v>0</v>
      </c>
      <c r="F326" s="40">
        <f t="shared" si="108"/>
        <v>0</v>
      </c>
      <c r="G326" s="40">
        <f t="shared" si="108"/>
        <v>0</v>
      </c>
      <c r="H326" s="40">
        <f t="shared" si="108"/>
        <v>0</v>
      </c>
      <c r="I326" s="40">
        <f t="shared" si="108"/>
        <v>0</v>
      </c>
      <c r="J326" s="40">
        <f t="shared" si="108"/>
        <v>0</v>
      </c>
      <c r="K326" s="40">
        <f t="shared" si="108"/>
        <v>0</v>
      </c>
      <c r="L326" s="40">
        <f t="shared" si="108"/>
        <v>0</v>
      </c>
      <c r="M326" s="40">
        <f t="shared" si="108"/>
        <v>0</v>
      </c>
    </row>
    <row r="327" spans="1:13" ht="93" x14ac:dyDescent="0.3">
      <c r="A327" s="129" t="s">
        <v>179</v>
      </c>
      <c r="B327" s="129"/>
      <c r="C327" s="40">
        <f>SUM(C322:C326)</f>
        <v>-9</v>
      </c>
      <c r="D327" s="40">
        <f ca="1">SUM(D322:D326)</f>
        <v>21.496923999999996</v>
      </c>
      <c r="E327" s="40">
        <f t="shared" ref="E327:M327" ca="1" si="109">SUM(E322:E326)</f>
        <v>29.641165999999998</v>
      </c>
      <c r="F327" s="40">
        <f t="shared" ca="1" si="109"/>
        <v>28.048120500000007</v>
      </c>
      <c r="G327" s="40">
        <f t="shared" ca="1" si="109"/>
        <v>23.338598625000017</v>
      </c>
      <c r="H327" s="40">
        <f t="shared" ca="1" si="109"/>
        <v>32.077797406249964</v>
      </c>
      <c r="I327" s="40">
        <f t="shared" ca="1" si="109"/>
        <v>34.676127087500021</v>
      </c>
      <c r="J327" s="40">
        <f t="shared" ca="1" si="109"/>
        <v>31.055064369960927</v>
      </c>
      <c r="K327" s="40">
        <f t="shared" ca="1" si="109"/>
        <v>30.108319415850602</v>
      </c>
      <c r="L327" s="40">
        <f t="shared" ca="1" si="109"/>
        <v>33.556924288680698</v>
      </c>
      <c r="M327" s="40">
        <f t="shared" ca="1" si="109"/>
        <v>43.127355272056164</v>
      </c>
    </row>
    <row r="328" spans="1:13" x14ac:dyDescent="0.3">
      <c r="A328" s="23"/>
      <c r="B328" s="23"/>
    </row>
    <row r="329" spans="1:13" x14ac:dyDescent="0.3">
      <c r="A329" s="76" t="s">
        <v>180</v>
      </c>
      <c r="B329" s="23"/>
      <c r="C329" s="40">
        <f t="shared" ref="C329:M329" si="110">-1*((SUM(C10:C12))+C141+C142)</f>
        <v>-174.70000000000002</v>
      </c>
      <c r="D329" s="40">
        <f t="shared" si="110"/>
        <v>0</v>
      </c>
      <c r="E329" s="40">
        <f t="shared" si="110"/>
        <v>0</v>
      </c>
      <c r="F329" s="40">
        <f t="shared" si="110"/>
        <v>-2.5</v>
      </c>
      <c r="G329" s="40">
        <f t="shared" si="110"/>
        <v>-2.5</v>
      </c>
      <c r="H329" s="40">
        <f t="shared" si="110"/>
        <v>-2.5</v>
      </c>
      <c r="I329" s="40">
        <f t="shared" si="110"/>
        <v>-2.5</v>
      </c>
      <c r="J329" s="40">
        <f t="shared" si="110"/>
        <v>-5</v>
      </c>
      <c r="K329" s="40">
        <f t="shared" si="110"/>
        <v>-5</v>
      </c>
      <c r="L329" s="40">
        <f t="shared" si="110"/>
        <v>-5</v>
      </c>
      <c r="M329" s="40">
        <f t="shared" si="110"/>
        <v>-5</v>
      </c>
    </row>
    <row r="330" spans="1:13" x14ac:dyDescent="0.3">
      <c r="A330" s="70" t="s">
        <v>181</v>
      </c>
      <c r="B330" s="23"/>
      <c r="C330">
        <f>-1*C13</f>
        <v>-16.3</v>
      </c>
      <c r="D330">
        <f t="shared" ref="D330:M330" si="111">-1*D13</f>
        <v>0</v>
      </c>
      <c r="E330">
        <f t="shared" si="111"/>
        <v>0</v>
      </c>
      <c r="F330">
        <f t="shared" si="111"/>
        <v>0</v>
      </c>
      <c r="G330">
        <f t="shared" si="111"/>
        <v>0</v>
      </c>
      <c r="H330">
        <f t="shared" si="111"/>
        <v>0</v>
      </c>
      <c r="I330">
        <f t="shared" si="111"/>
        <v>0</v>
      </c>
      <c r="J330">
        <f t="shared" si="111"/>
        <v>0</v>
      </c>
      <c r="K330">
        <f t="shared" si="111"/>
        <v>0</v>
      </c>
      <c r="L330">
        <f t="shared" si="111"/>
        <v>0</v>
      </c>
      <c r="M330">
        <f t="shared" si="111"/>
        <v>0</v>
      </c>
    </row>
    <row r="331" spans="1:13" x14ac:dyDescent="0.3">
      <c r="A331" s="23" t="s">
        <v>182</v>
      </c>
      <c r="B331" s="23"/>
      <c r="C331" s="40">
        <f>SUM(C329,C330)</f>
        <v>-191.00000000000003</v>
      </c>
      <c r="D331" s="40">
        <f t="shared" ref="D331:M331" si="112">SUM(D329,D330)</f>
        <v>0</v>
      </c>
      <c r="E331" s="40">
        <f t="shared" si="112"/>
        <v>0</v>
      </c>
      <c r="F331" s="40">
        <f t="shared" si="112"/>
        <v>-2.5</v>
      </c>
      <c r="G331" s="40">
        <f t="shared" si="112"/>
        <v>-2.5</v>
      </c>
      <c r="H331" s="40">
        <f t="shared" si="112"/>
        <v>-2.5</v>
      </c>
      <c r="I331" s="40">
        <f t="shared" si="112"/>
        <v>-2.5</v>
      </c>
      <c r="J331" s="40">
        <f t="shared" si="112"/>
        <v>-5</v>
      </c>
      <c r="K331" s="40">
        <f t="shared" si="112"/>
        <v>-5</v>
      </c>
      <c r="L331" s="40">
        <f t="shared" si="112"/>
        <v>-5</v>
      </c>
      <c r="M331" s="40">
        <f t="shared" si="112"/>
        <v>-5</v>
      </c>
    </row>
    <row r="332" spans="1:13" x14ac:dyDescent="0.3">
      <c r="A332" s="23"/>
      <c r="B332" s="23"/>
    </row>
    <row r="333" spans="1:13" x14ac:dyDescent="0.3">
      <c r="A333" s="23" t="s">
        <v>183</v>
      </c>
      <c r="B333" s="23"/>
      <c r="C333" s="40">
        <f>C327+C331</f>
        <v>-200.00000000000003</v>
      </c>
      <c r="D333" s="40">
        <f t="shared" ref="D333:M333" ca="1" si="113">D327+D331</f>
        <v>21.496923999999996</v>
      </c>
      <c r="E333" s="40">
        <f t="shared" ca="1" si="113"/>
        <v>29.641165999999998</v>
      </c>
      <c r="F333" s="40">
        <f t="shared" ca="1" si="113"/>
        <v>25.548120500000007</v>
      </c>
      <c r="G333" s="40">
        <f t="shared" ca="1" si="113"/>
        <v>20.838598625000017</v>
      </c>
      <c r="H333" s="40">
        <f t="shared" ca="1" si="113"/>
        <v>29.577797406249964</v>
      </c>
      <c r="I333" s="40">
        <f t="shared" ca="1" si="113"/>
        <v>32.176127087500021</v>
      </c>
      <c r="J333" s="40">
        <f t="shared" ca="1" si="113"/>
        <v>26.055064369960927</v>
      </c>
      <c r="K333" s="40">
        <f t="shared" ca="1" si="113"/>
        <v>25.108319415850602</v>
      </c>
      <c r="L333" s="40">
        <f t="shared" ca="1" si="113"/>
        <v>28.556924288680698</v>
      </c>
      <c r="M333" s="40">
        <f t="shared" ca="1" si="113"/>
        <v>38.127355272056164</v>
      </c>
    </row>
    <row r="334" spans="1:13" x14ac:dyDescent="0.3">
      <c r="A334" s="23"/>
      <c r="B334" s="23"/>
    </row>
    <row r="335" spans="1:13" x14ac:dyDescent="0.3">
      <c r="A335" s="70" t="s">
        <v>355</v>
      </c>
      <c r="B335" s="70"/>
      <c r="C335" s="40">
        <f>C27</f>
        <v>0</v>
      </c>
      <c r="D335" s="40">
        <f t="shared" ref="D335:M335" si="114">D27</f>
        <v>0</v>
      </c>
      <c r="E335" s="40">
        <f t="shared" si="114"/>
        <v>0</v>
      </c>
      <c r="F335" s="40">
        <f t="shared" si="114"/>
        <v>0</v>
      </c>
      <c r="G335" s="40">
        <f t="shared" si="114"/>
        <v>0</v>
      </c>
      <c r="H335" s="40">
        <f t="shared" si="114"/>
        <v>0</v>
      </c>
      <c r="I335" s="40">
        <f t="shared" si="114"/>
        <v>0</v>
      </c>
      <c r="J335" s="40">
        <f t="shared" si="114"/>
        <v>0</v>
      </c>
      <c r="K335" s="40">
        <f t="shared" si="114"/>
        <v>0</v>
      </c>
      <c r="L335" s="40">
        <f t="shared" si="114"/>
        <v>0</v>
      </c>
      <c r="M335" s="40">
        <f t="shared" si="114"/>
        <v>0</v>
      </c>
    </row>
    <row r="336" spans="1:13" x14ac:dyDescent="0.3">
      <c r="A336" s="70" t="s">
        <v>184</v>
      </c>
      <c r="B336" s="70"/>
      <c r="C336" s="40">
        <f>C32</f>
        <v>66.5</v>
      </c>
      <c r="D336" s="40">
        <f t="shared" ref="D336:M338" si="115">D32</f>
        <v>0</v>
      </c>
      <c r="E336" s="40">
        <f t="shared" si="115"/>
        <v>0</v>
      </c>
      <c r="F336" s="40">
        <f t="shared" si="115"/>
        <v>0</v>
      </c>
      <c r="G336" s="40">
        <f t="shared" si="115"/>
        <v>0</v>
      </c>
      <c r="H336" s="40">
        <f t="shared" si="115"/>
        <v>0</v>
      </c>
      <c r="I336" s="40">
        <f t="shared" si="115"/>
        <v>0</v>
      </c>
      <c r="J336" s="40">
        <f t="shared" si="115"/>
        <v>0</v>
      </c>
      <c r="K336" s="40">
        <f t="shared" si="115"/>
        <v>0</v>
      </c>
      <c r="L336" s="40">
        <f t="shared" si="115"/>
        <v>0</v>
      </c>
      <c r="M336" s="40">
        <f t="shared" si="115"/>
        <v>0</v>
      </c>
    </row>
    <row r="337" spans="1:13" x14ac:dyDescent="0.3">
      <c r="A337" s="70" t="s">
        <v>356</v>
      </c>
      <c r="B337" s="70"/>
      <c r="C337" s="40">
        <f>C33</f>
        <v>132</v>
      </c>
      <c r="D337" s="40">
        <f t="shared" si="115"/>
        <v>0</v>
      </c>
      <c r="E337" s="40">
        <f t="shared" si="115"/>
        <v>0</v>
      </c>
      <c r="F337" s="40">
        <f t="shared" si="115"/>
        <v>0</v>
      </c>
      <c r="G337" s="40">
        <f t="shared" si="115"/>
        <v>0</v>
      </c>
      <c r="H337" s="40">
        <f t="shared" si="115"/>
        <v>0</v>
      </c>
      <c r="I337" s="40">
        <f t="shared" si="115"/>
        <v>0</v>
      </c>
      <c r="J337" s="40">
        <f t="shared" si="115"/>
        <v>0</v>
      </c>
      <c r="K337" s="40">
        <f t="shared" si="115"/>
        <v>0</v>
      </c>
      <c r="L337" s="40">
        <f t="shared" si="115"/>
        <v>0</v>
      </c>
      <c r="M337" s="40">
        <f t="shared" si="115"/>
        <v>0</v>
      </c>
    </row>
    <row r="338" spans="1:13" x14ac:dyDescent="0.3">
      <c r="A338" s="70" t="s">
        <v>185</v>
      </c>
      <c r="B338" s="70"/>
      <c r="C338" s="40">
        <f>C34</f>
        <v>1.5</v>
      </c>
      <c r="D338" s="40">
        <f t="shared" si="115"/>
        <v>0</v>
      </c>
      <c r="E338" s="40">
        <f t="shared" si="115"/>
        <v>0</v>
      </c>
      <c r="F338" s="40">
        <f t="shared" si="115"/>
        <v>0</v>
      </c>
      <c r="G338" s="40">
        <f t="shared" si="115"/>
        <v>0</v>
      </c>
      <c r="H338" s="40">
        <f t="shared" si="115"/>
        <v>0</v>
      </c>
      <c r="I338" s="40">
        <f t="shared" si="115"/>
        <v>0</v>
      </c>
      <c r="J338" s="40">
        <f t="shared" si="115"/>
        <v>0</v>
      </c>
      <c r="K338" s="40">
        <f t="shared" si="115"/>
        <v>0</v>
      </c>
      <c r="L338" s="40">
        <f t="shared" si="115"/>
        <v>0</v>
      </c>
      <c r="M338" s="40">
        <f t="shared" si="115"/>
        <v>0</v>
      </c>
    </row>
    <row r="339" spans="1:13" x14ac:dyDescent="0.3">
      <c r="A339" s="70" t="s">
        <v>186</v>
      </c>
      <c r="B339" s="70"/>
      <c r="C339" s="40">
        <f>-1*(C297+C298)</f>
        <v>0</v>
      </c>
      <c r="D339" s="40">
        <f t="shared" ref="D339:M339" ca="1" si="116">-1*(D297+D298)</f>
        <v>0</v>
      </c>
      <c r="E339" s="40">
        <f t="shared" ca="1" si="116"/>
        <v>-6.65</v>
      </c>
      <c r="F339" s="40">
        <f t="shared" ca="1" si="116"/>
        <v>-9.9749999999999996</v>
      </c>
      <c r="G339" s="40">
        <f t="shared" ca="1" si="116"/>
        <v>-13.3</v>
      </c>
      <c r="H339" s="40">
        <f t="shared" ca="1" si="116"/>
        <v>-13.3</v>
      </c>
      <c r="I339" s="40">
        <f t="shared" ca="1" si="116"/>
        <v>-13.3</v>
      </c>
      <c r="J339" s="40">
        <f t="shared" ca="1" si="116"/>
        <v>-13.3</v>
      </c>
      <c r="K339" s="40">
        <f t="shared" ca="1" si="116"/>
        <v>-13.3</v>
      </c>
      <c r="L339" s="40">
        <f t="shared" ca="1" si="116"/>
        <v>-13.3</v>
      </c>
      <c r="M339" s="40">
        <f t="shared" ca="1" si="116"/>
        <v>-13.3</v>
      </c>
    </row>
    <row r="340" spans="1:13" x14ac:dyDescent="0.3">
      <c r="A340" s="23" t="s">
        <v>187</v>
      </c>
      <c r="B340" s="23"/>
      <c r="C340" s="40">
        <f>SUM(C335:C339)</f>
        <v>200</v>
      </c>
      <c r="D340" s="40">
        <f t="shared" ref="D340:M340" ca="1" si="117">SUM(D335:D339)</f>
        <v>0</v>
      </c>
      <c r="E340" s="40">
        <f t="shared" ca="1" si="117"/>
        <v>-6.65</v>
      </c>
      <c r="F340" s="40">
        <f t="shared" ca="1" si="117"/>
        <v>-9.9749999999999996</v>
      </c>
      <c r="G340" s="40">
        <f t="shared" ca="1" si="117"/>
        <v>-13.3</v>
      </c>
      <c r="H340" s="40">
        <f t="shared" ca="1" si="117"/>
        <v>-13.3</v>
      </c>
      <c r="I340" s="40">
        <f t="shared" ca="1" si="117"/>
        <v>-13.3</v>
      </c>
      <c r="J340" s="40">
        <f t="shared" ca="1" si="117"/>
        <v>-13.3</v>
      </c>
      <c r="K340" s="40">
        <f t="shared" ca="1" si="117"/>
        <v>-13.3</v>
      </c>
      <c r="L340" s="40">
        <f t="shared" ca="1" si="117"/>
        <v>-13.3</v>
      </c>
      <c r="M340" s="40">
        <f t="shared" ca="1" si="117"/>
        <v>-13.3</v>
      </c>
    </row>
    <row r="341" spans="1:13" x14ac:dyDescent="0.3">
      <c r="A341" s="23"/>
      <c r="B341" s="23"/>
    </row>
    <row r="342" spans="1:13" x14ac:dyDescent="0.3">
      <c r="A342" s="23" t="s">
        <v>190</v>
      </c>
      <c r="B342" s="23"/>
      <c r="D342" s="40">
        <f>C344</f>
        <v>0</v>
      </c>
      <c r="E342" s="40">
        <f t="shared" ref="E342:M342" ca="1" si="118">D344</f>
        <v>21.496923999999996</v>
      </c>
      <c r="F342" s="40">
        <f t="shared" ca="1" si="118"/>
        <v>44.48809</v>
      </c>
      <c r="G342" s="40">
        <f t="shared" ca="1" si="118"/>
        <v>60.061210500000008</v>
      </c>
      <c r="H342" s="40">
        <f t="shared" ca="1" si="118"/>
        <v>67.599809125000021</v>
      </c>
      <c r="I342" s="40">
        <f t="shared" ca="1" si="118"/>
        <v>83.877606531249981</v>
      </c>
      <c r="J342" s="40">
        <f t="shared" ca="1" si="118"/>
        <v>102.75373361875</v>
      </c>
      <c r="K342" s="40">
        <f t="shared" ca="1" si="118"/>
        <v>115.50879798871094</v>
      </c>
      <c r="L342" s="40">
        <f t="shared" ca="1" si="118"/>
        <v>127.31711740456154</v>
      </c>
      <c r="M342" s="40">
        <f t="shared" ca="1" si="118"/>
        <v>142.57404169324224</v>
      </c>
    </row>
    <row r="343" spans="1:13" x14ac:dyDescent="0.3">
      <c r="A343" s="23" t="s">
        <v>191</v>
      </c>
      <c r="B343" s="23"/>
      <c r="C343" s="40">
        <f>C333+C340</f>
        <v>0</v>
      </c>
      <c r="D343" s="40">
        <f t="shared" ref="D343:M343" ca="1" si="119">D333+D340</f>
        <v>21.496923999999996</v>
      </c>
      <c r="E343" s="40">
        <f t="shared" ca="1" si="119"/>
        <v>22.991166</v>
      </c>
      <c r="F343" s="40">
        <f t="shared" ca="1" si="119"/>
        <v>15.573120500000007</v>
      </c>
      <c r="G343" s="40">
        <f t="shared" ca="1" si="119"/>
        <v>7.5385986250000165</v>
      </c>
      <c r="H343" s="40">
        <f t="shared" ca="1" si="119"/>
        <v>16.277797406249963</v>
      </c>
      <c r="I343" s="40">
        <f t="shared" ca="1" si="119"/>
        <v>18.87612708750002</v>
      </c>
      <c r="J343" s="40">
        <f t="shared" ca="1" si="119"/>
        <v>12.755064369960927</v>
      </c>
      <c r="K343" s="40">
        <f t="shared" ca="1" si="119"/>
        <v>11.808319415850601</v>
      </c>
      <c r="L343" s="40">
        <f t="shared" ca="1" si="119"/>
        <v>15.256924288680697</v>
      </c>
      <c r="M343" s="40">
        <f t="shared" ca="1" si="119"/>
        <v>24.827355272056163</v>
      </c>
    </row>
    <row r="344" spans="1:13" x14ac:dyDescent="0.3">
      <c r="A344" s="23" t="s">
        <v>192</v>
      </c>
      <c r="B344" s="23"/>
      <c r="C344" s="40">
        <f>C342+C343</f>
        <v>0</v>
      </c>
      <c r="D344" s="40">
        <f t="shared" ref="D344:M344" ca="1" si="120">D342+D343</f>
        <v>21.496923999999996</v>
      </c>
      <c r="E344" s="40">
        <f t="shared" ca="1" si="120"/>
        <v>44.48809</v>
      </c>
      <c r="F344" s="40">
        <f t="shared" ca="1" si="120"/>
        <v>60.061210500000008</v>
      </c>
      <c r="G344" s="40">
        <f t="shared" ca="1" si="120"/>
        <v>67.599809125000021</v>
      </c>
      <c r="H344" s="40">
        <f t="shared" ca="1" si="120"/>
        <v>83.877606531249981</v>
      </c>
      <c r="I344" s="40">
        <f t="shared" ca="1" si="120"/>
        <v>102.75373361875</v>
      </c>
      <c r="J344" s="40">
        <f t="shared" ca="1" si="120"/>
        <v>115.50879798871094</v>
      </c>
      <c r="K344" s="40">
        <f t="shared" ca="1" si="120"/>
        <v>127.31711740456154</v>
      </c>
      <c r="L344" s="40">
        <f t="shared" ca="1" si="120"/>
        <v>142.57404169324224</v>
      </c>
      <c r="M344" s="40">
        <f t="shared" ca="1" si="120"/>
        <v>167.4013969652984</v>
      </c>
    </row>
    <row r="345" spans="1:13" x14ac:dyDescent="0.3">
      <c r="A345" s="23"/>
      <c r="B345" s="23"/>
    </row>
    <row r="348" spans="1:13" x14ac:dyDescent="0.3">
      <c r="A348" s="130" t="s">
        <v>357</v>
      </c>
    </row>
    <row r="349" spans="1:13" x14ac:dyDescent="0.3">
      <c r="A349" s="23"/>
    </row>
    <row r="350" spans="1:13" x14ac:dyDescent="0.3">
      <c r="A350" s="130" t="s">
        <v>193</v>
      </c>
    </row>
    <row r="351" spans="1:13" x14ac:dyDescent="0.3">
      <c r="A351" s="70" t="s">
        <v>358</v>
      </c>
    </row>
    <row r="352" spans="1:13" x14ac:dyDescent="0.3">
      <c r="A352" s="131" t="s">
        <v>75</v>
      </c>
      <c r="C352" s="40">
        <f>B352+C335</f>
        <v>0</v>
      </c>
      <c r="D352" s="40">
        <f>C352+D335</f>
        <v>0</v>
      </c>
      <c r="E352" s="40">
        <f t="shared" ref="E352:M353" si="121">D352+E335</f>
        <v>0</v>
      </c>
      <c r="F352" s="40">
        <f t="shared" si="121"/>
        <v>0</v>
      </c>
      <c r="G352" s="40">
        <f t="shared" si="121"/>
        <v>0</v>
      </c>
      <c r="H352" s="40">
        <f t="shared" si="121"/>
        <v>0</v>
      </c>
      <c r="I352" s="40">
        <f t="shared" si="121"/>
        <v>0</v>
      </c>
      <c r="J352" s="40">
        <f t="shared" si="121"/>
        <v>0</v>
      </c>
      <c r="K352" s="40">
        <f t="shared" si="121"/>
        <v>0</v>
      </c>
      <c r="L352" s="40">
        <f t="shared" si="121"/>
        <v>0</v>
      </c>
      <c r="M352" s="40">
        <f t="shared" si="121"/>
        <v>0</v>
      </c>
    </row>
    <row r="353" spans="1:13" x14ac:dyDescent="0.3">
      <c r="A353" s="131" t="s">
        <v>0</v>
      </c>
      <c r="C353" s="40">
        <f>B353+C336</f>
        <v>66.5</v>
      </c>
      <c r="D353" s="40">
        <f>C353+D336</f>
        <v>66.5</v>
      </c>
      <c r="E353" s="40">
        <f t="shared" si="121"/>
        <v>66.5</v>
      </c>
      <c r="F353" s="40">
        <f t="shared" si="121"/>
        <v>66.5</v>
      </c>
      <c r="G353" s="40">
        <f t="shared" si="121"/>
        <v>66.5</v>
      </c>
      <c r="H353" s="40">
        <f t="shared" si="121"/>
        <v>66.5</v>
      </c>
      <c r="I353" s="40">
        <f t="shared" si="121"/>
        <v>66.5</v>
      </c>
      <c r="J353" s="40">
        <f t="shared" si="121"/>
        <v>66.5</v>
      </c>
      <c r="K353" s="40">
        <f t="shared" si="121"/>
        <v>66.5</v>
      </c>
      <c r="L353" s="40">
        <f t="shared" si="121"/>
        <v>66.5</v>
      </c>
      <c r="M353" s="40">
        <f t="shared" si="121"/>
        <v>66.5</v>
      </c>
    </row>
    <row r="354" spans="1:13" x14ac:dyDescent="0.3">
      <c r="A354" s="70" t="s">
        <v>359</v>
      </c>
      <c r="C354" s="40">
        <f>B354+C338</f>
        <v>1.5</v>
      </c>
      <c r="D354" s="40">
        <f>C354+D338</f>
        <v>1.5</v>
      </c>
      <c r="E354" s="40">
        <f t="shared" ref="E354:M354" si="122">D354+E338</f>
        <v>1.5</v>
      </c>
      <c r="F354" s="40">
        <f t="shared" si="122"/>
        <v>1.5</v>
      </c>
      <c r="G354" s="40">
        <f t="shared" si="122"/>
        <v>1.5</v>
      </c>
      <c r="H354" s="40">
        <f t="shared" si="122"/>
        <v>1.5</v>
      </c>
      <c r="I354" s="40">
        <f t="shared" si="122"/>
        <v>1.5</v>
      </c>
      <c r="J354" s="40">
        <f t="shared" si="122"/>
        <v>1.5</v>
      </c>
      <c r="K354" s="40">
        <f t="shared" si="122"/>
        <v>1.5</v>
      </c>
      <c r="L354" s="40">
        <f t="shared" si="122"/>
        <v>1.5</v>
      </c>
      <c r="M354" s="40">
        <f t="shared" si="122"/>
        <v>1.5</v>
      </c>
    </row>
    <row r="355" spans="1:13" x14ac:dyDescent="0.3">
      <c r="A355" s="70" t="s">
        <v>196</v>
      </c>
      <c r="C355" s="40">
        <f>IF(C300&gt;0,C300,0)</f>
        <v>0</v>
      </c>
      <c r="D355" s="40">
        <f t="shared" ref="D355:M355" ca="1" si="123">IF(D300&gt;0,D300,0)</f>
        <v>7.209543999999994</v>
      </c>
      <c r="E355" s="40">
        <f t="shared" ca="1" si="123"/>
        <v>19.613329999999998</v>
      </c>
      <c r="F355" s="40">
        <f t="shared" ca="1" si="123"/>
        <v>42.496820500000005</v>
      </c>
      <c r="G355" s="40">
        <f t="shared" ca="1" si="123"/>
        <v>57.043539125000024</v>
      </c>
      <c r="H355" s="40">
        <f t="shared" ca="1" si="123"/>
        <v>78.427206531249993</v>
      </c>
      <c r="I355" s="40">
        <f t="shared" ca="1" si="123"/>
        <v>102.20695361875001</v>
      </c>
      <c r="J355" s="40">
        <f t="shared" ca="1" si="123"/>
        <v>121.96113798871095</v>
      </c>
      <c r="K355" s="40">
        <f t="shared" ca="1" si="123"/>
        <v>140.36407740456156</v>
      </c>
      <c r="L355" s="40">
        <f t="shared" ca="1" si="123"/>
        <v>161.81112169324226</v>
      </c>
      <c r="M355" s="40">
        <f t="shared" ca="1" si="123"/>
        <v>192.42409696529842</v>
      </c>
    </row>
    <row r="356" spans="1:13" x14ac:dyDescent="0.3">
      <c r="A356" s="70" t="s">
        <v>197</v>
      </c>
      <c r="C356" s="40">
        <f>B356+C337+C324</f>
        <v>132</v>
      </c>
      <c r="D356" s="40">
        <f t="shared" ref="D356:M356" si="124">C356+D337+D324</f>
        <v>132</v>
      </c>
      <c r="E356" s="40">
        <f t="shared" si="124"/>
        <v>132</v>
      </c>
      <c r="F356" s="40">
        <f t="shared" si="124"/>
        <v>115.5</v>
      </c>
      <c r="G356" s="40">
        <f t="shared" si="124"/>
        <v>99</v>
      </c>
      <c r="H356" s="40">
        <f t="shared" si="124"/>
        <v>82.5</v>
      </c>
      <c r="I356" s="40">
        <f t="shared" si="124"/>
        <v>66</v>
      </c>
      <c r="J356" s="40">
        <f t="shared" si="124"/>
        <v>49.5</v>
      </c>
      <c r="K356" s="40">
        <f t="shared" si="124"/>
        <v>33</v>
      </c>
      <c r="L356" s="40">
        <f t="shared" si="124"/>
        <v>16.5</v>
      </c>
      <c r="M356" s="40">
        <f t="shared" si="124"/>
        <v>0</v>
      </c>
    </row>
    <row r="357" spans="1:13" x14ac:dyDescent="0.3">
      <c r="A357" s="70" t="s">
        <v>198</v>
      </c>
      <c r="C357">
        <f t="shared" ref="C357:M358" si="125">B357+C319</f>
        <v>0</v>
      </c>
      <c r="D357">
        <f t="shared" si="125"/>
        <v>17.3</v>
      </c>
      <c r="E357">
        <f t="shared" si="125"/>
        <v>22.9</v>
      </c>
      <c r="F357">
        <f t="shared" si="125"/>
        <v>26.7</v>
      </c>
      <c r="G357">
        <f t="shared" si="125"/>
        <v>30.5</v>
      </c>
      <c r="H357">
        <f t="shared" si="125"/>
        <v>30.5</v>
      </c>
      <c r="I357">
        <f t="shared" si="125"/>
        <v>30.5</v>
      </c>
      <c r="J357">
        <f t="shared" si="125"/>
        <v>30.5</v>
      </c>
      <c r="K357">
        <f t="shared" si="125"/>
        <v>30.5</v>
      </c>
      <c r="L357">
        <f t="shared" si="125"/>
        <v>30.5</v>
      </c>
      <c r="M357">
        <f t="shared" si="125"/>
        <v>30.5</v>
      </c>
    </row>
    <row r="358" spans="1:13" x14ac:dyDescent="0.3">
      <c r="A358" s="70" t="s">
        <v>199</v>
      </c>
      <c r="C358">
        <f t="shared" si="125"/>
        <v>0</v>
      </c>
      <c r="D358">
        <f t="shared" si="125"/>
        <v>6.8</v>
      </c>
      <c r="E358">
        <f t="shared" si="125"/>
        <v>9.1</v>
      </c>
      <c r="F358">
        <f t="shared" si="125"/>
        <v>10.6</v>
      </c>
      <c r="G358">
        <f t="shared" si="125"/>
        <v>12.2</v>
      </c>
      <c r="H358">
        <f t="shared" si="125"/>
        <v>12.2</v>
      </c>
      <c r="I358">
        <f t="shared" si="125"/>
        <v>12.2</v>
      </c>
      <c r="J358">
        <f t="shared" si="125"/>
        <v>12.2</v>
      </c>
      <c r="K358">
        <f t="shared" si="125"/>
        <v>12.2</v>
      </c>
      <c r="L358">
        <f t="shared" si="125"/>
        <v>12.2</v>
      </c>
      <c r="M358">
        <f t="shared" si="125"/>
        <v>12.2</v>
      </c>
    </row>
    <row r="359" spans="1:13" x14ac:dyDescent="0.3">
      <c r="A359" s="23"/>
    </row>
    <row r="360" spans="1:13" x14ac:dyDescent="0.3">
      <c r="A360" s="23" t="s">
        <v>360</v>
      </c>
      <c r="C360" s="40">
        <f>SUM(C352:C359)</f>
        <v>200</v>
      </c>
      <c r="D360" s="40">
        <f t="shared" ref="D360:M360" ca="1" si="126">SUM(D352:D359)</f>
        <v>231.30954400000002</v>
      </c>
      <c r="E360" s="40">
        <f t="shared" ca="1" si="126"/>
        <v>251.61332999999999</v>
      </c>
      <c r="F360" s="40">
        <f t="shared" ca="1" si="126"/>
        <v>263.29682050000002</v>
      </c>
      <c r="G360" s="40">
        <f t="shared" ca="1" si="126"/>
        <v>266.74353912500004</v>
      </c>
      <c r="H360" s="40">
        <f t="shared" ca="1" si="126"/>
        <v>271.62720653125001</v>
      </c>
      <c r="I360" s="40">
        <f t="shared" ca="1" si="126"/>
        <v>278.90695361874998</v>
      </c>
      <c r="J360" s="40">
        <f t="shared" ca="1" si="126"/>
        <v>282.16113798871095</v>
      </c>
      <c r="K360" s="40">
        <f t="shared" ca="1" si="126"/>
        <v>284.06407740456154</v>
      </c>
      <c r="L360" s="40">
        <f t="shared" ca="1" si="126"/>
        <v>289.01112169324227</v>
      </c>
      <c r="M360" s="40">
        <f t="shared" ca="1" si="126"/>
        <v>303.12409696529841</v>
      </c>
    </row>
    <row r="361" spans="1:13" x14ac:dyDescent="0.3">
      <c r="A361" s="23"/>
    </row>
    <row r="362" spans="1:13" x14ac:dyDescent="0.3">
      <c r="A362" s="130" t="s">
        <v>361</v>
      </c>
    </row>
    <row r="363" spans="1:13" x14ac:dyDescent="0.3">
      <c r="A363" s="70" t="s">
        <v>362</v>
      </c>
      <c r="C363" s="40">
        <f t="shared" ref="C363:M363" si="127">B363+C329*-1</f>
        <v>174.70000000000002</v>
      </c>
      <c r="D363" s="40">
        <f t="shared" si="127"/>
        <v>174.70000000000002</v>
      </c>
      <c r="E363" s="40">
        <f t="shared" si="127"/>
        <v>174.70000000000002</v>
      </c>
      <c r="F363" s="40">
        <f t="shared" si="127"/>
        <v>177.20000000000002</v>
      </c>
      <c r="G363" s="40">
        <f t="shared" si="127"/>
        <v>179.70000000000002</v>
      </c>
      <c r="H363" s="40">
        <f t="shared" si="127"/>
        <v>182.20000000000002</v>
      </c>
      <c r="I363" s="40">
        <f t="shared" si="127"/>
        <v>184.70000000000002</v>
      </c>
      <c r="J363" s="40">
        <f t="shared" si="127"/>
        <v>189.70000000000002</v>
      </c>
      <c r="K363" s="40">
        <f t="shared" si="127"/>
        <v>194.70000000000002</v>
      </c>
      <c r="L363" s="40">
        <f t="shared" si="127"/>
        <v>199.70000000000002</v>
      </c>
      <c r="M363" s="40">
        <f t="shared" si="127"/>
        <v>204.70000000000002</v>
      </c>
    </row>
    <row r="364" spans="1:13" x14ac:dyDescent="0.3">
      <c r="A364" s="132" t="s">
        <v>363</v>
      </c>
      <c r="C364" s="40">
        <f t="shared" ref="C364:M364" si="128">B364+C312</f>
        <v>0</v>
      </c>
      <c r="D364" s="40">
        <f t="shared" si="128"/>
        <v>12.887380000000002</v>
      </c>
      <c r="E364" s="40">
        <f t="shared" si="128"/>
        <v>25.774760000000004</v>
      </c>
      <c r="F364" s="40">
        <f t="shared" si="128"/>
        <v>38.86439</v>
      </c>
      <c r="G364" s="40">
        <f t="shared" si="128"/>
        <v>52.156270000000006</v>
      </c>
      <c r="H364" s="40">
        <f t="shared" si="128"/>
        <v>65.650400000000005</v>
      </c>
      <c r="I364" s="40">
        <f t="shared" si="128"/>
        <v>79.34678000000001</v>
      </c>
      <c r="J364" s="40">
        <f t="shared" si="128"/>
        <v>93.447660000000013</v>
      </c>
      <c r="K364" s="40">
        <f t="shared" si="128"/>
        <v>107.95304000000002</v>
      </c>
      <c r="L364" s="40">
        <f t="shared" si="128"/>
        <v>122.86292000000002</v>
      </c>
      <c r="M364" s="40">
        <f t="shared" si="128"/>
        <v>138.17730000000003</v>
      </c>
    </row>
    <row r="365" spans="1:13" x14ac:dyDescent="0.3">
      <c r="A365" s="23" t="s">
        <v>364</v>
      </c>
      <c r="C365">
        <f>C363-C364</f>
        <v>174.70000000000002</v>
      </c>
      <c r="D365" s="40">
        <f t="shared" ref="D365:M365" si="129">D363-D364</f>
        <v>161.81262000000001</v>
      </c>
      <c r="E365" s="40">
        <f t="shared" si="129"/>
        <v>148.92524</v>
      </c>
      <c r="F365" s="40">
        <f t="shared" si="129"/>
        <v>138.33561000000003</v>
      </c>
      <c r="G365" s="40">
        <f t="shared" si="129"/>
        <v>127.54373000000001</v>
      </c>
      <c r="H365" s="40">
        <f t="shared" si="129"/>
        <v>116.54960000000001</v>
      </c>
      <c r="I365" s="40">
        <f t="shared" si="129"/>
        <v>105.35322000000001</v>
      </c>
      <c r="J365" s="40">
        <f t="shared" si="129"/>
        <v>96.252340000000004</v>
      </c>
      <c r="K365" s="40">
        <f t="shared" si="129"/>
        <v>86.746960000000001</v>
      </c>
      <c r="L365" s="40">
        <f t="shared" si="129"/>
        <v>76.83708</v>
      </c>
      <c r="M365" s="40">
        <f t="shared" si="129"/>
        <v>66.522699999999986</v>
      </c>
    </row>
    <row r="366" spans="1:13" x14ac:dyDescent="0.3">
      <c r="A366" s="70" t="s">
        <v>206</v>
      </c>
      <c r="C366" s="40">
        <f t="shared" ref="C366:M366" si="130">B366+C318*-1</f>
        <v>9</v>
      </c>
      <c r="D366" s="40">
        <f t="shared" si="130"/>
        <v>32.1</v>
      </c>
      <c r="E366" s="40">
        <f t="shared" si="130"/>
        <v>42.7</v>
      </c>
      <c r="F366" s="40">
        <f t="shared" si="130"/>
        <v>49.8</v>
      </c>
      <c r="G366" s="40">
        <f t="shared" si="130"/>
        <v>56.9</v>
      </c>
      <c r="H366" s="40">
        <f t="shared" si="130"/>
        <v>56.9</v>
      </c>
      <c r="I366" s="40">
        <f t="shared" si="130"/>
        <v>56.9</v>
      </c>
      <c r="J366" s="40">
        <f t="shared" si="130"/>
        <v>56.9</v>
      </c>
      <c r="K366" s="40">
        <f t="shared" si="130"/>
        <v>56.9</v>
      </c>
      <c r="L366" s="40">
        <f t="shared" si="130"/>
        <v>56.9</v>
      </c>
      <c r="M366" s="40">
        <f t="shared" si="130"/>
        <v>56.9</v>
      </c>
    </row>
    <row r="367" spans="1:13" x14ac:dyDescent="0.3">
      <c r="A367" s="70" t="s">
        <v>207</v>
      </c>
      <c r="C367" s="40">
        <f>C344</f>
        <v>0</v>
      </c>
      <c r="D367" s="40">
        <f t="shared" ref="D367:M367" ca="1" si="131">D344</f>
        <v>21.496923999999996</v>
      </c>
      <c r="E367" s="40">
        <f t="shared" ca="1" si="131"/>
        <v>44.48809</v>
      </c>
      <c r="F367" s="40">
        <f t="shared" ca="1" si="131"/>
        <v>60.061210500000008</v>
      </c>
      <c r="G367" s="40">
        <f t="shared" ca="1" si="131"/>
        <v>67.599809125000021</v>
      </c>
      <c r="H367" s="40">
        <f t="shared" ca="1" si="131"/>
        <v>83.877606531249981</v>
      </c>
      <c r="I367" s="40">
        <f t="shared" ca="1" si="131"/>
        <v>102.75373361875</v>
      </c>
      <c r="J367" s="40">
        <f t="shared" ca="1" si="131"/>
        <v>115.50879798871094</v>
      </c>
      <c r="K367" s="40">
        <f t="shared" ca="1" si="131"/>
        <v>127.31711740456154</v>
      </c>
      <c r="L367" s="40">
        <f t="shared" ca="1" si="131"/>
        <v>142.57404169324224</v>
      </c>
      <c r="M367" s="40">
        <f t="shared" ca="1" si="131"/>
        <v>167.4013969652984</v>
      </c>
    </row>
    <row r="368" spans="1:13" x14ac:dyDescent="0.3">
      <c r="A368" s="70" t="s">
        <v>208</v>
      </c>
      <c r="C368" s="40">
        <f t="shared" ref="C368:M368" si="132">B368+(C330*-1)-C313</f>
        <v>16.3</v>
      </c>
      <c r="D368" s="40">
        <f t="shared" si="132"/>
        <v>15.9</v>
      </c>
      <c r="E368" s="40">
        <f t="shared" si="132"/>
        <v>15.5</v>
      </c>
      <c r="F368" s="40">
        <f t="shared" si="132"/>
        <v>15.1</v>
      </c>
      <c r="G368" s="40">
        <f t="shared" si="132"/>
        <v>14.7</v>
      </c>
      <c r="H368" s="40">
        <f t="shared" si="132"/>
        <v>14.299999999999999</v>
      </c>
      <c r="I368" s="40">
        <f t="shared" si="132"/>
        <v>13.899999999999999</v>
      </c>
      <c r="J368" s="40">
        <f t="shared" si="132"/>
        <v>13.499999999999998</v>
      </c>
      <c r="K368" s="40">
        <f t="shared" si="132"/>
        <v>13.099999999999998</v>
      </c>
      <c r="L368" s="40">
        <f t="shared" si="132"/>
        <v>12.699999999999998</v>
      </c>
      <c r="M368" s="40">
        <f t="shared" si="132"/>
        <v>12.299999999999997</v>
      </c>
    </row>
    <row r="369" spans="1:13" x14ac:dyDescent="0.3">
      <c r="A369" s="70" t="s">
        <v>209</v>
      </c>
      <c r="C369" s="40">
        <f>IF(C300&lt;=0,-1*C300,0)</f>
        <v>0</v>
      </c>
      <c r="D369" s="40">
        <f t="shared" ref="D369:M369" ca="1" si="133">IF(D300&lt;=0,-1*D300,0)</f>
        <v>0</v>
      </c>
      <c r="E369" s="40">
        <f t="shared" ca="1" si="133"/>
        <v>0</v>
      </c>
      <c r="F369" s="40">
        <f t="shared" ca="1" si="133"/>
        <v>0</v>
      </c>
      <c r="G369" s="40">
        <f t="shared" ca="1" si="133"/>
        <v>0</v>
      </c>
      <c r="H369" s="40">
        <f t="shared" ca="1" si="133"/>
        <v>0</v>
      </c>
      <c r="I369" s="40">
        <f t="shared" ca="1" si="133"/>
        <v>0</v>
      </c>
      <c r="J369" s="40">
        <f t="shared" ca="1" si="133"/>
        <v>0</v>
      </c>
      <c r="K369" s="40">
        <f t="shared" ca="1" si="133"/>
        <v>0</v>
      </c>
      <c r="L369" s="40">
        <f t="shared" ca="1" si="133"/>
        <v>0</v>
      </c>
      <c r="M369" s="40">
        <f t="shared" ca="1" si="133"/>
        <v>0</v>
      </c>
    </row>
    <row r="370" spans="1:13" x14ac:dyDescent="0.3">
      <c r="A370" s="23"/>
    </row>
    <row r="371" spans="1:13" x14ac:dyDescent="0.3">
      <c r="A371" s="23" t="s">
        <v>365</v>
      </c>
      <c r="C371" s="40">
        <f>SUM(C365:C369)</f>
        <v>200.00000000000003</v>
      </c>
      <c r="D371" s="40">
        <f t="shared" ref="D371:M371" ca="1" si="134">SUM(D365:D369)</f>
        <v>231.30954400000002</v>
      </c>
      <c r="E371" s="40">
        <f t="shared" ca="1" si="134"/>
        <v>251.61333000000002</v>
      </c>
      <c r="F371" s="40">
        <f t="shared" ca="1" si="134"/>
        <v>263.29682050000008</v>
      </c>
      <c r="G371" s="40">
        <f t="shared" ca="1" si="134"/>
        <v>266.74353912500004</v>
      </c>
      <c r="H371" s="40">
        <f t="shared" ca="1" si="134"/>
        <v>271.62720653125001</v>
      </c>
      <c r="I371" s="40">
        <f t="shared" ca="1" si="134"/>
        <v>278.90695361874998</v>
      </c>
      <c r="J371" s="40">
        <f t="shared" ca="1" si="134"/>
        <v>282.16113798871095</v>
      </c>
      <c r="K371" s="40">
        <f t="shared" ca="1" si="134"/>
        <v>284.06407740456154</v>
      </c>
      <c r="L371" s="40">
        <f t="shared" ca="1" si="134"/>
        <v>289.01112169324222</v>
      </c>
      <c r="M371" s="40">
        <f t="shared" ca="1" si="134"/>
        <v>303.12409696529841</v>
      </c>
    </row>
    <row r="372" spans="1:13" x14ac:dyDescent="0.3">
      <c r="A372" s="23"/>
    </row>
    <row r="373" spans="1:13" x14ac:dyDescent="0.3">
      <c r="A373" s="23" t="s">
        <v>366</v>
      </c>
      <c r="C373" s="40">
        <f>C360-C371</f>
        <v>0</v>
      </c>
      <c r="D373" s="40">
        <f t="shared" ref="D373:M373" ca="1" si="135">D360-D371</f>
        <v>0</v>
      </c>
      <c r="E373" s="40">
        <f t="shared" ca="1" si="135"/>
        <v>0</v>
      </c>
      <c r="F373" s="40">
        <f t="shared" ca="1" si="135"/>
        <v>0</v>
      </c>
      <c r="G373" s="40">
        <f t="shared" ca="1" si="135"/>
        <v>0</v>
      </c>
      <c r="H373" s="40">
        <f t="shared" ca="1" si="135"/>
        <v>0</v>
      </c>
      <c r="I373" s="40">
        <f t="shared" ca="1" si="135"/>
        <v>0</v>
      </c>
      <c r="J373" s="40">
        <f t="shared" ca="1" si="135"/>
        <v>0</v>
      </c>
      <c r="K373" s="40">
        <f t="shared" ca="1" si="135"/>
        <v>0</v>
      </c>
      <c r="L373" s="40">
        <f t="shared" ca="1" si="135"/>
        <v>0</v>
      </c>
      <c r="M373" s="40">
        <f t="shared" ca="1" si="135"/>
        <v>0</v>
      </c>
    </row>
    <row r="376" spans="1:13" x14ac:dyDescent="0.3">
      <c r="A376" s="23" t="s">
        <v>367</v>
      </c>
    </row>
    <row r="378" spans="1:13" x14ac:dyDescent="0.3">
      <c r="A378" s="23" t="s">
        <v>368</v>
      </c>
      <c r="C378" s="40">
        <f t="shared" ref="C378:M378" si="136">(C356+C357+C358)/(C352+C353+C354+C355)</f>
        <v>1.9411764705882353</v>
      </c>
      <c r="D378" s="40">
        <f t="shared" ca="1" si="136"/>
        <v>2.0755344561057307</v>
      </c>
      <c r="E378" s="40">
        <f t="shared" ca="1" si="136"/>
        <v>1.8718612795564329</v>
      </c>
      <c r="F378" s="40">
        <f t="shared" ca="1" si="136"/>
        <v>1.3828452195147096</v>
      </c>
      <c r="G378" s="40">
        <f t="shared" ca="1" si="136"/>
        <v>1.1332052898658707</v>
      </c>
      <c r="H378" s="40">
        <f t="shared" ca="1" si="136"/>
        <v>0.85503236021429019</v>
      </c>
      <c r="I378" s="40">
        <f t="shared" ca="1" si="136"/>
        <v>0.63863430775853813</v>
      </c>
      <c r="J378" s="40">
        <f t="shared" ca="1" si="136"/>
        <v>0.48536243242277943</v>
      </c>
      <c r="K378" s="40">
        <f t="shared" ca="1" si="136"/>
        <v>0.36330638631639084</v>
      </c>
      <c r="L378" s="40">
        <f t="shared" ca="1" si="136"/>
        <v>0.25760285039216541</v>
      </c>
      <c r="M378" s="40">
        <f t="shared" ca="1" si="136"/>
        <v>0.16396332174165046</v>
      </c>
    </row>
    <row r="379" spans="1:13" x14ac:dyDescent="0.3">
      <c r="A379" s="23" t="s">
        <v>247</v>
      </c>
      <c r="C379" s="40"/>
      <c r="D379" s="40">
        <f t="shared" ref="D379:M379" ca="1" si="137">(D366+D367)/(D357+D358)</f>
        <v>2.223938755186722</v>
      </c>
      <c r="E379" s="40">
        <f t="shared" ca="1" si="137"/>
        <v>2.7246278125000001</v>
      </c>
      <c r="F379" s="40">
        <f t="shared" ca="1" si="137"/>
        <v>2.9453407640750671</v>
      </c>
      <c r="G379" s="40">
        <f t="shared" ca="1" si="137"/>
        <v>2.9156863963700235</v>
      </c>
      <c r="H379" s="40">
        <f t="shared" ca="1" si="137"/>
        <v>3.2968994503805611</v>
      </c>
      <c r="I379" s="40">
        <f t="shared" ca="1" si="137"/>
        <v>3.7389633165983605</v>
      </c>
      <c r="J379" s="40">
        <f t="shared" ca="1" si="137"/>
        <v>4.0376767678855021</v>
      </c>
      <c r="K379" s="40">
        <f t="shared" ca="1" si="137"/>
        <v>4.3142182061958207</v>
      </c>
      <c r="L379" s="40">
        <f t="shared" ca="1" si="137"/>
        <v>4.6715232246660943</v>
      </c>
      <c r="M379" s="40">
        <f t="shared" ca="1" si="137"/>
        <v>5.2529601162833348</v>
      </c>
    </row>
    <row r="380" spans="1:13" x14ac:dyDescent="0.3">
      <c r="A380" s="23" t="s">
        <v>248</v>
      </c>
      <c r="C380" s="40">
        <f>(C365-C356)/C365*100</f>
        <v>24.441900400686901</v>
      </c>
      <c r="D380" s="40">
        <f t="shared" ref="D380:M380" si="138">(D365-D356)/D365*100</f>
        <v>18.424162466438037</v>
      </c>
      <c r="E380" s="40">
        <f t="shared" si="138"/>
        <v>11.364923769805577</v>
      </c>
      <c r="F380" s="40">
        <f t="shared" si="138"/>
        <v>16.507398203542838</v>
      </c>
      <c r="G380" s="40">
        <f t="shared" si="138"/>
        <v>22.379563464233019</v>
      </c>
      <c r="H380" s="40">
        <f t="shared" si="138"/>
        <v>29.214686279489598</v>
      </c>
      <c r="I380" s="40">
        <f t="shared" si="138"/>
        <v>37.353599633689413</v>
      </c>
      <c r="J380" s="40">
        <f t="shared" si="138"/>
        <v>48.572678856430926</v>
      </c>
      <c r="K380" s="40">
        <f t="shared" si="138"/>
        <v>61.958321075459011</v>
      </c>
      <c r="L380" s="40">
        <f t="shared" si="138"/>
        <v>78.525992919043773</v>
      </c>
      <c r="M380" s="40">
        <f t="shared" si="138"/>
        <v>100</v>
      </c>
    </row>
    <row r="381" spans="1:13" x14ac:dyDescent="0.3">
      <c r="A381" s="23" t="s">
        <v>245</v>
      </c>
      <c r="C381" s="40">
        <f>C29/C36*100</f>
        <v>17.5</v>
      </c>
      <c r="D381" s="40"/>
      <c r="E381" s="40"/>
      <c r="F381" s="40"/>
      <c r="G381" s="40"/>
      <c r="H381" s="40"/>
      <c r="I381" s="40"/>
      <c r="J381" s="40"/>
      <c r="K381" s="40"/>
      <c r="L381" s="40"/>
      <c r="M381" s="40"/>
    </row>
    <row r="383" spans="1:13" x14ac:dyDescent="0.3">
      <c r="A383" s="124" t="s">
        <v>369</v>
      </c>
    </row>
    <row r="384" spans="1:13" x14ac:dyDescent="0.3">
      <c r="A384" s="23"/>
    </row>
    <row r="385" spans="1:13" x14ac:dyDescent="0.3">
      <c r="A385" s="23" t="s">
        <v>370</v>
      </c>
    </row>
    <row r="386" spans="1:13" x14ac:dyDescent="0.3">
      <c r="A386" t="s">
        <v>139</v>
      </c>
      <c r="C386">
        <f t="shared" ref="C386:M391" si="139">C262</f>
        <v>0</v>
      </c>
      <c r="D386" s="40">
        <f t="shared" ca="1" si="139"/>
        <v>95.475399999999993</v>
      </c>
      <c r="E386" s="40">
        <f t="shared" ca="1" si="139"/>
        <v>108.2761</v>
      </c>
      <c r="F386" s="40">
        <f t="shared" ca="1" si="139"/>
        <v>134.36790000000002</v>
      </c>
      <c r="G386" s="40">
        <f t="shared" ca="1" si="139"/>
        <v>134.36790000000002</v>
      </c>
      <c r="H386" s="40">
        <f t="shared" ca="1" si="139"/>
        <v>147.2775</v>
      </c>
      <c r="I386" s="40">
        <f t="shared" ca="1" si="139"/>
        <v>143.3501</v>
      </c>
      <c r="J386" s="40">
        <f t="shared" ca="1" si="139"/>
        <v>133.53160000000003</v>
      </c>
      <c r="K386" s="40">
        <f t="shared" ca="1" si="139"/>
        <v>129.60419999999999</v>
      </c>
      <c r="L386" s="40">
        <f t="shared" ca="1" si="139"/>
        <v>135.49529999999996</v>
      </c>
      <c r="M386" s="40">
        <f t="shared" ca="1" si="139"/>
        <v>155.13229999999999</v>
      </c>
    </row>
    <row r="387" spans="1:13" x14ac:dyDescent="0.3">
      <c r="A387" t="s">
        <v>65</v>
      </c>
      <c r="C387">
        <f t="shared" si="139"/>
        <v>0</v>
      </c>
      <c r="D387" s="40">
        <f t="shared" si="139"/>
        <v>0</v>
      </c>
      <c r="E387" s="40">
        <f t="shared" si="139"/>
        <v>0</v>
      </c>
      <c r="F387" s="40">
        <f t="shared" si="139"/>
        <v>0</v>
      </c>
      <c r="G387" s="40">
        <f t="shared" si="139"/>
        <v>0</v>
      </c>
      <c r="H387" s="40">
        <f t="shared" si="139"/>
        <v>0</v>
      </c>
      <c r="I387" s="40">
        <f t="shared" si="139"/>
        <v>0</v>
      </c>
      <c r="J387" s="40">
        <f t="shared" si="139"/>
        <v>0</v>
      </c>
      <c r="K387" s="40">
        <f t="shared" si="139"/>
        <v>0</v>
      </c>
      <c r="L387" s="40">
        <f t="shared" si="139"/>
        <v>0</v>
      </c>
      <c r="M387" s="40">
        <f t="shared" si="139"/>
        <v>0</v>
      </c>
    </row>
    <row r="388" spans="1:13" x14ac:dyDescent="0.3">
      <c r="A388" t="s">
        <v>66</v>
      </c>
      <c r="C388">
        <f t="shared" si="139"/>
        <v>0</v>
      </c>
      <c r="D388" s="40">
        <f t="shared" si="139"/>
        <v>0</v>
      </c>
      <c r="E388" s="40">
        <f t="shared" si="139"/>
        <v>0</v>
      </c>
      <c r="F388" s="40">
        <f t="shared" si="139"/>
        <v>0</v>
      </c>
      <c r="G388" s="40">
        <f t="shared" si="139"/>
        <v>0</v>
      </c>
      <c r="H388" s="40">
        <f t="shared" si="139"/>
        <v>0</v>
      </c>
      <c r="I388" s="40">
        <f t="shared" si="139"/>
        <v>0</v>
      </c>
      <c r="J388" s="40">
        <f t="shared" si="139"/>
        <v>0</v>
      </c>
      <c r="K388" s="40">
        <f t="shared" si="139"/>
        <v>0</v>
      </c>
      <c r="L388" s="40">
        <f t="shared" si="139"/>
        <v>0</v>
      </c>
      <c r="M388" s="40">
        <f t="shared" si="139"/>
        <v>0</v>
      </c>
    </row>
    <row r="389" spans="1:13" x14ac:dyDescent="0.3">
      <c r="A389" t="s">
        <v>67</v>
      </c>
      <c r="C389">
        <f t="shared" si="139"/>
        <v>0</v>
      </c>
      <c r="D389" s="40">
        <f t="shared" ca="1" si="139"/>
        <v>0</v>
      </c>
      <c r="E389" s="40">
        <f t="shared" ca="1" si="139"/>
        <v>0</v>
      </c>
      <c r="F389" s="40">
        <f t="shared" ca="1" si="139"/>
        <v>0</v>
      </c>
      <c r="G389" s="40">
        <f t="shared" ca="1" si="139"/>
        <v>0</v>
      </c>
      <c r="H389" s="40">
        <f t="shared" ca="1" si="139"/>
        <v>0</v>
      </c>
      <c r="I389" s="40">
        <f t="shared" ca="1" si="139"/>
        <v>0</v>
      </c>
      <c r="J389" s="40">
        <f t="shared" ca="1" si="139"/>
        <v>0</v>
      </c>
      <c r="K389" s="40">
        <f t="shared" ca="1" si="139"/>
        <v>0</v>
      </c>
      <c r="L389" s="40">
        <f t="shared" ca="1" si="139"/>
        <v>0</v>
      </c>
      <c r="M389" s="40">
        <f t="shared" ca="1" si="139"/>
        <v>0</v>
      </c>
    </row>
    <row r="390" spans="1:13" x14ac:dyDescent="0.3">
      <c r="A390" t="s">
        <v>140</v>
      </c>
      <c r="C390">
        <f t="shared" si="139"/>
        <v>0</v>
      </c>
      <c r="D390" s="40">
        <f t="shared" ca="1" si="139"/>
        <v>1.5329999999999999</v>
      </c>
      <c r="E390" s="40">
        <f t="shared" ca="1" si="139"/>
        <v>1.9345000000000001</v>
      </c>
      <c r="F390" s="40">
        <f t="shared" ca="1" si="139"/>
        <v>2.4455000000000005</v>
      </c>
      <c r="G390" s="40">
        <f t="shared" ca="1" si="139"/>
        <v>2.4455000000000005</v>
      </c>
      <c r="H390" s="40">
        <f t="shared" ca="1" si="139"/>
        <v>2.7374999999999998</v>
      </c>
      <c r="I390" s="40">
        <f t="shared" ca="1" si="139"/>
        <v>2.6644999999999999</v>
      </c>
      <c r="J390" s="40">
        <f t="shared" ca="1" si="139"/>
        <v>2.4820000000000007</v>
      </c>
      <c r="K390" s="40">
        <f t="shared" ca="1" si="139"/>
        <v>2.4089999999999998</v>
      </c>
      <c r="L390" s="40">
        <f t="shared" ca="1" si="139"/>
        <v>2.5184999999999995</v>
      </c>
      <c r="M390" s="40">
        <f t="shared" ca="1" si="139"/>
        <v>2.8835000000000002</v>
      </c>
    </row>
    <row r="391" spans="1:13" x14ac:dyDescent="0.3">
      <c r="A391" t="s">
        <v>141</v>
      </c>
      <c r="C391">
        <f t="shared" si="139"/>
        <v>0</v>
      </c>
      <c r="D391" s="40">
        <f t="shared" ca="1" si="139"/>
        <v>1.2263999999999999</v>
      </c>
      <c r="E391" s="40">
        <f t="shared" ca="1" si="139"/>
        <v>1.5476000000000001</v>
      </c>
      <c r="F391" s="40">
        <f t="shared" ca="1" si="139"/>
        <v>1.9564000000000001</v>
      </c>
      <c r="G391" s="40">
        <f t="shared" ca="1" si="139"/>
        <v>1.9564000000000001</v>
      </c>
      <c r="H391" s="40">
        <f t="shared" ca="1" si="139"/>
        <v>2.19</v>
      </c>
      <c r="I391" s="40">
        <f t="shared" ca="1" si="139"/>
        <v>2.1316000000000002</v>
      </c>
      <c r="J391" s="40">
        <f t="shared" ca="1" si="139"/>
        <v>1.9856000000000003</v>
      </c>
      <c r="K391" s="40">
        <f t="shared" ca="1" si="139"/>
        <v>1.9272</v>
      </c>
      <c r="L391" s="40">
        <f t="shared" ca="1" si="139"/>
        <v>2.0147999999999997</v>
      </c>
      <c r="M391" s="40">
        <f t="shared" ca="1" si="139"/>
        <v>2.3068</v>
      </c>
    </row>
    <row r="392" spans="1:13" x14ac:dyDescent="0.3">
      <c r="A392" t="s">
        <v>371</v>
      </c>
      <c r="C392">
        <f>C269*0.6</f>
        <v>0</v>
      </c>
      <c r="D392" s="40">
        <f t="shared" ref="D392:M392" si="140">D269*0.6</f>
        <v>1.92</v>
      </c>
      <c r="E392" s="40">
        <f t="shared" si="140"/>
        <v>2.0640000000000001</v>
      </c>
      <c r="F392" s="40">
        <f t="shared" si="140"/>
        <v>2.2188000000000003</v>
      </c>
      <c r="G392" s="40">
        <f t="shared" si="140"/>
        <v>2.3852100000000003</v>
      </c>
      <c r="H392" s="40">
        <f t="shared" si="140"/>
        <v>2.5641007500000002</v>
      </c>
      <c r="I392" s="40">
        <f t="shared" si="140"/>
        <v>2.7564083062500004</v>
      </c>
      <c r="J392" s="40">
        <f t="shared" si="140"/>
        <v>2.9631389292187507</v>
      </c>
      <c r="K392" s="40">
        <f t="shared" si="140"/>
        <v>3.1853743489101567</v>
      </c>
      <c r="L392" s="40">
        <f t="shared" si="140"/>
        <v>3.4242774250784187</v>
      </c>
      <c r="M392" s="40">
        <f t="shared" si="140"/>
        <v>3.6810982319593002</v>
      </c>
    </row>
    <row r="393" spans="1:13" x14ac:dyDescent="0.3">
      <c r="A393" t="s">
        <v>112</v>
      </c>
      <c r="C393">
        <f>C270</f>
        <v>0</v>
      </c>
      <c r="D393" s="40">
        <f t="shared" ref="D393:M393" ca="1" si="141">D270</f>
        <v>0</v>
      </c>
      <c r="E393" s="40">
        <f t="shared" ca="1" si="141"/>
        <v>0</v>
      </c>
      <c r="F393" s="40">
        <f t="shared" ca="1" si="141"/>
        <v>0</v>
      </c>
      <c r="G393" s="40">
        <f t="shared" ca="1" si="141"/>
        <v>0</v>
      </c>
      <c r="H393" s="40">
        <f t="shared" ca="1" si="141"/>
        <v>0</v>
      </c>
      <c r="I393" s="40">
        <f t="shared" ca="1" si="141"/>
        <v>0</v>
      </c>
      <c r="J393" s="40">
        <f t="shared" ca="1" si="141"/>
        <v>0</v>
      </c>
      <c r="K393" s="40">
        <f t="shared" ca="1" si="141"/>
        <v>0</v>
      </c>
      <c r="L393" s="40">
        <f t="shared" ca="1" si="141"/>
        <v>0</v>
      </c>
      <c r="M393" s="40">
        <f t="shared" ca="1" si="141"/>
        <v>0</v>
      </c>
    </row>
    <row r="394" spans="1:13" x14ac:dyDescent="0.3">
      <c r="A394" t="s">
        <v>321</v>
      </c>
      <c r="C394">
        <f>C276</f>
        <v>0</v>
      </c>
      <c r="D394" s="40">
        <f t="shared" ref="D394:M395" ca="1" si="142">D276</f>
        <v>2.9065679999999996</v>
      </c>
      <c r="E394" s="40">
        <f t="shared" ca="1" si="142"/>
        <v>3.6678120000000001</v>
      </c>
      <c r="F394" s="40">
        <f t="shared" ca="1" si="142"/>
        <v>4.6366680000000011</v>
      </c>
      <c r="G394" s="40">
        <f t="shared" ca="1" si="142"/>
        <v>4.6366680000000011</v>
      </c>
      <c r="H394" s="40">
        <f t="shared" ca="1" si="142"/>
        <v>5.1902999999999997</v>
      </c>
      <c r="I394" s="40">
        <f t="shared" ca="1" si="142"/>
        <v>5.0518920000000005</v>
      </c>
      <c r="J394" s="40">
        <f t="shared" ca="1" si="142"/>
        <v>4.7058720000000003</v>
      </c>
      <c r="K394" s="40">
        <f t="shared" ca="1" si="142"/>
        <v>4.5674640000000002</v>
      </c>
      <c r="L394" s="40">
        <f t="shared" ca="1" si="142"/>
        <v>4.7750759999999994</v>
      </c>
      <c r="M394" s="40">
        <f t="shared" ca="1" si="142"/>
        <v>5.4671159999999999</v>
      </c>
    </row>
    <row r="395" spans="1:13" x14ac:dyDescent="0.3">
      <c r="A395" t="s">
        <v>113</v>
      </c>
      <c r="C395">
        <f>C277</f>
        <v>0</v>
      </c>
      <c r="D395" s="40">
        <f t="shared" ca="1" si="142"/>
        <v>2.9065679999999996</v>
      </c>
      <c r="E395" s="40">
        <f t="shared" ca="1" si="142"/>
        <v>3.6678120000000001</v>
      </c>
      <c r="F395" s="40">
        <f t="shared" ca="1" si="142"/>
        <v>4.6366680000000011</v>
      </c>
      <c r="G395" s="40">
        <f t="shared" ca="1" si="142"/>
        <v>4.6366680000000011</v>
      </c>
      <c r="H395" s="40">
        <f t="shared" ca="1" si="142"/>
        <v>5.1902999999999997</v>
      </c>
      <c r="I395" s="40">
        <f t="shared" si="142"/>
        <v>0</v>
      </c>
      <c r="J395" s="40">
        <f t="shared" si="142"/>
        <v>0</v>
      </c>
      <c r="K395" s="40">
        <f t="shared" si="142"/>
        <v>0</v>
      </c>
      <c r="L395" s="40">
        <f t="shared" si="142"/>
        <v>0</v>
      </c>
      <c r="M395" s="40">
        <f t="shared" si="142"/>
        <v>0</v>
      </c>
    </row>
    <row r="396" spans="1:13" x14ac:dyDescent="0.3">
      <c r="A396" s="70" t="s">
        <v>218</v>
      </c>
      <c r="C396">
        <f>C187</f>
        <v>0</v>
      </c>
      <c r="D396" s="40">
        <f t="shared" ref="D396:M396" si="143">D187</f>
        <v>2.0760000000000001</v>
      </c>
      <c r="E396" s="40">
        <f t="shared" si="143"/>
        <v>2.7479999999999993</v>
      </c>
      <c r="F396" s="40">
        <f t="shared" si="143"/>
        <v>3.2039999999999997</v>
      </c>
      <c r="G396" s="40">
        <f t="shared" si="143"/>
        <v>3.66</v>
      </c>
      <c r="H396" s="40">
        <f t="shared" si="143"/>
        <v>3.66</v>
      </c>
      <c r="I396" s="40">
        <f t="shared" si="143"/>
        <v>3.66</v>
      </c>
      <c r="J396" s="40">
        <f t="shared" si="143"/>
        <v>3.66</v>
      </c>
      <c r="K396" s="40">
        <f t="shared" si="143"/>
        <v>3.66</v>
      </c>
      <c r="L396" s="40">
        <f t="shared" si="143"/>
        <v>3.66</v>
      </c>
      <c r="M396" s="40">
        <f t="shared" si="143"/>
        <v>3.66</v>
      </c>
    </row>
    <row r="397" spans="1:13" x14ac:dyDescent="0.3">
      <c r="A397" s="23" t="s">
        <v>372</v>
      </c>
      <c r="C397">
        <f>SUM(C386:C396)</f>
        <v>0</v>
      </c>
      <c r="D397" s="40">
        <f t="shared" ref="D397:M397" ca="1" si="144">SUM(D386:D396)</f>
        <v>108.04393599999997</v>
      </c>
      <c r="E397" s="40">
        <f t="shared" ca="1" si="144"/>
        <v>123.90582400000001</v>
      </c>
      <c r="F397" s="40">
        <f t="shared" ca="1" si="144"/>
        <v>153.46593600000006</v>
      </c>
      <c r="G397" s="40">
        <f t="shared" ca="1" si="144"/>
        <v>154.08834600000006</v>
      </c>
      <c r="H397" s="40">
        <f t="shared" ca="1" si="144"/>
        <v>168.80970075000002</v>
      </c>
      <c r="I397" s="40">
        <f t="shared" ca="1" si="144"/>
        <v>159.61450030624999</v>
      </c>
      <c r="J397" s="40">
        <f t="shared" ca="1" si="144"/>
        <v>149.32821092921878</v>
      </c>
      <c r="K397" s="40">
        <f t="shared" ca="1" si="144"/>
        <v>145.35323834891014</v>
      </c>
      <c r="L397" s="40">
        <f t="shared" ca="1" si="144"/>
        <v>151.88795342507839</v>
      </c>
      <c r="M397" s="40">
        <f t="shared" ca="1" si="144"/>
        <v>173.13081423195931</v>
      </c>
    </row>
    <row r="399" spans="1:13" x14ac:dyDescent="0.3">
      <c r="A399" s="23" t="s">
        <v>220</v>
      </c>
    </row>
    <row r="400" spans="1:13" x14ac:dyDescent="0.3">
      <c r="A400" t="s">
        <v>2</v>
      </c>
      <c r="C400">
        <f>C268</f>
        <v>0</v>
      </c>
      <c r="D400" s="40">
        <f t="shared" ref="D400:M400" si="145">D268</f>
        <v>0</v>
      </c>
      <c r="E400" s="40">
        <f t="shared" si="145"/>
        <v>0</v>
      </c>
      <c r="F400" s="40">
        <f t="shared" si="145"/>
        <v>0</v>
      </c>
      <c r="G400" s="40">
        <f t="shared" si="145"/>
        <v>0</v>
      </c>
      <c r="H400" s="40">
        <f t="shared" si="145"/>
        <v>0</v>
      </c>
      <c r="I400" s="40">
        <f t="shared" si="145"/>
        <v>0</v>
      </c>
      <c r="J400" s="40">
        <f t="shared" si="145"/>
        <v>0</v>
      </c>
      <c r="K400" s="40">
        <f t="shared" si="145"/>
        <v>0</v>
      </c>
      <c r="L400" s="40">
        <f t="shared" si="145"/>
        <v>0</v>
      </c>
      <c r="M400" s="40">
        <f t="shared" si="145"/>
        <v>0</v>
      </c>
    </row>
    <row r="401" spans="1:13" x14ac:dyDescent="0.3">
      <c r="A401" t="s">
        <v>373</v>
      </c>
      <c r="C401">
        <f>C269*0.4</f>
        <v>0</v>
      </c>
      <c r="D401" s="40">
        <f t="shared" ref="D401:M401" si="146">D269*0.4</f>
        <v>1.2800000000000002</v>
      </c>
      <c r="E401" s="40">
        <f t="shared" si="146"/>
        <v>1.3760000000000003</v>
      </c>
      <c r="F401" s="40">
        <f t="shared" si="146"/>
        <v>1.4792000000000003</v>
      </c>
      <c r="G401" s="40">
        <f t="shared" si="146"/>
        <v>1.5901400000000003</v>
      </c>
      <c r="H401" s="40">
        <f t="shared" si="146"/>
        <v>1.7094005000000003</v>
      </c>
      <c r="I401" s="40">
        <f t="shared" si="146"/>
        <v>1.8376055375000004</v>
      </c>
      <c r="J401" s="40">
        <f t="shared" si="146"/>
        <v>1.9754259528125004</v>
      </c>
      <c r="K401" s="40">
        <f t="shared" si="146"/>
        <v>2.1235828992734382</v>
      </c>
      <c r="L401" s="40">
        <f t="shared" si="146"/>
        <v>2.2828516167189461</v>
      </c>
      <c r="M401" s="40">
        <f t="shared" si="146"/>
        <v>2.4540654879728674</v>
      </c>
    </row>
    <row r="402" spans="1:13" x14ac:dyDescent="0.3">
      <c r="A402" t="s">
        <v>143</v>
      </c>
      <c r="C402">
        <f>C271</f>
        <v>0</v>
      </c>
      <c r="D402" s="40">
        <f t="shared" ref="D402:M402" ca="1" si="147">D271</f>
        <v>9.5475399999999997</v>
      </c>
      <c r="E402" s="40">
        <f t="shared" ca="1" si="147"/>
        <v>10.82761</v>
      </c>
      <c r="F402" s="40">
        <f t="shared" ca="1" si="147"/>
        <v>13.436790000000002</v>
      </c>
      <c r="G402" s="40">
        <f t="shared" ca="1" si="147"/>
        <v>13.436790000000002</v>
      </c>
      <c r="H402" s="40">
        <f t="shared" ca="1" si="147"/>
        <v>14.72775</v>
      </c>
      <c r="I402" s="40">
        <f t="shared" ca="1" si="147"/>
        <v>14.33501</v>
      </c>
      <c r="J402" s="40">
        <f t="shared" ca="1" si="147"/>
        <v>13.353160000000003</v>
      </c>
      <c r="K402" s="40">
        <f t="shared" ca="1" si="147"/>
        <v>12.960419999999999</v>
      </c>
      <c r="L402" s="40">
        <f t="shared" ca="1" si="147"/>
        <v>13.549529999999997</v>
      </c>
      <c r="M402" s="40">
        <f t="shared" ca="1" si="147"/>
        <v>15.51323</v>
      </c>
    </row>
    <row r="403" spans="1:13" x14ac:dyDescent="0.3">
      <c r="A403" t="s">
        <v>114</v>
      </c>
      <c r="C403">
        <f>C275</f>
        <v>0</v>
      </c>
      <c r="D403" s="40">
        <f t="shared" ref="D403:M403" si="148">D275</f>
        <v>1.8</v>
      </c>
      <c r="E403" s="40">
        <f t="shared" si="148"/>
        <v>1.9800000000000002</v>
      </c>
      <c r="F403" s="40">
        <f t="shared" si="148"/>
        <v>2.1780000000000004</v>
      </c>
      <c r="G403" s="40">
        <f t="shared" si="148"/>
        <v>2.3958000000000008</v>
      </c>
      <c r="H403" s="40">
        <f t="shared" si="148"/>
        <v>2.6353800000000009</v>
      </c>
      <c r="I403" s="40">
        <f t="shared" si="148"/>
        <v>2.8989180000000014</v>
      </c>
      <c r="J403" s="40">
        <f t="shared" si="148"/>
        <v>3.1888098000000018</v>
      </c>
      <c r="K403" s="40">
        <f t="shared" si="148"/>
        <v>3.5076907800000021</v>
      </c>
      <c r="L403" s="40">
        <f t="shared" si="148"/>
        <v>3.8584598580000025</v>
      </c>
      <c r="M403" s="40">
        <f t="shared" si="148"/>
        <v>4.244305843800003</v>
      </c>
    </row>
    <row r="404" spans="1:13" x14ac:dyDescent="0.3">
      <c r="A404" t="s">
        <v>146</v>
      </c>
      <c r="C404">
        <f>C278</f>
        <v>0</v>
      </c>
      <c r="D404" s="40">
        <f t="shared" ref="D404:M404" si="149">D278</f>
        <v>0</v>
      </c>
      <c r="E404" s="40">
        <f t="shared" si="149"/>
        <v>0</v>
      </c>
      <c r="F404" s="40">
        <f t="shared" si="149"/>
        <v>0</v>
      </c>
      <c r="G404" s="40">
        <f t="shared" si="149"/>
        <v>0</v>
      </c>
      <c r="H404" s="40">
        <f t="shared" si="149"/>
        <v>0</v>
      </c>
      <c r="I404" s="40">
        <f t="shared" si="149"/>
        <v>0</v>
      </c>
      <c r="J404" s="40">
        <f t="shared" si="149"/>
        <v>0</v>
      </c>
      <c r="K404" s="40">
        <f t="shared" si="149"/>
        <v>0</v>
      </c>
      <c r="L404" s="40">
        <f t="shared" si="149"/>
        <v>0</v>
      </c>
      <c r="M404" s="40">
        <f t="shared" si="149"/>
        <v>0</v>
      </c>
    </row>
    <row r="405" spans="1:13" x14ac:dyDescent="0.3">
      <c r="A405" s="70" t="s">
        <v>221</v>
      </c>
      <c r="C405">
        <f>C183</f>
        <v>0</v>
      </c>
      <c r="D405" s="40">
        <f t="shared" ref="D405:M405" si="150">D183</f>
        <v>17.16</v>
      </c>
      <c r="E405" s="40">
        <f t="shared" si="150"/>
        <v>17.16</v>
      </c>
      <c r="F405" s="40">
        <f t="shared" si="150"/>
        <v>16.087500000000002</v>
      </c>
      <c r="G405" s="40">
        <f t="shared" si="150"/>
        <v>13.942500000000001</v>
      </c>
      <c r="H405" s="40">
        <f t="shared" si="150"/>
        <v>11.797500000000001</v>
      </c>
      <c r="I405" s="40">
        <f t="shared" si="150"/>
        <v>9.6524999999999999</v>
      </c>
      <c r="J405" s="40">
        <f t="shared" si="150"/>
        <v>7.5075000000000003</v>
      </c>
      <c r="K405" s="40">
        <f t="shared" si="150"/>
        <v>5.3624999999999998</v>
      </c>
      <c r="L405" s="40">
        <f t="shared" si="150"/>
        <v>3.2175000000000002</v>
      </c>
      <c r="M405" s="40">
        <f t="shared" si="150"/>
        <v>1.0725</v>
      </c>
    </row>
    <row r="406" spans="1:13" x14ac:dyDescent="0.3">
      <c r="A406" s="70" t="s">
        <v>73</v>
      </c>
      <c r="C406">
        <f>C288</f>
        <v>0</v>
      </c>
      <c r="D406" s="40">
        <f t="shared" ref="D406:M406" si="151">D288</f>
        <v>0</v>
      </c>
      <c r="E406" s="40">
        <f t="shared" si="151"/>
        <v>0</v>
      </c>
      <c r="F406" s="40">
        <f t="shared" si="151"/>
        <v>0</v>
      </c>
      <c r="G406" s="40">
        <f t="shared" si="151"/>
        <v>0</v>
      </c>
      <c r="H406" s="40">
        <f t="shared" si="151"/>
        <v>0</v>
      </c>
      <c r="I406" s="40">
        <f t="shared" si="151"/>
        <v>0</v>
      </c>
      <c r="J406" s="40">
        <f t="shared" si="151"/>
        <v>0</v>
      </c>
      <c r="K406" s="40">
        <f t="shared" si="151"/>
        <v>0</v>
      </c>
      <c r="L406" s="40">
        <f t="shared" si="151"/>
        <v>0</v>
      </c>
      <c r="M406" s="40">
        <f t="shared" si="151"/>
        <v>0</v>
      </c>
    </row>
    <row r="407" spans="1:13" x14ac:dyDescent="0.3">
      <c r="A407" s="70" t="s">
        <v>20</v>
      </c>
      <c r="C407">
        <f>C279</f>
        <v>0</v>
      </c>
      <c r="D407" s="40">
        <f t="shared" ref="D407:M409" si="152">D279</f>
        <v>12.887380000000002</v>
      </c>
      <c r="E407" s="40">
        <f t="shared" si="152"/>
        <v>12.887380000000002</v>
      </c>
      <c r="F407" s="40">
        <f t="shared" si="152"/>
        <v>13.08963</v>
      </c>
      <c r="G407" s="40">
        <f t="shared" si="152"/>
        <v>13.291880000000003</v>
      </c>
      <c r="H407" s="40">
        <f t="shared" si="152"/>
        <v>13.49413</v>
      </c>
      <c r="I407" s="40">
        <f t="shared" si="152"/>
        <v>13.69638</v>
      </c>
      <c r="J407" s="40">
        <f t="shared" si="152"/>
        <v>14.10088</v>
      </c>
      <c r="K407" s="40">
        <f t="shared" si="152"/>
        <v>14.505380000000001</v>
      </c>
      <c r="L407" s="40">
        <f t="shared" si="152"/>
        <v>14.909880000000001</v>
      </c>
      <c r="M407" s="40">
        <f t="shared" si="152"/>
        <v>15.314380000000002</v>
      </c>
    </row>
    <row r="408" spans="1:13" x14ac:dyDescent="0.3">
      <c r="A408" s="70" t="s">
        <v>147</v>
      </c>
      <c r="C408">
        <f>C280</f>
        <v>0</v>
      </c>
      <c r="D408" s="40">
        <f t="shared" si="152"/>
        <v>0.4</v>
      </c>
      <c r="E408" s="40">
        <f t="shared" si="152"/>
        <v>0.4</v>
      </c>
      <c r="F408" s="40">
        <f t="shared" si="152"/>
        <v>0.4</v>
      </c>
      <c r="G408" s="40">
        <f t="shared" si="152"/>
        <v>0.4</v>
      </c>
      <c r="H408" s="40">
        <f t="shared" si="152"/>
        <v>0.4</v>
      </c>
      <c r="I408" s="40">
        <f t="shared" si="152"/>
        <v>0.4</v>
      </c>
      <c r="J408" s="40">
        <f t="shared" si="152"/>
        <v>0.4</v>
      </c>
      <c r="K408" s="40">
        <f t="shared" si="152"/>
        <v>0.4</v>
      </c>
      <c r="L408" s="40">
        <f t="shared" si="152"/>
        <v>0.4</v>
      </c>
      <c r="M408" s="40">
        <f t="shared" si="152"/>
        <v>0.4</v>
      </c>
    </row>
    <row r="409" spans="1:13" x14ac:dyDescent="0.3">
      <c r="A409" s="70" t="s">
        <v>70</v>
      </c>
      <c r="C409">
        <f>C281</f>
        <v>0</v>
      </c>
      <c r="D409" s="40">
        <f t="shared" si="152"/>
        <v>0</v>
      </c>
      <c r="E409" s="40">
        <f t="shared" si="152"/>
        <v>0</v>
      </c>
      <c r="F409" s="40">
        <f t="shared" si="152"/>
        <v>0</v>
      </c>
      <c r="G409" s="40">
        <f t="shared" si="152"/>
        <v>0</v>
      </c>
      <c r="H409" s="40">
        <f t="shared" si="152"/>
        <v>0</v>
      </c>
      <c r="I409" s="40">
        <f t="shared" si="152"/>
        <v>0</v>
      </c>
      <c r="J409" s="40">
        <f t="shared" si="152"/>
        <v>0</v>
      </c>
      <c r="K409" s="40">
        <f t="shared" si="152"/>
        <v>0</v>
      </c>
      <c r="L409" s="40">
        <f t="shared" si="152"/>
        <v>0</v>
      </c>
      <c r="M409" s="40">
        <f t="shared" si="152"/>
        <v>0</v>
      </c>
    </row>
    <row r="410" spans="1:13" x14ac:dyDescent="0.3">
      <c r="A410" s="23" t="s">
        <v>374</v>
      </c>
      <c r="C410">
        <f>SUM(C400:C409)</f>
        <v>0</v>
      </c>
      <c r="D410" s="40">
        <f t="shared" ref="D410:M410" ca="1" si="153">SUM(D400:D409)</f>
        <v>43.074919999999999</v>
      </c>
      <c r="E410" s="40">
        <f t="shared" ca="1" si="153"/>
        <v>44.630990000000004</v>
      </c>
      <c r="F410" s="40">
        <f t="shared" ca="1" si="153"/>
        <v>46.671120000000002</v>
      </c>
      <c r="G410" s="40">
        <f t="shared" ca="1" si="153"/>
        <v>45.057110000000002</v>
      </c>
      <c r="H410" s="40">
        <f t="shared" ca="1" si="153"/>
        <v>44.764160500000003</v>
      </c>
      <c r="I410" s="40">
        <f t="shared" ca="1" si="153"/>
        <v>42.820413537500002</v>
      </c>
      <c r="J410" s="40">
        <f t="shared" ca="1" si="153"/>
        <v>40.5257757528125</v>
      </c>
      <c r="K410" s="40">
        <f t="shared" ca="1" si="153"/>
        <v>38.859573679273439</v>
      </c>
      <c r="L410" s="40">
        <f t="shared" ca="1" si="153"/>
        <v>38.218221474718952</v>
      </c>
      <c r="M410" s="40">
        <f t="shared" ca="1" si="153"/>
        <v>38.998481331772872</v>
      </c>
    </row>
    <row r="411" spans="1:13" x14ac:dyDescent="0.3">
      <c r="A411" s="23" t="s">
        <v>223</v>
      </c>
      <c r="C411">
        <f t="shared" ref="C411:M411" si="154">(C261-C397)</f>
        <v>0</v>
      </c>
      <c r="D411" s="40">
        <f t="shared" ca="1" si="154"/>
        <v>37.284464000000014</v>
      </c>
      <c r="E411" s="40">
        <f t="shared" ca="1" si="154"/>
        <v>59.484775999999997</v>
      </c>
      <c r="F411" s="40">
        <f t="shared" ca="1" si="154"/>
        <v>78.367463999999984</v>
      </c>
      <c r="G411" s="40">
        <f t="shared" ca="1" si="154"/>
        <v>77.745053999999982</v>
      </c>
      <c r="H411" s="40">
        <f t="shared" ca="1" si="154"/>
        <v>90.705299249999968</v>
      </c>
      <c r="I411" s="40">
        <f t="shared" ca="1" si="154"/>
        <v>92.98009969375002</v>
      </c>
      <c r="J411" s="40">
        <f t="shared" ca="1" si="154"/>
        <v>85.965389070781242</v>
      </c>
      <c r="K411" s="40">
        <f t="shared" ca="1" si="154"/>
        <v>83.019961651089858</v>
      </c>
      <c r="L411" s="40">
        <f t="shared" ca="1" si="154"/>
        <v>86.865846574921591</v>
      </c>
      <c r="M411" s="40">
        <f t="shared" ca="1" si="154"/>
        <v>100.22498576804068</v>
      </c>
    </row>
    <row r="412" spans="1:13" x14ac:dyDescent="0.3">
      <c r="A412" s="124" t="s">
        <v>215</v>
      </c>
      <c r="D412" s="40">
        <f t="shared" ref="D412:M412" ca="1" si="155">(D410/D411*D253)*100</f>
        <v>48.522801346963149</v>
      </c>
      <c r="E412" s="40">
        <f t="shared" ca="1" si="155"/>
        <v>39.765510254253975</v>
      </c>
      <c r="F412" s="40">
        <f t="shared" ca="1" si="155"/>
        <v>39.901317209907425</v>
      </c>
      <c r="G412" s="40">
        <f t="shared" ca="1" si="155"/>
        <v>38.829818936134522</v>
      </c>
      <c r="H412" s="40">
        <f t="shared" ca="1" si="155"/>
        <v>37.013405669349595</v>
      </c>
      <c r="I412" s="40">
        <f t="shared" ca="1" si="155"/>
        <v>33.618916289972724</v>
      </c>
      <c r="J412" s="40">
        <f t="shared" ca="1" si="155"/>
        <v>32.056537880870273</v>
      </c>
      <c r="K412" s="40">
        <f t="shared" ca="1" si="155"/>
        <v>30.892954077850721</v>
      </c>
      <c r="L412" s="40">
        <f t="shared" ca="1" si="155"/>
        <v>30.357814788360482</v>
      </c>
      <c r="M412" s="40">
        <f t="shared" ca="1" si="155"/>
        <v>30.739640435972753</v>
      </c>
    </row>
    <row r="415" spans="1:13" x14ac:dyDescent="0.3">
      <c r="A415" s="133" t="s">
        <v>375</v>
      </c>
    </row>
    <row r="416" spans="1:13" x14ac:dyDescent="0.3">
      <c r="A416" s="23" t="s">
        <v>376</v>
      </c>
    </row>
    <row r="417" spans="1:13" x14ac:dyDescent="0.3">
      <c r="A417" s="70" t="s">
        <v>225</v>
      </c>
      <c r="C417" s="40"/>
      <c r="D417" s="40">
        <f t="shared" ref="D417:M417" ca="1" si="156">D322</f>
        <v>40.732923999999997</v>
      </c>
      <c r="E417" s="40">
        <f t="shared" ca="1" si="156"/>
        <v>49.549166</v>
      </c>
      <c r="F417" s="40">
        <f t="shared" ca="1" si="156"/>
        <v>63.839620500000009</v>
      </c>
      <c r="G417" s="40">
        <f t="shared" ca="1" si="156"/>
        <v>57.441098625000016</v>
      </c>
      <c r="H417" s="40">
        <f t="shared" ca="1" si="156"/>
        <v>64.035297406249967</v>
      </c>
      <c r="I417" s="40">
        <f t="shared" ca="1" si="156"/>
        <v>64.488627087500021</v>
      </c>
      <c r="J417" s="40">
        <f t="shared" ca="1" si="156"/>
        <v>58.722564369960928</v>
      </c>
      <c r="K417" s="40">
        <f t="shared" ca="1" si="156"/>
        <v>55.630819415850603</v>
      </c>
      <c r="L417" s="40">
        <f t="shared" ca="1" si="156"/>
        <v>56.934424288680695</v>
      </c>
      <c r="M417" s="40">
        <f t="shared" ca="1" si="156"/>
        <v>64.359855272056166</v>
      </c>
    </row>
    <row r="418" spans="1:13" x14ac:dyDescent="0.3">
      <c r="A418" s="70" t="s">
        <v>226</v>
      </c>
      <c r="D418" s="40">
        <f t="shared" ref="D418:M419" si="157">D287</f>
        <v>19.236000000000001</v>
      </c>
      <c r="E418" s="40">
        <f t="shared" si="157"/>
        <v>19.908000000000001</v>
      </c>
      <c r="F418" s="40">
        <f t="shared" si="157"/>
        <v>19.291500000000003</v>
      </c>
      <c r="G418" s="40">
        <f t="shared" si="157"/>
        <v>17.602499999999999</v>
      </c>
      <c r="H418" s="40">
        <f t="shared" si="157"/>
        <v>15.457500000000001</v>
      </c>
      <c r="I418" s="40">
        <f t="shared" si="157"/>
        <v>13.3125</v>
      </c>
      <c r="J418" s="40">
        <f t="shared" si="157"/>
        <v>11.1675</v>
      </c>
      <c r="K418" s="40">
        <f t="shared" si="157"/>
        <v>9.0225000000000009</v>
      </c>
      <c r="L418" s="40">
        <f t="shared" si="157"/>
        <v>6.8775000000000004</v>
      </c>
      <c r="M418" s="40">
        <f t="shared" si="157"/>
        <v>4.7324999999999999</v>
      </c>
    </row>
    <row r="419" spans="1:13" x14ac:dyDescent="0.3">
      <c r="A419" s="70" t="str">
        <f>A288</f>
        <v>Lease rentals</v>
      </c>
      <c r="D419" s="40">
        <f t="shared" si="157"/>
        <v>0</v>
      </c>
      <c r="E419" s="40">
        <f t="shared" si="157"/>
        <v>0</v>
      </c>
      <c r="F419" s="40">
        <f t="shared" si="157"/>
        <v>0</v>
      </c>
      <c r="G419" s="40">
        <f t="shared" si="157"/>
        <v>0</v>
      </c>
      <c r="H419" s="40">
        <f t="shared" si="157"/>
        <v>0</v>
      </c>
      <c r="I419" s="40">
        <f t="shared" si="157"/>
        <v>0</v>
      </c>
      <c r="J419" s="40">
        <f t="shared" si="157"/>
        <v>0</v>
      </c>
      <c r="K419" s="40">
        <f t="shared" si="157"/>
        <v>0</v>
      </c>
      <c r="L419" s="40">
        <f t="shared" si="157"/>
        <v>0</v>
      </c>
      <c r="M419" s="40">
        <f t="shared" si="157"/>
        <v>0</v>
      </c>
    </row>
    <row r="420" spans="1:13" x14ac:dyDescent="0.3">
      <c r="A420" s="70" t="s">
        <v>227</v>
      </c>
      <c r="D420" s="40">
        <f t="shared" ref="D420:M420" si="158">D324*-1</f>
        <v>0</v>
      </c>
      <c r="E420" s="40">
        <f t="shared" si="158"/>
        <v>0</v>
      </c>
      <c r="F420" s="40">
        <f t="shared" si="158"/>
        <v>16.5</v>
      </c>
      <c r="G420" s="40">
        <f t="shared" si="158"/>
        <v>16.5</v>
      </c>
      <c r="H420" s="40">
        <f t="shared" si="158"/>
        <v>16.5</v>
      </c>
      <c r="I420" s="40">
        <f t="shared" si="158"/>
        <v>16.5</v>
      </c>
      <c r="J420" s="40">
        <f t="shared" si="158"/>
        <v>16.5</v>
      </c>
      <c r="K420" s="40">
        <f t="shared" si="158"/>
        <v>16.5</v>
      </c>
      <c r="L420" s="40">
        <f t="shared" si="158"/>
        <v>16.5</v>
      </c>
      <c r="M420" s="40">
        <f t="shared" si="158"/>
        <v>16.5</v>
      </c>
    </row>
    <row r="421" spans="1:13" x14ac:dyDescent="0.3">
      <c r="A421" s="70" t="s">
        <v>228</v>
      </c>
      <c r="D421" s="40">
        <f t="shared" ref="D421:M421" ca="1" si="159">D417/(D418+D419+D420)</f>
        <v>2.117536078186733</v>
      </c>
      <c r="E421" s="40">
        <f t="shared" ca="1" si="159"/>
        <v>2.4889072734579063</v>
      </c>
      <c r="F421" s="40">
        <f t="shared" ca="1" si="159"/>
        <v>1.7836531159632876</v>
      </c>
      <c r="G421" s="40">
        <f t="shared" ca="1" si="159"/>
        <v>1.6843662084891142</v>
      </c>
      <c r="H421" s="40">
        <f t="shared" ca="1" si="159"/>
        <v>2.00376429339748</v>
      </c>
      <c r="I421" s="40">
        <f t="shared" ca="1" si="159"/>
        <v>2.1631405312368979</v>
      </c>
      <c r="J421" s="40">
        <f t="shared" ca="1" si="159"/>
        <v>2.1224383977576915</v>
      </c>
      <c r="K421" s="40">
        <f t="shared" ca="1" si="159"/>
        <v>2.1796775165383719</v>
      </c>
      <c r="L421" s="40">
        <f t="shared" ca="1" si="159"/>
        <v>2.4354368212460997</v>
      </c>
      <c r="M421" s="40">
        <f t="shared" ca="1" si="159"/>
        <v>3.031195350149825</v>
      </c>
    </row>
    <row r="422" spans="1:13" x14ac:dyDescent="0.3">
      <c r="A422" s="70" t="s">
        <v>229</v>
      </c>
      <c r="C422" s="40">
        <f ca="1">AVERAGE(D421:M421)</f>
        <v>2.2010115586423411</v>
      </c>
    </row>
    <row r="425" spans="1:13" x14ac:dyDescent="0.3">
      <c r="A425" s="124" t="s">
        <v>377</v>
      </c>
    </row>
    <row r="426" spans="1:13" x14ac:dyDescent="0.3">
      <c r="A426" s="23"/>
    </row>
    <row r="427" spans="1:13" x14ac:dyDescent="0.3">
      <c r="A427" s="123" t="s">
        <v>230</v>
      </c>
    </row>
    <row r="428" spans="1:13" x14ac:dyDescent="0.3">
      <c r="A428" s="23"/>
      <c r="C428" s="23" t="s">
        <v>93</v>
      </c>
    </row>
    <row r="429" spans="1:13" x14ac:dyDescent="0.3">
      <c r="A429" s="23" t="s">
        <v>37</v>
      </c>
      <c r="C429">
        <v>100</v>
      </c>
      <c r="D429" s="40">
        <f>C10</f>
        <v>9</v>
      </c>
      <c r="E429" s="40">
        <f>D429*C429/100</f>
        <v>9</v>
      </c>
    </row>
    <row r="430" spans="1:13" x14ac:dyDescent="0.3">
      <c r="A430" s="23" t="s">
        <v>38</v>
      </c>
      <c r="C430">
        <v>33.33</v>
      </c>
      <c r="D430" s="40">
        <f>C11</f>
        <v>10.9</v>
      </c>
      <c r="E430" s="40">
        <f>D430*C430/100</f>
        <v>3.6329699999999998</v>
      </c>
    </row>
    <row r="431" spans="1:13" x14ac:dyDescent="0.3">
      <c r="A431" s="23" t="s">
        <v>232</v>
      </c>
      <c r="C431">
        <v>5</v>
      </c>
      <c r="D431" s="40">
        <f>C12+SUM(D141:M141)</f>
        <v>184.8</v>
      </c>
      <c r="E431" s="40">
        <f>D431*C431/100</f>
        <v>9.24</v>
      </c>
    </row>
    <row r="432" spans="1:13" x14ac:dyDescent="0.3">
      <c r="A432" s="23" t="s">
        <v>233</v>
      </c>
      <c r="C432">
        <v>100</v>
      </c>
      <c r="D432" s="40">
        <f>M366-M358</f>
        <v>44.7</v>
      </c>
      <c r="E432" s="40">
        <f>D432*C432/100</f>
        <v>44.7</v>
      </c>
    </row>
    <row r="433" spans="1:13" x14ac:dyDescent="0.3">
      <c r="A433" s="23"/>
    </row>
    <row r="434" spans="1:13" x14ac:dyDescent="0.3">
      <c r="A434" s="23" t="s">
        <v>235</v>
      </c>
      <c r="E434" s="40">
        <f>SUM(E429:E432)</f>
        <v>66.572969999999998</v>
      </c>
    </row>
    <row r="435" spans="1:13" x14ac:dyDescent="0.3">
      <c r="A435" s="23"/>
    </row>
    <row r="436" spans="1:13" x14ac:dyDescent="0.3">
      <c r="A436" s="23"/>
    </row>
    <row r="437" spans="1:13" x14ac:dyDescent="0.3">
      <c r="A437" s="23" t="s">
        <v>378</v>
      </c>
    </row>
    <row r="438" spans="1:13" x14ac:dyDescent="0.3">
      <c r="A438" s="23"/>
    </row>
    <row r="439" spans="1:13" x14ac:dyDescent="0.3">
      <c r="A439" s="23" t="s">
        <v>237</v>
      </c>
      <c r="C439" s="40">
        <f t="shared" ref="C439:M439" si="160">C10+C11+C12+C13-C19+C141</f>
        <v>177.50000000000003</v>
      </c>
      <c r="D439" s="40">
        <f t="shared" si="160"/>
        <v>0</v>
      </c>
      <c r="E439" s="40">
        <f t="shared" si="160"/>
        <v>0</v>
      </c>
      <c r="F439" s="40">
        <f t="shared" si="160"/>
        <v>2.5</v>
      </c>
      <c r="G439" s="40">
        <f t="shared" si="160"/>
        <v>2.5</v>
      </c>
      <c r="H439" s="40">
        <f t="shared" si="160"/>
        <v>2.5</v>
      </c>
      <c r="I439" s="40">
        <f t="shared" si="160"/>
        <v>2.5</v>
      </c>
      <c r="J439" s="40">
        <f t="shared" si="160"/>
        <v>5</v>
      </c>
      <c r="K439" s="40">
        <f t="shared" si="160"/>
        <v>5</v>
      </c>
      <c r="L439" s="40">
        <f t="shared" si="160"/>
        <v>5</v>
      </c>
      <c r="M439" s="40">
        <f t="shared" si="160"/>
        <v>5</v>
      </c>
    </row>
    <row r="440" spans="1:13" x14ac:dyDescent="0.3">
      <c r="A440" s="23" t="s">
        <v>238</v>
      </c>
      <c r="C440" s="40">
        <f>-1*C318-C320</f>
        <v>9</v>
      </c>
      <c r="D440" s="40">
        <f t="shared" ref="D440:M440" si="161">-1*D318-D320</f>
        <v>16.3</v>
      </c>
      <c r="E440" s="40">
        <f t="shared" si="161"/>
        <v>8.3000000000000007</v>
      </c>
      <c r="F440" s="40">
        <f t="shared" si="161"/>
        <v>5.5999999999999943</v>
      </c>
      <c r="G440" s="40">
        <f t="shared" si="161"/>
        <v>5.5000000000000018</v>
      </c>
      <c r="H440" s="40">
        <f t="shared" si="161"/>
        <v>0</v>
      </c>
      <c r="I440" s="40">
        <f t="shared" si="161"/>
        <v>0</v>
      </c>
      <c r="J440" s="40">
        <f t="shared" si="161"/>
        <v>0</v>
      </c>
      <c r="K440" s="40">
        <f t="shared" si="161"/>
        <v>0</v>
      </c>
      <c r="L440" s="40">
        <f t="shared" si="161"/>
        <v>0</v>
      </c>
      <c r="M440" s="40">
        <f t="shared" si="161"/>
        <v>0</v>
      </c>
    </row>
    <row r="441" spans="1:13" x14ac:dyDescent="0.3">
      <c r="A441" s="23" t="s">
        <v>239</v>
      </c>
      <c r="C441">
        <f>C273+C285</f>
        <v>0</v>
      </c>
      <c r="D441" s="40">
        <f t="shared" ref="D441:M441" ca="1" si="162">D273+D285</f>
        <v>118.88285599999999</v>
      </c>
      <c r="E441" s="40">
        <f t="shared" ca="1" si="162"/>
        <v>144.42881399999999</v>
      </c>
      <c r="F441" s="40">
        <f t="shared" ca="1" si="162"/>
        <v>178.04555600000003</v>
      </c>
      <c r="G441" s="40">
        <f t="shared" ca="1" si="162"/>
        <v>178.74295600000002</v>
      </c>
      <c r="H441" s="40">
        <f t="shared" ca="1" si="162"/>
        <v>198.11636125000004</v>
      </c>
      <c r="I441" s="40">
        <f t="shared" ca="1" si="162"/>
        <v>189.12241384375</v>
      </c>
      <c r="J441" s="40">
        <f t="shared" ca="1" si="162"/>
        <v>178.68648668203127</v>
      </c>
      <c r="K441" s="40">
        <f t="shared" ca="1" si="162"/>
        <v>175.19031202818357</v>
      </c>
      <c r="L441" s="40">
        <f t="shared" ca="1" si="162"/>
        <v>183.22867489979734</v>
      </c>
      <c r="M441" s="40">
        <f t="shared" ca="1" si="162"/>
        <v>207.39679556373216</v>
      </c>
    </row>
    <row r="442" spans="1:13" x14ac:dyDescent="0.3">
      <c r="A442" s="23"/>
    </row>
    <row r="443" spans="1:13" x14ac:dyDescent="0.3">
      <c r="A443" s="23" t="s">
        <v>240</v>
      </c>
      <c r="C443" s="40">
        <f>SUM(C439:C441)</f>
        <v>186.50000000000003</v>
      </c>
      <c r="D443" s="40">
        <f t="shared" ref="D443:M443" ca="1" si="163">SUM(D439:D441)</f>
        <v>135.18285599999999</v>
      </c>
      <c r="E443" s="40">
        <f t="shared" ca="1" si="163"/>
        <v>152.728814</v>
      </c>
      <c r="F443" s="40">
        <f t="shared" ca="1" si="163"/>
        <v>186.14555600000003</v>
      </c>
      <c r="G443" s="40">
        <f t="shared" ca="1" si="163"/>
        <v>186.74295600000002</v>
      </c>
      <c r="H443" s="40">
        <f t="shared" ca="1" si="163"/>
        <v>200.61636125000004</v>
      </c>
      <c r="I443" s="40">
        <f t="shared" ca="1" si="163"/>
        <v>191.62241384375</v>
      </c>
      <c r="J443" s="40">
        <f t="shared" ca="1" si="163"/>
        <v>183.68648668203127</v>
      </c>
      <c r="K443" s="40">
        <f t="shared" ca="1" si="163"/>
        <v>180.19031202818357</v>
      </c>
      <c r="L443" s="40">
        <f t="shared" ca="1" si="163"/>
        <v>188.22867489979734</v>
      </c>
      <c r="M443" s="40">
        <f t="shared" ca="1" si="163"/>
        <v>212.39679556373216</v>
      </c>
    </row>
    <row r="444" spans="1:13" x14ac:dyDescent="0.3">
      <c r="A444" s="23"/>
    </row>
    <row r="445" spans="1:13" x14ac:dyDescent="0.3">
      <c r="A445" s="23" t="s">
        <v>379</v>
      </c>
    </row>
    <row r="446" spans="1:13" x14ac:dyDescent="0.3">
      <c r="A446" s="23"/>
    </row>
    <row r="447" spans="1:13" x14ac:dyDescent="0.3">
      <c r="A447" s="23" t="str">
        <f>A261</f>
        <v>Total operational income</v>
      </c>
      <c r="C447">
        <f>C261</f>
        <v>0</v>
      </c>
      <c r="D447" s="40">
        <f t="shared" ref="D447:M447" ca="1" si="164">D261</f>
        <v>145.32839999999999</v>
      </c>
      <c r="E447" s="40">
        <f t="shared" ca="1" si="164"/>
        <v>183.39060000000001</v>
      </c>
      <c r="F447" s="40">
        <f t="shared" ca="1" si="164"/>
        <v>231.83340000000004</v>
      </c>
      <c r="G447" s="40">
        <f t="shared" ca="1" si="164"/>
        <v>231.83340000000004</v>
      </c>
      <c r="H447" s="40">
        <f t="shared" ca="1" si="164"/>
        <v>259.51499999999999</v>
      </c>
      <c r="I447" s="40">
        <f t="shared" ca="1" si="164"/>
        <v>252.59460000000001</v>
      </c>
      <c r="J447" s="40">
        <f t="shared" ca="1" si="164"/>
        <v>235.29360000000003</v>
      </c>
      <c r="K447" s="40">
        <f t="shared" ca="1" si="164"/>
        <v>228.3732</v>
      </c>
      <c r="L447" s="40">
        <f t="shared" ca="1" si="164"/>
        <v>238.75379999999998</v>
      </c>
      <c r="M447" s="40">
        <f t="shared" ca="1" si="164"/>
        <v>273.35579999999999</v>
      </c>
    </row>
    <row r="448" spans="1:13" x14ac:dyDescent="0.3">
      <c r="A448" s="23" t="s">
        <v>230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40">
        <f>E434</f>
        <v>66.572969999999998</v>
      </c>
    </row>
    <row r="449" spans="1:13" x14ac:dyDescent="0.3">
      <c r="A449" s="23"/>
    </row>
    <row r="450" spans="1:13" x14ac:dyDescent="0.3">
      <c r="A450" s="23" t="s">
        <v>380</v>
      </c>
      <c r="C450">
        <f>SUM(C447:C448)</f>
        <v>0</v>
      </c>
      <c r="D450" s="40">
        <f t="shared" ref="D450:M450" ca="1" si="165">SUM(D447:D448)</f>
        <v>145.32839999999999</v>
      </c>
      <c r="E450" s="40">
        <f t="shared" ca="1" si="165"/>
        <v>183.39060000000001</v>
      </c>
      <c r="F450" s="40">
        <f t="shared" ca="1" si="165"/>
        <v>231.83340000000004</v>
      </c>
      <c r="G450" s="40">
        <f t="shared" ca="1" si="165"/>
        <v>231.83340000000004</v>
      </c>
      <c r="H450" s="40">
        <f t="shared" ca="1" si="165"/>
        <v>259.51499999999999</v>
      </c>
      <c r="I450" s="40">
        <f t="shared" ca="1" si="165"/>
        <v>252.59460000000001</v>
      </c>
      <c r="J450" s="40">
        <f t="shared" ca="1" si="165"/>
        <v>235.29360000000003</v>
      </c>
      <c r="K450" s="40">
        <f t="shared" ca="1" si="165"/>
        <v>228.3732</v>
      </c>
      <c r="L450" s="40">
        <f t="shared" ca="1" si="165"/>
        <v>238.75379999999998</v>
      </c>
      <c r="M450" s="40">
        <f t="shared" ca="1" si="165"/>
        <v>339.92876999999999</v>
      </c>
    </row>
    <row r="451" spans="1:13" x14ac:dyDescent="0.3">
      <c r="A451" s="23" t="s">
        <v>381</v>
      </c>
      <c r="C451" s="40">
        <f>C450-C443</f>
        <v>-186.50000000000003</v>
      </c>
      <c r="D451" s="40">
        <f t="shared" ref="D451:M451" ca="1" si="166">D450-D443</f>
        <v>10.145544000000001</v>
      </c>
      <c r="E451" s="40">
        <f t="shared" ca="1" si="166"/>
        <v>30.661786000000006</v>
      </c>
      <c r="F451" s="40">
        <f t="shared" ca="1" si="166"/>
        <v>45.687844000000013</v>
      </c>
      <c r="G451" s="40">
        <f t="shared" ca="1" si="166"/>
        <v>45.090444000000019</v>
      </c>
      <c r="H451" s="40">
        <f t="shared" ca="1" si="166"/>
        <v>58.898638749999947</v>
      </c>
      <c r="I451" s="40">
        <f t="shared" ca="1" si="166"/>
        <v>60.972186156250018</v>
      </c>
      <c r="J451" s="40">
        <f t="shared" ca="1" si="166"/>
        <v>51.607113317968754</v>
      </c>
      <c r="K451" s="40">
        <f t="shared" ca="1" si="166"/>
        <v>48.182887971816427</v>
      </c>
      <c r="L451" s="40">
        <f t="shared" ca="1" si="166"/>
        <v>50.525125100202644</v>
      </c>
      <c r="M451" s="40">
        <f t="shared" ca="1" si="166"/>
        <v>127.53197443626783</v>
      </c>
    </row>
    <row r="452" spans="1:13" x14ac:dyDescent="0.3">
      <c r="A452" s="23"/>
    </row>
    <row r="453" spans="1:13" x14ac:dyDescent="0.3">
      <c r="A453" s="124" t="s">
        <v>28</v>
      </c>
      <c r="C453" s="134">
        <f ca="1">IRR(C451:M451,0.2)</f>
        <v>0.18956317422046287</v>
      </c>
    </row>
    <row r="457" spans="1:13" x14ac:dyDescent="0.3">
      <c r="A457" s="23" t="s">
        <v>382</v>
      </c>
    </row>
    <row r="458" spans="1:13" x14ac:dyDescent="0.3">
      <c r="A458" t="str">
        <f>A381</f>
        <v>Promoters' Contribution(%)</v>
      </c>
      <c r="C458" s="40">
        <f>C381</f>
        <v>17.5</v>
      </c>
    </row>
    <row r="459" spans="1:13" x14ac:dyDescent="0.3">
      <c r="A459" t="s">
        <v>246</v>
      </c>
      <c r="C459" s="40">
        <f>C378</f>
        <v>1.9411764705882353</v>
      </c>
      <c r="D459" s="40">
        <f t="shared" ref="D459:M461" ca="1" si="167">D378</f>
        <v>2.0755344561057307</v>
      </c>
      <c r="E459" s="40">
        <f t="shared" ca="1" si="167"/>
        <v>1.8718612795564329</v>
      </c>
      <c r="F459" s="40">
        <f t="shared" ca="1" si="167"/>
        <v>1.3828452195147096</v>
      </c>
      <c r="G459" s="40">
        <f t="shared" ca="1" si="167"/>
        <v>1.1332052898658707</v>
      </c>
      <c r="H459" s="40">
        <f t="shared" ca="1" si="167"/>
        <v>0.85503236021429019</v>
      </c>
      <c r="I459" s="40">
        <f t="shared" ca="1" si="167"/>
        <v>0.63863430775853813</v>
      </c>
      <c r="J459" s="40">
        <f t="shared" ca="1" si="167"/>
        <v>0.48536243242277943</v>
      </c>
      <c r="K459" s="40">
        <f t="shared" ca="1" si="167"/>
        <v>0.36330638631639084</v>
      </c>
      <c r="L459" s="40">
        <f t="shared" ca="1" si="167"/>
        <v>0.25760285039216541</v>
      </c>
      <c r="M459" s="40">
        <f t="shared" ca="1" si="167"/>
        <v>0.16396332174165046</v>
      </c>
    </row>
    <row r="460" spans="1:13" x14ac:dyDescent="0.3">
      <c r="A460" t="str">
        <f>A379</f>
        <v>Current Ratio</v>
      </c>
      <c r="C460" s="40">
        <f>C379</f>
        <v>0</v>
      </c>
      <c r="D460" s="40">
        <f t="shared" ca="1" si="167"/>
        <v>2.223938755186722</v>
      </c>
      <c r="E460" s="40">
        <f t="shared" ca="1" si="167"/>
        <v>2.7246278125000001</v>
      </c>
      <c r="F460" s="40">
        <f t="shared" ca="1" si="167"/>
        <v>2.9453407640750671</v>
      </c>
      <c r="G460" s="40">
        <f t="shared" ca="1" si="167"/>
        <v>2.9156863963700235</v>
      </c>
      <c r="H460" s="40">
        <f t="shared" ca="1" si="167"/>
        <v>3.2968994503805611</v>
      </c>
      <c r="I460" s="40">
        <f t="shared" ca="1" si="167"/>
        <v>3.7389633165983605</v>
      </c>
      <c r="J460" s="40">
        <f t="shared" ca="1" si="167"/>
        <v>4.0376767678855021</v>
      </c>
      <c r="K460" s="40">
        <f t="shared" ca="1" si="167"/>
        <v>4.3142182061958207</v>
      </c>
      <c r="L460" s="40">
        <f t="shared" ca="1" si="167"/>
        <v>4.6715232246660943</v>
      </c>
      <c r="M460" s="40">
        <f t="shared" ca="1" si="167"/>
        <v>5.2529601162833348</v>
      </c>
    </row>
    <row r="461" spans="1:13" x14ac:dyDescent="0.3">
      <c r="A461" t="str">
        <f>A380</f>
        <v>Asset Coverage Ratio(%)</v>
      </c>
      <c r="C461" s="40">
        <f>C380</f>
        <v>24.441900400686901</v>
      </c>
      <c r="D461" s="40">
        <f t="shared" si="167"/>
        <v>18.424162466438037</v>
      </c>
      <c r="E461" s="40">
        <f t="shared" si="167"/>
        <v>11.364923769805577</v>
      </c>
      <c r="F461" s="40">
        <f t="shared" si="167"/>
        <v>16.507398203542838</v>
      </c>
      <c r="G461" s="40">
        <f t="shared" si="167"/>
        <v>22.379563464233019</v>
      </c>
      <c r="H461" s="40">
        <f t="shared" si="167"/>
        <v>29.214686279489598</v>
      </c>
      <c r="I461" s="40">
        <f t="shared" si="167"/>
        <v>37.353599633689413</v>
      </c>
      <c r="J461" s="40">
        <f t="shared" si="167"/>
        <v>48.572678856430926</v>
      </c>
      <c r="K461" s="40">
        <f t="shared" si="167"/>
        <v>61.958321075459011</v>
      </c>
      <c r="L461" s="40">
        <f t="shared" si="167"/>
        <v>78.525992919043773</v>
      </c>
      <c r="M461" s="40">
        <f t="shared" si="167"/>
        <v>100</v>
      </c>
    </row>
    <row r="462" spans="1:13" x14ac:dyDescent="0.3"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</row>
    <row r="463" spans="1:13" x14ac:dyDescent="0.3">
      <c r="A463" t="s">
        <v>249</v>
      </c>
      <c r="C463">
        <f>C412</f>
        <v>0</v>
      </c>
      <c r="D463" s="40">
        <f t="shared" ref="D463:M463" ca="1" si="168">D412</f>
        <v>48.522801346963149</v>
      </c>
      <c r="E463" s="40">
        <f t="shared" ca="1" si="168"/>
        <v>39.765510254253975</v>
      </c>
      <c r="F463" s="40">
        <f t="shared" ca="1" si="168"/>
        <v>39.901317209907425</v>
      </c>
      <c r="G463" s="40">
        <f t="shared" ca="1" si="168"/>
        <v>38.829818936134522</v>
      </c>
      <c r="H463" s="40">
        <f t="shared" ca="1" si="168"/>
        <v>37.013405669349595</v>
      </c>
      <c r="I463" s="40">
        <f t="shared" ca="1" si="168"/>
        <v>33.618916289972724</v>
      </c>
      <c r="J463" s="40">
        <f t="shared" ca="1" si="168"/>
        <v>32.056537880870273</v>
      </c>
      <c r="K463" s="40">
        <f t="shared" ca="1" si="168"/>
        <v>30.892954077850721</v>
      </c>
      <c r="L463" s="40">
        <f t="shared" ca="1" si="168"/>
        <v>30.357814788360482</v>
      </c>
      <c r="M463" s="40">
        <f t="shared" ca="1" si="168"/>
        <v>30.739640435972753</v>
      </c>
    </row>
    <row r="464" spans="1:13" x14ac:dyDescent="0.3">
      <c r="A464" t="s">
        <v>250</v>
      </c>
      <c r="C464">
        <f>C421</f>
        <v>0</v>
      </c>
      <c r="D464" s="40">
        <f t="shared" ref="D464:M464" ca="1" si="169">D421</f>
        <v>2.117536078186733</v>
      </c>
      <c r="E464" s="40">
        <f t="shared" ca="1" si="169"/>
        <v>2.4889072734579063</v>
      </c>
      <c r="F464" s="40">
        <f t="shared" ca="1" si="169"/>
        <v>1.7836531159632876</v>
      </c>
      <c r="G464" s="40">
        <f t="shared" ca="1" si="169"/>
        <v>1.6843662084891142</v>
      </c>
      <c r="H464" s="40">
        <f t="shared" ca="1" si="169"/>
        <v>2.00376429339748</v>
      </c>
      <c r="I464" s="40">
        <f t="shared" ca="1" si="169"/>
        <v>2.1631405312368979</v>
      </c>
      <c r="J464" s="40">
        <f t="shared" ca="1" si="169"/>
        <v>2.1224383977576915</v>
      </c>
      <c r="K464" s="40">
        <f t="shared" ca="1" si="169"/>
        <v>2.1796775165383719</v>
      </c>
      <c r="L464" s="40">
        <f t="shared" ca="1" si="169"/>
        <v>2.4354368212460997</v>
      </c>
      <c r="M464" s="40">
        <f t="shared" ca="1" si="169"/>
        <v>3.031195350149825</v>
      </c>
    </row>
    <row r="465" spans="1:13" x14ac:dyDescent="0.3">
      <c r="A465" t="s">
        <v>251</v>
      </c>
      <c r="C465" s="40">
        <f ca="1">G463</f>
        <v>38.829818936134522</v>
      </c>
      <c r="D465" s="40"/>
      <c r="E465" s="40"/>
      <c r="F465" s="40"/>
      <c r="G465" s="40"/>
      <c r="H465" s="40"/>
      <c r="I465" s="40"/>
      <c r="J465" s="40"/>
      <c r="K465" s="40"/>
      <c r="L465" s="40"/>
      <c r="M465" s="40"/>
    </row>
    <row r="466" spans="1:13" x14ac:dyDescent="0.3">
      <c r="A466" t="s">
        <v>252</v>
      </c>
      <c r="C466" s="40">
        <f ca="1">C422</f>
        <v>2.2010115586423411</v>
      </c>
    </row>
    <row r="467" spans="1:13" x14ac:dyDescent="0.3">
      <c r="A467" t="s">
        <v>29</v>
      </c>
      <c r="C467" s="134">
        <f ca="1">C453</f>
        <v>0.18956317422046287</v>
      </c>
    </row>
    <row r="469" spans="1:13" x14ac:dyDescent="0.3">
      <c r="C469" s="166" t="s">
        <v>278</v>
      </c>
      <c r="D469" s="166"/>
      <c r="E469" s="166"/>
      <c r="F469" s="166"/>
      <c r="G469" s="166"/>
      <c r="H469" s="166"/>
    </row>
    <row r="470" spans="1:13" x14ac:dyDescent="0.3">
      <c r="C470" s="135">
        <f ca="1">C467</f>
        <v>0.18956317422046287</v>
      </c>
      <c r="D470" s="136">
        <v>212.49069249999999</v>
      </c>
      <c r="E470" s="136">
        <v>224.99014499999998</v>
      </c>
      <c r="F470" s="136">
        <v>249.98904999999999</v>
      </c>
      <c r="G470" s="136">
        <v>262.48850249999998</v>
      </c>
      <c r="H470" s="136">
        <v>274.987955</v>
      </c>
    </row>
    <row r="471" spans="1:13" x14ac:dyDescent="0.3">
      <c r="C471" s="8">
        <v>425</v>
      </c>
      <c r="D471" s="116">
        <f t="dataTable" ref="D471:H475" dt2D="1" dtr="1" r1="C62" r2="C65" ca="1"/>
        <v>0.13460552696117722</v>
      </c>
      <c r="E471" s="116">
        <v>0.206658746507552</v>
      </c>
      <c r="F471" s="116">
        <v>0.20857837259746592</v>
      </c>
      <c r="G471" s="116">
        <v>0.17021903493891766</v>
      </c>
      <c r="H471" s="116">
        <v>0.29882278193778977</v>
      </c>
    </row>
    <row r="472" spans="1:13" x14ac:dyDescent="0.3">
      <c r="C472" s="8">
        <v>450</v>
      </c>
      <c r="D472" s="116">
        <v>0.27745917636844863</v>
      </c>
      <c r="E472" s="116">
        <v>7.3730386721136743E-2</v>
      </c>
      <c r="F472" s="116">
        <v>0.24379579098067761</v>
      </c>
      <c r="G472" s="116">
        <v>0.2627586489427618</v>
      </c>
      <c r="H472" s="116">
        <v>0.23805401053422881</v>
      </c>
    </row>
    <row r="473" spans="1:13" x14ac:dyDescent="0.3">
      <c r="C473" s="8">
        <v>500</v>
      </c>
      <c r="D473" s="116">
        <v>8.6640545416934556E-2</v>
      </c>
      <c r="E473" s="116">
        <v>9.6232818463466208E-2</v>
      </c>
      <c r="F473" s="116">
        <v>0.20198786661913148</v>
      </c>
      <c r="G473" s="116">
        <v>0.25619631843331181</v>
      </c>
      <c r="H473" s="116">
        <v>0.26834789083277877</v>
      </c>
    </row>
    <row r="474" spans="1:13" x14ac:dyDescent="0.3">
      <c r="C474" s="8">
        <v>525</v>
      </c>
      <c r="D474" s="116">
        <v>0.33141684027118856</v>
      </c>
      <c r="E474" s="116">
        <v>0.36274217653165808</v>
      </c>
      <c r="F474" s="116">
        <v>0.34904571957184594</v>
      </c>
      <c r="G474" s="116">
        <v>0.29243963962923369</v>
      </c>
      <c r="H474" s="116">
        <v>0.13493449413220571</v>
      </c>
    </row>
    <row r="475" spans="1:13" x14ac:dyDescent="0.3">
      <c r="C475" s="8">
        <v>550</v>
      </c>
      <c r="D475" s="116">
        <v>0.22925198871901609</v>
      </c>
      <c r="E475" s="116">
        <v>0.2221185664880887</v>
      </c>
      <c r="F475" s="116">
        <v>0.22891615069069782</v>
      </c>
      <c r="G475" s="116">
        <v>0.39216286489068097</v>
      </c>
      <c r="H475" s="116">
        <v>0.17747771058663675</v>
      </c>
    </row>
    <row r="477" spans="1:13" x14ac:dyDescent="0.3">
      <c r="C477" s="16" t="s">
        <v>429</v>
      </c>
      <c r="D477" s="40">
        <f ca="1">C466</f>
        <v>2.2010115586423411</v>
      </c>
      <c r="F477" t="s">
        <v>387</v>
      </c>
      <c r="G477" s="40">
        <f ca="1">AVERAGE(D477:D1476)</f>
        <v>2.5350923661302853</v>
      </c>
      <c r="I477" s="16" t="s">
        <v>29</v>
      </c>
      <c r="J477" s="134">
        <f ca="1">C453</f>
        <v>0.18956317422046287</v>
      </c>
      <c r="L477" t="s">
        <v>387</v>
      </c>
      <c r="M477" s="112">
        <f ca="1">AVERAGE(J477:J1476)</f>
        <v>0.2363394869809721</v>
      </c>
    </row>
    <row r="478" spans="1:13" x14ac:dyDescent="0.3">
      <c r="C478" s="164">
        <v>1</v>
      </c>
      <c r="D478" s="141">
        <f t="dataTable" ref="D478:D577" dt2D="0" dtr="0" r1="B477" ca="1"/>
        <v>2.5479846473070689</v>
      </c>
      <c r="F478" t="s">
        <v>388</v>
      </c>
      <c r="G478" s="141">
        <f ca="1">STDEV(D477:D1476)</f>
        <v>0.44059947009997502</v>
      </c>
      <c r="I478">
        <v>1</v>
      </c>
      <c r="J478" s="114">
        <f t="dataTable" ref="J478:J577" dt2D="0" dtr="0" r1="K477" ca="1"/>
        <v>0.22239702809809869</v>
      </c>
      <c r="L478" t="s">
        <v>388</v>
      </c>
      <c r="M478" s="112">
        <f ca="1">STDEV(J477:J1476)</f>
        <v>6.7612644152409931E-2</v>
      </c>
    </row>
    <row r="479" spans="1:13" x14ac:dyDescent="0.3">
      <c r="C479" s="164">
        <v>2</v>
      </c>
      <c r="D479" s="141">
        <v>2.8393427926852044</v>
      </c>
      <c r="F479" t="s">
        <v>389</v>
      </c>
      <c r="G479" s="40">
        <f ca="1">MAX(D477:D1476)</f>
        <v>3.5351123432226146</v>
      </c>
      <c r="I479">
        <v>2</v>
      </c>
      <c r="J479" s="114">
        <v>0.16461537315213648</v>
      </c>
      <c r="L479" t="s">
        <v>389</v>
      </c>
      <c r="M479" s="112">
        <f ca="1">MAX(J477:J1476)</f>
        <v>0.37557690519245313</v>
      </c>
    </row>
    <row r="480" spans="1:13" x14ac:dyDescent="0.3">
      <c r="C480" s="164">
        <v>3</v>
      </c>
      <c r="D480" s="141">
        <v>2.7163812773925344</v>
      </c>
      <c r="F480" t="s">
        <v>390</v>
      </c>
      <c r="G480" s="40">
        <f ca="1">MIN(D477:D1476)</f>
        <v>1.5625373000560565</v>
      </c>
      <c r="I480">
        <v>3</v>
      </c>
      <c r="J480" s="114">
        <v>0.30609022257281104</v>
      </c>
      <c r="L480" t="s">
        <v>390</v>
      </c>
      <c r="M480" s="112">
        <f ca="1">MIN(J477:J1476)</f>
        <v>6.1430027517016983E-2</v>
      </c>
    </row>
    <row r="481" spans="3:13" x14ac:dyDescent="0.3">
      <c r="C481" s="164">
        <v>4</v>
      </c>
      <c r="D481" s="141">
        <v>2.3501082826815689</v>
      </c>
      <c r="G481" s="40"/>
      <c r="I481">
        <v>4</v>
      </c>
      <c r="J481" s="114">
        <v>0.30942776953900197</v>
      </c>
      <c r="M481" s="40"/>
    </row>
    <row r="482" spans="3:13" x14ac:dyDescent="0.3">
      <c r="C482" s="164">
        <v>5</v>
      </c>
      <c r="D482" s="141">
        <v>2.741764150673907</v>
      </c>
      <c r="F482" t="s">
        <v>391</v>
      </c>
      <c r="G482" s="40">
        <f ca="1">('Summary Output'!B24-G477)/G478</f>
        <v>-5.5101077188398593</v>
      </c>
      <c r="I482">
        <v>5</v>
      </c>
      <c r="J482" s="114">
        <v>0.26128934279072769</v>
      </c>
      <c r="L482" t="s">
        <v>391</v>
      </c>
      <c r="M482" s="40">
        <f ca="1">('Summary Output'!D38-M477)/M478</f>
        <v>-3.4954924473627202</v>
      </c>
    </row>
    <row r="483" spans="3:13" x14ac:dyDescent="0.3">
      <c r="C483" s="164">
        <v>6</v>
      </c>
      <c r="D483" s="141">
        <v>2.2441921284087494</v>
      </c>
      <c r="F483" t="s">
        <v>392</v>
      </c>
      <c r="G483" s="141">
        <f ca="1">NORMSDIST(G482)</f>
        <v>1.7930708511078263E-8</v>
      </c>
      <c r="I483">
        <v>6</v>
      </c>
      <c r="J483" s="114">
        <v>0.28749466512994282</v>
      </c>
      <c r="L483" t="s">
        <v>392</v>
      </c>
      <c r="M483" s="112">
        <f ca="1">NORMSDIST(M482)</f>
        <v>2.3659392215343795E-4</v>
      </c>
    </row>
    <row r="484" spans="3:13" x14ac:dyDescent="0.3">
      <c r="C484" s="164">
        <v>7</v>
      </c>
      <c r="D484" s="141">
        <v>1.6078171638130034</v>
      </c>
      <c r="F484" t="s">
        <v>393</v>
      </c>
      <c r="G484" s="40">
        <f ca="1">1-G483</f>
        <v>0.99999998206929153</v>
      </c>
      <c r="I484">
        <v>7</v>
      </c>
      <c r="J484" s="114">
        <v>0.17887874578870688</v>
      </c>
      <c r="L484" t="s">
        <v>393</v>
      </c>
      <c r="M484" s="112">
        <f ca="1">1-M483</f>
        <v>0.99976340607784653</v>
      </c>
    </row>
    <row r="485" spans="3:13" x14ac:dyDescent="0.3">
      <c r="C485" s="164">
        <v>8</v>
      </c>
      <c r="D485" s="141">
        <v>1.5625373000560565</v>
      </c>
      <c r="F485" t="s">
        <v>396</v>
      </c>
      <c r="G485" s="40">
        <f ca="1">SKEW(D477:D1476)</f>
        <v>0.16600674126327775</v>
      </c>
      <c r="I485">
        <v>8</v>
      </c>
      <c r="J485" s="114">
        <v>0.18816915888159302</v>
      </c>
      <c r="L485" t="s">
        <v>396</v>
      </c>
      <c r="M485" s="40">
        <f ca="1">SKEW(J477:J1476)</f>
        <v>4.8891973666782218E-2</v>
      </c>
    </row>
    <row r="486" spans="3:13" x14ac:dyDescent="0.3">
      <c r="C486" s="164">
        <v>9</v>
      </c>
      <c r="D486" s="141">
        <v>2.9372144838844787</v>
      </c>
      <c r="F486" t="s">
        <v>397</v>
      </c>
      <c r="G486" s="40">
        <f ca="1">KURT(D477:D1476)</f>
        <v>-0.4106255062851254</v>
      </c>
      <c r="I486">
        <v>9</v>
      </c>
      <c r="J486" s="114">
        <v>0.22878531912674815</v>
      </c>
      <c r="L486" t="s">
        <v>397</v>
      </c>
      <c r="M486" s="40">
        <f ca="1">KURT(J477:J1476)</f>
        <v>-0.30536475939556995</v>
      </c>
    </row>
    <row r="487" spans="3:13" x14ac:dyDescent="0.3">
      <c r="C487" s="164">
        <v>10</v>
      </c>
      <c r="D487" s="141">
        <v>2.5146274439531924</v>
      </c>
      <c r="F487" t="s">
        <v>398</v>
      </c>
      <c r="G487" s="40">
        <f ca="1">COUNT(I478:I10477)*(((4*(G485^2))+(G486^2))/24)</f>
        <v>1.1618594124638622</v>
      </c>
      <c r="H487" s="143"/>
      <c r="I487">
        <v>10</v>
      </c>
      <c r="J487" s="114">
        <v>0.20057278757492125</v>
      </c>
      <c r="L487" t="s">
        <v>398</v>
      </c>
      <c r="M487" s="40">
        <f ca="1">COUNT(I478:I10004)*(((4*(M485^2))+(M486^2))/24)</f>
        <v>0.42837223598686514</v>
      </c>
    </row>
    <row r="488" spans="3:13" x14ac:dyDescent="0.3">
      <c r="C488" s="164">
        <v>11</v>
      </c>
      <c r="D488" s="141">
        <v>2.1004702015186387</v>
      </c>
      <c r="F488" t="s">
        <v>407</v>
      </c>
      <c r="G488" s="145">
        <f>CHIINV(0.95,2)</f>
        <v>0.10258658877510116</v>
      </c>
      <c r="I488">
        <v>11</v>
      </c>
      <c r="J488" s="114">
        <v>0.29350081651812365</v>
      </c>
      <c r="L488" t="s">
        <v>407</v>
      </c>
      <c r="M488" s="145">
        <f>CHIINV(0.95,2)</f>
        <v>0.10258658877510116</v>
      </c>
    </row>
    <row r="489" spans="3:13" x14ac:dyDescent="0.3">
      <c r="C489" s="164">
        <v>12</v>
      </c>
      <c r="D489" s="141">
        <v>1.9864551263541468</v>
      </c>
      <c r="F489" t="s">
        <v>408</v>
      </c>
      <c r="G489" s="162">
        <f ca="1">CHIDIST(G487,2)</f>
        <v>0.55937806746489316</v>
      </c>
      <c r="I489">
        <v>12</v>
      </c>
      <c r="J489" s="114">
        <v>0.14020441040918774</v>
      </c>
      <c r="L489" t="s">
        <v>408</v>
      </c>
      <c r="M489" s="114">
        <f ca="1">CHIDIST(M487,2)</f>
        <v>0.80719813694362919</v>
      </c>
    </row>
    <row r="490" spans="3:13" x14ac:dyDescent="0.3">
      <c r="C490" s="164">
        <v>13</v>
      </c>
      <c r="D490" s="141">
        <v>2.2180591591585999</v>
      </c>
      <c r="I490">
        <v>13</v>
      </c>
      <c r="J490" s="114">
        <v>0.2697018922304506</v>
      </c>
    </row>
    <row r="491" spans="3:13" x14ac:dyDescent="0.3">
      <c r="C491" s="164">
        <v>14</v>
      </c>
      <c r="D491" s="141">
        <v>3.5121116414838638</v>
      </c>
      <c r="I491">
        <v>14</v>
      </c>
      <c r="J491" s="114">
        <v>0.18668695952478065</v>
      </c>
    </row>
    <row r="492" spans="3:13" x14ac:dyDescent="0.3">
      <c r="C492" s="164">
        <v>15</v>
      </c>
      <c r="D492" s="141">
        <v>3.3209471989554111</v>
      </c>
      <c r="I492">
        <v>15</v>
      </c>
      <c r="J492" s="114">
        <v>0.29081057145223954</v>
      </c>
    </row>
    <row r="493" spans="3:13" x14ac:dyDescent="0.3">
      <c r="C493" s="164">
        <v>16</v>
      </c>
      <c r="D493" s="141">
        <v>2.7183761245026443</v>
      </c>
      <c r="I493">
        <v>16</v>
      </c>
      <c r="J493" s="114">
        <v>0.27956144068136268</v>
      </c>
    </row>
    <row r="494" spans="3:13" x14ac:dyDescent="0.3">
      <c r="C494" s="164">
        <v>17</v>
      </c>
      <c r="D494" s="141">
        <v>2.2405859501934993</v>
      </c>
      <c r="I494">
        <v>17</v>
      </c>
      <c r="J494" s="114">
        <v>0.37391956791398173</v>
      </c>
    </row>
    <row r="495" spans="3:13" x14ac:dyDescent="0.3">
      <c r="C495" s="164">
        <v>18</v>
      </c>
      <c r="D495" s="141">
        <v>2.1559998683434896</v>
      </c>
      <c r="I495">
        <v>18</v>
      </c>
      <c r="J495" s="114">
        <v>0.27123623069823943</v>
      </c>
    </row>
    <row r="496" spans="3:13" x14ac:dyDescent="0.3">
      <c r="C496" s="164">
        <v>19</v>
      </c>
      <c r="D496" s="141">
        <v>2.4359557312877804</v>
      </c>
      <c r="I496">
        <v>19</v>
      </c>
      <c r="J496" s="114">
        <v>0.33269140125704899</v>
      </c>
    </row>
    <row r="497" spans="3:10" x14ac:dyDescent="0.3">
      <c r="C497" s="164">
        <v>20</v>
      </c>
      <c r="D497" s="141">
        <v>2.2222433663443786</v>
      </c>
      <c r="I497">
        <v>20</v>
      </c>
      <c r="J497" s="114">
        <v>0.14849665938587697</v>
      </c>
    </row>
    <row r="498" spans="3:10" x14ac:dyDescent="0.3">
      <c r="C498" s="164">
        <v>21</v>
      </c>
      <c r="D498" s="141">
        <v>1.8308511019012568</v>
      </c>
      <c r="I498">
        <v>21</v>
      </c>
      <c r="J498" s="114">
        <v>0.22733061585464287</v>
      </c>
    </row>
    <row r="499" spans="3:10" x14ac:dyDescent="0.3">
      <c r="C499" s="164">
        <v>22</v>
      </c>
      <c r="D499" s="141">
        <v>2.073477143552374</v>
      </c>
      <c r="I499">
        <v>22</v>
      </c>
      <c r="J499" s="114">
        <v>0.20398485345319139</v>
      </c>
    </row>
    <row r="500" spans="3:10" x14ac:dyDescent="0.3">
      <c r="C500" s="164">
        <v>23</v>
      </c>
      <c r="D500" s="141">
        <v>2.0985926918254938</v>
      </c>
      <c r="I500">
        <v>23</v>
      </c>
      <c r="J500" s="114">
        <v>0.21438082183727913</v>
      </c>
    </row>
    <row r="501" spans="3:10" x14ac:dyDescent="0.3">
      <c r="C501" s="164">
        <v>24</v>
      </c>
      <c r="D501" s="141">
        <v>2.5000745651852623</v>
      </c>
      <c r="I501">
        <v>24</v>
      </c>
      <c r="J501" s="114">
        <v>0.19936598806359473</v>
      </c>
    </row>
    <row r="502" spans="3:10" x14ac:dyDescent="0.3">
      <c r="C502" s="164">
        <v>25</v>
      </c>
      <c r="D502" s="141">
        <v>2.6625281326951531</v>
      </c>
      <c r="I502">
        <v>25</v>
      </c>
      <c r="J502" s="114">
        <v>0.27598268953160532</v>
      </c>
    </row>
    <row r="503" spans="3:10" x14ac:dyDescent="0.3">
      <c r="C503" s="164">
        <v>26</v>
      </c>
      <c r="D503" s="141">
        <v>2.3546516878865424</v>
      </c>
      <c r="I503">
        <v>26</v>
      </c>
      <c r="J503" s="114">
        <v>0.24398447517579558</v>
      </c>
    </row>
    <row r="504" spans="3:10" x14ac:dyDescent="0.3">
      <c r="C504" s="164">
        <v>27</v>
      </c>
      <c r="D504" s="141">
        <v>2.2344798831501609</v>
      </c>
      <c r="I504">
        <v>27</v>
      </c>
      <c r="J504" s="114">
        <v>0.3484207600997451</v>
      </c>
    </row>
    <row r="505" spans="3:10" x14ac:dyDescent="0.3">
      <c r="C505" s="164">
        <v>28</v>
      </c>
      <c r="D505" s="141">
        <v>2.4585740571800416</v>
      </c>
      <c r="I505">
        <v>28</v>
      </c>
      <c r="J505" s="114">
        <v>0.19485939052712009</v>
      </c>
    </row>
    <row r="506" spans="3:10" x14ac:dyDescent="0.3">
      <c r="C506" s="164">
        <v>29</v>
      </c>
      <c r="D506" s="141">
        <v>1.68818942402882</v>
      </c>
      <c r="I506">
        <v>29</v>
      </c>
      <c r="J506" s="114">
        <v>0.28646113588913558</v>
      </c>
    </row>
    <row r="507" spans="3:10" x14ac:dyDescent="0.3">
      <c r="C507" s="164">
        <v>30</v>
      </c>
      <c r="D507" s="141">
        <v>1.9275113900598861</v>
      </c>
      <c r="I507">
        <v>30</v>
      </c>
      <c r="J507" s="114">
        <v>0.24963200191888424</v>
      </c>
    </row>
    <row r="508" spans="3:10" x14ac:dyDescent="0.3">
      <c r="C508" s="164">
        <v>31</v>
      </c>
      <c r="D508" s="141">
        <v>2.7506331359018987</v>
      </c>
      <c r="I508">
        <v>31</v>
      </c>
      <c r="J508" s="114">
        <v>0.22235638336097874</v>
      </c>
    </row>
    <row r="509" spans="3:10" x14ac:dyDescent="0.3">
      <c r="C509" s="164">
        <v>32</v>
      </c>
      <c r="D509" s="141">
        <v>1.7219916393775871</v>
      </c>
      <c r="I509">
        <v>32</v>
      </c>
      <c r="J509" s="114">
        <v>0.24707731201802363</v>
      </c>
    </row>
    <row r="510" spans="3:10" x14ac:dyDescent="0.3">
      <c r="C510" s="164">
        <v>33</v>
      </c>
      <c r="D510" s="141">
        <v>2.1951950484708758</v>
      </c>
      <c r="I510">
        <v>33</v>
      </c>
      <c r="J510" s="114">
        <v>0.26465891854959955</v>
      </c>
    </row>
    <row r="511" spans="3:10" x14ac:dyDescent="0.3">
      <c r="C511" s="164">
        <v>34</v>
      </c>
      <c r="D511" s="141">
        <v>2.4900729557506862</v>
      </c>
      <c r="I511">
        <v>34</v>
      </c>
      <c r="J511" s="114">
        <v>0.15591381422086958</v>
      </c>
    </row>
    <row r="512" spans="3:10" x14ac:dyDescent="0.3">
      <c r="C512" s="164">
        <v>35</v>
      </c>
      <c r="D512" s="141">
        <v>2.838513417372023</v>
      </c>
      <c r="I512">
        <v>35</v>
      </c>
      <c r="J512" s="114">
        <v>0.27355003615263684</v>
      </c>
    </row>
    <row r="513" spans="3:10" x14ac:dyDescent="0.3">
      <c r="C513" s="164">
        <v>36</v>
      </c>
      <c r="D513" s="141">
        <v>2.71274524935659</v>
      </c>
      <c r="I513">
        <v>36</v>
      </c>
      <c r="J513" s="114">
        <v>0.36585259733325159</v>
      </c>
    </row>
    <row r="514" spans="3:10" x14ac:dyDescent="0.3">
      <c r="C514" s="164">
        <v>37</v>
      </c>
      <c r="D514" s="141">
        <v>2.8718701921803276</v>
      </c>
      <c r="I514">
        <v>37</v>
      </c>
      <c r="J514" s="114">
        <v>0.22034282848557374</v>
      </c>
    </row>
    <row r="515" spans="3:10" x14ac:dyDescent="0.3">
      <c r="C515" s="164">
        <v>38</v>
      </c>
      <c r="D515" s="141">
        <v>2.7772846719206603</v>
      </c>
      <c r="I515">
        <v>38</v>
      </c>
      <c r="J515" s="114">
        <v>0.1254158465806301</v>
      </c>
    </row>
    <row r="516" spans="3:10" x14ac:dyDescent="0.3">
      <c r="C516" s="164">
        <v>39</v>
      </c>
      <c r="D516" s="141">
        <v>2.1464327907363092</v>
      </c>
      <c r="I516">
        <v>39</v>
      </c>
      <c r="J516" s="114">
        <v>0.19383870668998293</v>
      </c>
    </row>
    <row r="517" spans="3:10" x14ac:dyDescent="0.3">
      <c r="C517" s="164">
        <v>40</v>
      </c>
      <c r="D517" s="141">
        <v>2.6306285338334496</v>
      </c>
      <c r="I517">
        <v>40</v>
      </c>
      <c r="J517" s="114">
        <v>0.29083179839477968</v>
      </c>
    </row>
    <row r="518" spans="3:10" x14ac:dyDescent="0.3">
      <c r="C518" s="164">
        <v>41</v>
      </c>
      <c r="D518" s="141">
        <v>2.2518127225453299</v>
      </c>
      <c r="I518">
        <v>41</v>
      </c>
      <c r="J518" s="114">
        <v>0.20187673686623531</v>
      </c>
    </row>
    <row r="519" spans="3:10" x14ac:dyDescent="0.3">
      <c r="C519" s="164">
        <v>42</v>
      </c>
      <c r="D519" s="141">
        <v>3.3580479750736592</v>
      </c>
      <c r="I519">
        <v>42</v>
      </c>
      <c r="J519" s="114">
        <v>0.31225518561319876</v>
      </c>
    </row>
    <row r="520" spans="3:10" x14ac:dyDescent="0.3">
      <c r="C520" s="164">
        <v>43</v>
      </c>
      <c r="D520" s="141">
        <v>2.1040919344875171</v>
      </c>
      <c r="I520">
        <v>43</v>
      </c>
      <c r="J520" s="114">
        <v>0.11726778288793116</v>
      </c>
    </row>
    <row r="521" spans="3:10" x14ac:dyDescent="0.3">
      <c r="C521" s="164">
        <v>44</v>
      </c>
      <c r="D521" s="141">
        <v>3.5351123432226146</v>
      </c>
      <c r="I521">
        <v>44</v>
      </c>
      <c r="J521" s="114">
        <v>0.12100938218494006</v>
      </c>
    </row>
    <row r="522" spans="3:10" x14ac:dyDescent="0.3">
      <c r="C522" s="164">
        <v>45</v>
      </c>
      <c r="D522" s="141">
        <v>3.162622255964489</v>
      </c>
      <c r="I522">
        <v>45</v>
      </c>
      <c r="J522" s="114">
        <v>0.21753493187314321</v>
      </c>
    </row>
    <row r="523" spans="3:10" x14ac:dyDescent="0.3">
      <c r="C523" s="164">
        <v>46</v>
      </c>
      <c r="D523" s="141">
        <v>2.573470420523424</v>
      </c>
      <c r="I523">
        <v>46</v>
      </c>
      <c r="J523" s="114">
        <v>0.2291232134060206</v>
      </c>
    </row>
    <row r="524" spans="3:10" x14ac:dyDescent="0.3">
      <c r="C524" s="164">
        <v>47</v>
      </c>
      <c r="D524" s="141">
        <v>3.0935768229503804</v>
      </c>
      <c r="I524">
        <v>47</v>
      </c>
      <c r="J524" s="114">
        <v>0.33951127849470586</v>
      </c>
    </row>
    <row r="525" spans="3:10" x14ac:dyDescent="0.3">
      <c r="C525" s="164">
        <v>48</v>
      </c>
      <c r="D525" s="141">
        <v>2.0362938641271215</v>
      </c>
      <c r="I525">
        <v>48</v>
      </c>
      <c r="J525" s="114">
        <v>0.30355258996658741</v>
      </c>
    </row>
    <row r="526" spans="3:10" x14ac:dyDescent="0.3">
      <c r="C526" s="164">
        <v>49</v>
      </c>
      <c r="D526" s="141">
        <v>2.9617960960475931</v>
      </c>
      <c r="I526">
        <v>49</v>
      </c>
      <c r="J526" s="114">
        <v>0.1933427122468514</v>
      </c>
    </row>
    <row r="527" spans="3:10" x14ac:dyDescent="0.3">
      <c r="C527" s="164">
        <v>50</v>
      </c>
      <c r="D527" s="141">
        <v>1.9262833316447803</v>
      </c>
      <c r="I527">
        <v>50</v>
      </c>
      <c r="J527" s="114">
        <v>0.17166014637078786</v>
      </c>
    </row>
    <row r="528" spans="3:10" x14ac:dyDescent="0.3">
      <c r="C528" s="164">
        <v>51</v>
      </c>
      <c r="D528" s="141">
        <v>2.5728022665091848</v>
      </c>
      <c r="I528">
        <v>51</v>
      </c>
      <c r="J528" s="114">
        <v>0.23739460346271035</v>
      </c>
    </row>
    <row r="529" spans="3:10" x14ac:dyDescent="0.3">
      <c r="C529" s="164">
        <v>52</v>
      </c>
      <c r="D529" s="141">
        <v>3.1587529971928605</v>
      </c>
      <c r="I529">
        <v>52</v>
      </c>
      <c r="J529" s="114">
        <v>0.25618189298266536</v>
      </c>
    </row>
    <row r="530" spans="3:10" x14ac:dyDescent="0.3">
      <c r="C530" s="164">
        <v>53</v>
      </c>
      <c r="D530" s="141">
        <v>2.9565988695578813</v>
      </c>
      <c r="I530">
        <v>53</v>
      </c>
      <c r="J530" s="114">
        <v>0.37557690519245313</v>
      </c>
    </row>
    <row r="531" spans="3:10" x14ac:dyDescent="0.3">
      <c r="C531" s="164">
        <v>54</v>
      </c>
      <c r="D531" s="141">
        <v>2.5389475811086881</v>
      </c>
      <c r="I531">
        <v>54</v>
      </c>
      <c r="J531" s="114">
        <v>0.25674779158935523</v>
      </c>
    </row>
    <row r="532" spans="3:10" x14ac:dyDescent="0.3">
      <c r="C532" s="164">
        <v>55</v>
      </c>
      <c r="D532" s="141">
        <v>2.1450962430301148</v>
      </c>
      <c r="I532">
        <v>55</v>
      </c>
      <c r="J532" s="114">
        <v>0.23347524336930525</v>
      </c>
    </row>
    <row r="533" spans="3:10" x14ac:dyDescent="0.3">
      <c r="C533" s="164">
        <v>56</v>
      </c>
      <c r="D533" s="141">
        <v>2.2792061734418794</v>
      </c>
      <c r="I533">
        <v>56</v>
      </c>
      <c r="J533" s="114">
        <v>0.33542583485415678</v>
      </c>
    </row>
    <row r="534" spans="3:10" x14ac:dyDescent="0.3">
      <c r="C534" s="164">
        <v>57</v>
      </c>
      <c r="D534" s="141">
        <v>2.5806095582083177</v>
      </c>
      <c r="I534">
        <v>57</v>
      </c>
      <c r="J534" s="114">
        <v>0.28039284473318715</v>
      </c>
    </row>
    <row r="535" spans="3:10" x14ac:dyDescent="0.3">
      <c r="C535" s="164">
        <v>58</v>
      </c>
      <c r="D535" s="141">
        <v>2.7226897249046056</v>
      </c>
      <c r="I535">
        <v>58</v>
      </c>
      <c r="J535" s="114">
        <v>0.2186316874627614</v>
      </c>
    </row>
    <row r="536" spans="3:10" x14ac:dyDescent="0.3">
      <c r="C536" s="164">
        <v>59</v>
      </c>
      <c r="D536" s="141">
        <v>2.2303086506513723</v>
      </c>
      <c r="I536">
        <v>59</v>
      </c>
      <c r="J536" s="114">
        <v>0.23704294534500692</v>
      </c>
    </row>
    <row r="537" spans="3:10" x14ac:dyDescent="0.3">
      <c r="C537" s="164">
        <v>60</v>
      </c>
      <c r="D537" s="141">
        <v>2.5498674655457574</v>
      </c>
      <c r="I537">
        <v>60</v>
      </c>
      <c r="J537" s="114">
        <v>0.19219846129119489</v>
      </c>
    </row>
    <row r="538" spans="3:10" x14ac:dyDescent="0.3">
      <c r="C538" s="164">
        <v>61</v>
      </c>
      <c r="D538" s="141">
        <v>2.2728310397641094</v>
      </c>
      <c r="I538">
        <v>61</v>
      </c>
      <c r="J538" s="114">
        <v>0.18460642150625239</v>
      </c>
    </row>
    <row r="539" spans="3:10" x14ac:dyDescent="0.3">
      <c r="C539" s="164">
        <v>62</v>
      </c>
      <c r="D539" s="141">
        <v>3.1205707364953144</v>
      </c>
      <c r="I539">
        <v>62</v>
      </c>
      <c r="J539" s="114">
        <v>0.23604785077793822</v>
      </c>
    </row>
    <row r="540" spans="3:10" x14ac:dyDescent="0.3">
      <c r="C540" s="164">
        <v>63</v>
      </c>
      <c r="D540" s="141">
        <v>2.1848988530603153</v>
      </c>
      <c r="I540">
        <v>63</v>
      </c>
      <c r="J540" s="114">
        <v>0.35679423141332234</v>
      </c>
    </row>
    <row r="541" spans="3:10" x14ac:dyDescent="0.3">
      <c r="C541" s="164">
        <v>64</v>
      </c>
      <c r="D541" s="141">
        <v>2.6123912348217457</v>
      </c>
      <c r="I541">
        <v>64</v>
      </c>
      <c r="J541" s="114">
        <v>0.10848274110328049</v>
      </c>
    </row>
    <row r="542" spans="3:10" x14ac:dyDescent="0.3">
      <c r="C542" s="164">
        <v>65</v>
      </c>
      <c r="D542" s="141">
        <v>3.1851379769415269</v>
      </c>
      <c r="I542">
        <v>65</v>
      </c>
      <c r="J542" s="114">
        <v>0.18269184913145953</v>
      </c>
    </row>
    <row r="543" spans="3:10" x14ac:dyDescent="0.3">
      <c r="C543" s="164">
        <v>66</v>
      </c>
      <c r="D543" s="141">
        <v>2.4762603136530905</v>
      </c>
      <c r="I543">
        <v>66</v>
      </c>
      <c r="J543" s="114">
        <v>0.36484401340510519</v>
      </c>
    </row>
    <row r="544" spans="3:10" x14ac:dyDescent="0.3">
      <c r="C544" s="164">
        <v>67</v>
      </c>
      <c r="D544" s="141">
        <v>3.3425542566891351</v>
      </c>
      <c r="I544">
        <v>67</v>
      </c>
      <c r="J544" s="114">
        <v>0.18640644297198938</v>
      </c>
    </row>
    <row r="545" spans="3:10" x14ac:dyDescent="0.3">
      <c r="C545" s="164">
        <v>68</v>
      </c>
      <c r="D545" s="141">
        <v>2.9114307470179561</v>
      </c>
      <c r="I545">
        <v>68</v>
      </c>
      <c r="J545" s="114">
        <v>0.25947372891269715</v>
      </c>
    </row>
    <row r="546" spans="3:10" x14ac:dyDescent="0.3">
      <c r="C546" s="164">
        <v>69</v>
      </c>
      <c r="D546" s="141">
        <v>2.3424522583748653</v>
      </c>
      <c r="I546">
        <v>69</v>
      </c>
      <c r="J546" s="114">
        <v>0.22572988952165485</v>
      </c>
    </row>
    <row r="547" spans="3:10" x14ac:dyDescent="0.3">
      <c r="C547" s="164">
        <v>70</v>
      </c>
      <c r="D547" s="141">
        <v>2.1227148264078517</v>
      </c>
      <c r="I547">
        <v>70</v>
      </c>
      <c r="J547" s="114">
        <v>0.19126196119637262</v>
      </c>
    </row>
    <row r="548" spans="3:10" x14ac:dyDescent="0.3">
      <c r="C548" s="164">
        <v>71</v>
      </c>
      <c r="D548" s="141">
        <v>2.7013837270878005</v>
      </c>
      <c r="I548">
        <v>71</v>
      </c>
      <c r="J548" s="114">
        <v>0.11216210863505283</v>
      </c>
    </row>
    <row r="549" spans="3:10" x14ac:dyDescent="0.3">
      <c r="C549" s="164">
        <v>72</v>
      </c>
      <c r="D549" s="141">
        <v>1.8080013710115832</v>
      </c>
      <c r="I549">
        <v>72</v>
      </c>
      <c r="J549" s="114">
        <v>0.27280457555173188</v>
      </c>
    </row>
    <row r="550" spans="3:10" x14ac:dyDescent="0.3">
      <c r="C550" s="164">
        <v>73</v>
      </c>
      <c r="D550" s="141">
        <v>2.5107293995472841</v>
      </c>
      <c r="I550">
        <v>73</v>
      </c>
      <c r="J550" s="114">
        <v>0.22506847406494779</v>
      </c>
    </row>
    <row r="551" spans="3:10" x14ac:dyDescent="0.3">
      <c r="C551" s="164">
        <v>74</v>
      </c>
      <c r="D551" s="141">
        <v>2.5515757776162387</v>
      </c>
      <c r="I551">
        <v>74</v>
      </c>
      <c r="J551" s="114">
        <v>0.20668632304055246</v>
      </c>
    </row>
    <row r="552" spans="3:10" x14ac:dyDescent="0.3">
      <c r="C552" s="164">
        <v>75</v>
      </c>
      <c r="D552" s="141">
        <v>3.0056591884416206</v>
      </c>
      <c r="I552">
        <v>75</v>
      </c>
      <c r="J552" s="114">
        <v>0.36367114576956849</v>
      </c>
    </row>
    <row r="553" spans="3:10" x14ac:dyDescent="0.3">
      <c r="C553" s="164">
        <v>76</v>
      </c>
      <c r="D553" s="141">
        <v>2.6679634279071314</v>
      </c>
      <c r="I553">
        <v>76</v>
      </c>
      <c r="J553" s="114">
        <v>0.16935100693739535</v>
      </c>
    </row>
    <row r="554" spans="3:10" x14ac:dyDescent="0.3">
      <c r="C554" s="164">
        <v>77</v>
      </c>
      <c r="D554" s="141">
        <v>2.4247505442596813</v>
      </c>
      <c r="I554">
        <v>77</v>
      </c>
      <c r="J554" s="114">
        <v>0.2475557229857317</v>
      </c>
    </row>
    <row r="555" spans="3:10" x14ac:dyDescent="0.3">
      <c r="C555" s="164">
        <v>78</v>
      </c>
      <c r="D555" s="141">
        <v>2.7286454849584869</v>
      </c>
      <c r="I555">
        <v>78</v>
      </c>
      <c r="J555" s="114">
        <v>0.28916009386836916</v>
      </c>
    </row>
    <row r="556" spans="3:10" x14ac:dyDescent="0.3">
      <c r="C556" s="164">
        <v>79</v>
      </c>
      <c r="D556" s="141">
        <v>2.4625600534250842</v>
      </c>
      <c r="I556">
        <v>79</v>
      </c>
      <c r="J556" s="114">
        <v>0.19331095045622271</v>
      </c>
    </row>
    <row r="557" spans="3:10" x14ac:dyDescent="0.3">
      <c r="C557" s="164">
        <v>80</v>
      </c>
      <c r="D557" s="141">
        <v>2.1960823634927342</v>
      </c>
      <c r="I557">
        <v>80</v>
      </c>
      <c r="J557" s="114">
        <v>0.30337962553883235</v>
      </c>
    </row>
    <row r="558" spans="3:10" x14ac:dyDescent="0.3">
      <c r="C558" s="164">
        <v>81</v>
      </c>
      <c r="D558" s="141">
        <v>2.2712359637365784</v>
      </c>
      <c r="I558">
        <v>81</v>
      </c>
      <c r="J558" s="114">
        <v>0.12226505684239486</v>
      </c>
    </row>
    <row r="559" spans="3:10" x14ac:dyDescent="0.3">
      <c r="C559" s="164">
        <v>82</v>
      </c>
      <c r="D559" s="141">
        <v>3.0530959816791188</v>
      </c>
      <c r="I559">
        <v>82</v>
      </c>
      <c r="J559" s="114">
        <v>0.28482118803357226</v>
      </c>
    </row>
    <row r="560" spans="3:10" x14ac:dyDescent="0.3">
      <c r="C560" s="164">
        <v>83</v>
      </c>
      <c r="D560" s="141">
        <v>2.1268789029090458</v>
      </c>
      <c r="I560">
        <v>83</v>
      </c>
      <c r="J560" s="114">
        <v>0.19094037648390949</v>
      </c>
    </row>
    <row r="561" spans="3:10" x14ac:dyDescent="0.3">
      <c r="C561" s="164">
        <v>84</v>
      </c>
      <c r="D561" s="141">
        <v>2.3468869261225813</v>
      </c>
      <c r="I561">
        <v>84</v>
      </c>
      <c r="J561" s="114">
        <v>0.26327854773459336</v>
      </c>
    </row>
    <row r="562" spans="3:10" x14ac:dyDescent="0.3">
      <c r="C562" s="164">
        <v>85</v>
      </c>
      <c r="D562" s="141">
        <v>3.0587700295302764</v>
      </c>
      <c r="I562">
        <v>85</v>
      </c>
      <c r="J562" s="114">
        <v>0.17060727375829554</v>
      </c>
    </row>
    <row r="563" spans="3:10" x14ac:dyDescent="0.3">
      <c r="C563" s="164">
        <v>86</v>
      </c>
      <c r="D563" s="141">
        <v>3.0226520446087002</v>
      </c>
      <c r="I563">
        <v>86</v>
      </c>
      <c r="J563" s="114">
        <v>0.26308860350568208</v>
      </c>
    </row>
    <row r="564" spans="3:10" x14ac:dyDescent="0.3">
      <c r="C564" s="164">
        <v>87</v>
      </c>
      <c r="D564" s="141">
        <v>2.8918355109145026</v>
      </c>
      <c r="I564">
        <v>87</v>
      </c>
      <c r="J564" s="114">
        <v>0.20593835208907918</v>
      </c>
    </row>
    <row r="565" spans="3:10" x14ac:dyDescent="0.3">
      <c r="C565" s="164">
        <v>88</v>
      </c>
      <c r="D565" s="141">
        <v>2.6701040385192236</v>
      </c>
      <c r="I565">
        <v>88</v>
      </c>
      <c r="J565" s="114">
        <v>6.1430027517016983E-2</v>
      </c>
    </row>
    <row r="566" spans="3:10" x14ac:dyDescent="0.3">
      <c r="C566" s="164">
        <v>89</v>
      </c>
      <c r="D566" s="141">
        <v>2.7491538455734283</v>
      </c>
      <c r="I566">
        <v>89</v>
      </c>
      <c r="J566" s="114">
        <v>0.1447789351871851</v>
      </c>
    </row>
    <row r="567" spans="3:10" x14ac:dyDescent="0.3">
      <c r="C567" s="164">
        <v>90</v>
      </c>
      <c r="D567" s="141">
        <v>2.2697502959379343</v>
      </c>
      <c r="I567">
        <v>90</v>
      </c>
      <c r="J567" s="114">
        <v>0.24663476194038991</v>
      </c>
    </row>
    <row r="568" spans="3:10" x14ac:dyDescent="0.3">
      <c r="C568" s="164">
        <v>91</v>
      </c>
      <c r="D568" s="141">
        <v>2.2363292075082999</v>
      </c>
      <c r="I568">
        <v>91</v>
      </c>
      <c r="J568" s="114">
        <v>0.28594521637332071</v>
      </c>
    </row>
    <row r="569" spans="3:10" x14ac:dyDescent="0.3">
      <c r="C569" s="164">
        <v>92</v>
      </c>
      <c r="D569" s="141">
        <v>2.0385732055100432</v>
      </c>
      <c r="I569">
        <v>92</v>
      </c>
      <c r="J569" s="114">
        <v>0.32881171507577789</v>
      </c>
    </row>
    <row r="570" spans="3:10" x14ac:dyDescent="0.3">
      <c r="C570" s="164">
        <v>93</v>
      </c>
      <c r="D570" s="141">
        <v>2.0994391399857077</v>
      </c>
      <c r="I570">
        <v>93</v>
      </c>
      <c r="J570" s="114">
        <v>0.20946535409930989</v>
      </c>
    </row>
    <row r="571" spans="3:10" x14ac:dyDescent="0.3">
      <c r="C571" s="164">
        <v>94</v>
      </c>
      <c r="D571" s="141">
        <v>2.8771143271397213</v>
      </c>
      <c r="I571">
        <v>94</v>
      </c>
      <c r="J571" s="114">
        <v>0.240983131202269</v>
      </c>
    </row>
    <row r="572" spans="3:10" x14ac:dyDescent="0.3">
      <c r="C572" s="164">
        <v>95</v>
      </c>
      <c r="D572" s="141">
        <v>3.2014986236797056</v>
      </c>
      <c r="I572">
        <v>95</v>
      </c>
      <c r="J572" s="114">
        <v>0.26500322650980479</v>
      </c>
    </row>
    <row r="573" spans="3:10" x14ac:dyDescent="0.3">
      <c r="C573" s="164">
        <v>96</v>
      </c>
      <c r="D573" s="141">
        <v>3.4988870445937374</v>
      </c>
      <c r="I573">
        <v>96</v>
      </c>
      <c r="J573" s="114">
        <v>0.14426118826503376</v>
      </c>
    </row>
    <row r="574" spans="3:10" x14ac:dyDescent="0.3">
      <c r="C574" s="164">
        <v>97</v>
      </c>
      <c r="D574" s="141">
        <v>3.044022710172964</v>
      </c>
      <c r="I574">
        <v>97</v>
      </c>
      <c r="J574" s="114">
        <v>0.14662958817697991</v>
      </c>
    </row>
    <row r="575" spans="3:10" x14ac:dyDescent="0.3">
      <c r="C575" s="164">
        <v>98</v>
      </c>
      <c r="D575" s="141">
        <v>2.8872683317271006</v>
      </c>
      <c r="I575">
        <v>98</v>
      </c>
      <c r="J575" s="114">
        <v>0.22368705884570472</v>
      </c>
    </row>
    <row r="576" spans="3:10" x14ac:dyDescent="0.3">
      <c r="C576" s="164">
        <v>99</v>
      </c>
      <c r="D576" s="141">
        <v>2.7946103355793364</v>
      </c>
      <c r="I576">
        <v>99</v>
      </c>
      <c r="J576" s="114">
        <v>0.36683987466284851</v>
      </c>
    </row>
    <row r="577" spans="3:10" x14ac:dyDescent="0.3">
      <c r="C577" s="164">
        <v>100</v>
      </c>
      <c r="D577" s="141">
        <v>2.4011583260137179</v>
      </c>
      <c r="I577">
        <v>100</v>
      </c>
      <c r="J577" s="114">
        <v>0.26685287070957542</v>
      </c>
    </row>
    <row r="578" spans="3:10" x14ac:dyDescent="0.3">
      <c r="D578" s="141"/>
      <c r="J578" s="114"/>
    </row>
    <row r="579" spans="3:10" x14ac:dyDescent="0.3">
      <c r="D579" s="141"/>
      <c r="J579" s="114"/>
    </row>
    <row r="580" spans="3:10" x14ac:dyDescent="0.3">
      <c r="D580" s="141"/>
      <c r="J580" s="114"/>
    </row>
    <row r="581" spans="3:10" x14ac:dyDescent="0.3">
      <c r="D581" s="141"/>
      <c r="J581" s="114"/>
    </row>
    <row r="582" spans="3:10" x14ac:dyDescent="0.3">
      <c r="D582" s="141"/>
      <c r="J582" s="114"/>
    </row>
    <row r="583" spans="3:10" x14ac:dyDescent="0.3">
      <c r="D583" s="141"/>
      <c r="J583" s="114"/>
    </row>
    <row r="584" spans="3:10" x14ac:dyDescent="0.3">
      <c r="D584" s="141"/>
      <c r="J584" s="114"/>
    </row>
    <row r="585" spans="3:10" x14ac:dyDescent="0.3">
      <c r="D585" s="141"/>
      <c r="J585" s="114"/>
    </row>
    <row r="586" spans="3:10" x14ac:dyDescent="0.3">
      <c r="D586" s="141"/>
      <c r="J586" s="114"/>
    </row>
    <row r="587" spans="3:10" x14ac:dyDescent="0.3">
      <c r="D587" s="141"/>
      <c r="J587" s="114"/>
    </row>
    <row r="588" spans="3:10" x14ac:dyDescent="0.3">
      <c r="D588" s="141"/>
      <c r="J588" s="114"/>
    </row>
    <row r="589" spans="3:10" x14ac:dyDescent="0.3">
      <c r="D589" s="141"/>
      <c r="J589" s="114"/>
    </row>
    <row r="590" spans="3:10" x14ac:dyDescent="0.3">
      <c r="D590" s="141"/>
      <c r="J590" s="114"/>
    </row>
    <row r="591" spans="3:10" x14ac:dyDescent="0.3">
      <c r="D591" s="141"/>
      <c r="J591" s="114"/>
    </row>
    <row r="592" spans="3:10" x14ac:dyDescent="0.3">
      <c r="D592" s="141"/>
      <c r="J592" s="114"/>
    </row>
    <row r="593" spans="4:10" x14ac:dyDescent="0.3">
      <c r="D593" s="141"/>
      <c r="J593" s="114"/>
    </row>
    <row r="594" spans="4:10" x14ac:dyDescent="0.3">
      <c r="D594" s="141"/>
      <c r="J594" s="114"/>
    </row>
    <row r="595" spans="4:10" x14ac:dyDescent="0.3">
      <c r="D595" s="141"/>
      <c r="J595" s="114"/>
    </row>
    <row r="596" spans="4:10" x14ac:dyDescent="0.3">
      <c r="D596" s="141"/>
      <c r="J596" s="114"/>
    </row>
    <row r="597" spans="4:10" x14ac:dyDescent="0.3">
      <c r="D597" s="141"/>
      <c r="J597" s="114"/>
    </row>
    <row r="598" spans="4:10" x14ac:dyDescent="0.3">
      <c r="D598" s="141"/>
      <c r="J598" s="114"/>
    </row>
    <row r="599" spans="4:10" x14ac:dyDescent="0.3">
      <c r="D599" s="141"/>
      <c r="J599" s="114"/>
    </row>
    <row r="600" spans="4:10" x14ac:dyDescent="0.3">
      <c r="D600" s="141"/>
      <c r="J600" s="114"/>
    </row>
    <row r="601" spans="4:10" x14ac:dyDescent="0.3">
      <c r="D601" s="141"/>
      <c r="J601" s="114"/>
    </row>
    <row r="602" spans="4:10" x14ac:dyDescent="0.3">
      <c r="D602" s="141"/>
      <c r="J602" s="114"/>
    </row>
    <row r="603" spans="4:10" x14ac:dyDescent="0.3">
      <c r="D603" s="141"/>
      <c r="J603" s="114"/>
    </row>
    <row r="604" spans="4:10" x14ac:dyDescent="0.3">
      <c r="D604" s="141"/>
      <c r="J604" s="114"/>
    </row>
    <row r="605" spans="4:10" x14ac:dyDescent="0.3">
      <c r="D605" s="141"/>
      <c r="J605" s="114"/>
    </row>
    <row r="606" spans="4:10" x14ac:dyDescent="0.3">
      <c r="D606" s="141"/>
      <c r="J606" s="114"/>
    </row>
    <row r="607" spans="4:10" x14ac:dyDescent="0.3">
      <c r="D607" s="141"/>
      <c r="J607" s="114"/>
    </row>
    <row r="608" spans="4:10" x14ac:dyDescent="0.3">
      <c r="D608" s="141"/>
      <c r="J608" s="114"/>
    </row>
    <row r="609" spans="4:10" x14ac:dyDescent="0.3">
      <c r="D609" s="141"/>
      <c r="J609" s="114"/>
    </row>
    <row r="610" spans="4:10" x14ac:dyDescent="0.3">
      <c r="D610" s="141"/>
      <c r="J610" s="114"/>
    </row>
    <row r="611" spans="4:10" x14ac:dyDescent="0.3">
      <c r="D611" s="141"/>
      <c r="J611" s="114"/>
    </row>
    <row r="612" spans="4:10" x14ac:dyDescent="0.3">
      <c r="D612" s="141"/>
      <c r="J612" s="114"/>
    </row>
    <row r="613" spans="4:10" x14ac:dyDescent="0.3">
      <c r="D613" s="141"/>
      <c r="J613" s="114"/>
    </row>
    <row r="614" spans="4:10" x14ac:dyDescent="0.3">
      <c r="D614" s="141"/>
      <c r="J614" s="114"/>
    </row>
    <row r="615" spans="4:10" x14ac:dyDescent="0.3">
      <c r="D615" s="141"/>
      <c r="J615" s="114"/>
    </row>
    <row r="616" spans="4:10" x14ac:dyDescent="0.3">
      <c r="D616" s="141"/>
      <c r="J616" s="114"/>
    </row>
    <row r="617" spans="4:10" x14ac:dyDescent="0.3">
      <c r="D617" s="141"/>
      <c r="J617" s="114"/>
    </row>
    <row r="618" spans="4:10" x14ac:dyDescent="0.3">
      <c r="D618" s="141"/>
      <c r="J618" s="114"/>
    </row>
    <row r="619" spans="4:10" x14ac:dyDescent="0.3">
      <c r="D619" s="141"/>
      <c r="J619" s="114"/>
    </row>
    <row r="620" spans="4:10" x14ac:dyDescent="0.3">
      <c r="D620" s="141"/>
      <c r="J620" s="114"/>
    </row>
    <row r="621" spans="4:10" x14ac:dyDescent="0.3">
      <c r="D621" s="141"/>
      <c r="J621" s="114"/>
    </row>
    <row r="622" spans="4:10" x14ac:dyDescent="0.3">
      <c r="D622" s="141"/>
      <c r="J622" s="114"/>
    </row>
    <row r="623" spans="4:10" x14ac:dyDescent="0.3">
      <c r="D623" s="141"/>
      <c r="J623" s="114"/>
    </row>
    <row r="624" spans="4:10" x14ac:dyDescent="0.3">
      <c r="D624" s="141"/>
      <c r="J624" s="114"/>
    </row>
    <row r="625" spans="4:10" x14ac:dyDescent="0.3">
      <c r="D625" s="141"/>
      <c r="J625" s="114"/>
    </row>
    <row r="626" spans="4:10" x14ac:dyDescent="0.3">
      <c r="D626" s="141"/>
      <c r="J626" s="114"/>
    </row>
    <row r="627" spans="4:10" x14ac:dyDescent="0.3">
      <c r="D627" s="141"/>
      <c r="J627" s="114"/>
    </row>
    <row r="628" spans="4:10" x14ac:dyDescent="0.3">
      <c r="D628" s="141"/>
      <c r="J628" s="114"/>
    </row>
    <row r="629" spans="4:10" x14ac:dyDescent="0.3">
      <c r="D629" s="141"/>
      <c r="J629" s="114"/>
    </row>
    <row r="630" spans="4:10" x14ac:dyDescent="0.3">
      <c r="D630" s="141"/>
      <c r="J630" s="114"/>
    </row>
    <row r="631" spans="4:10" x14ac:dyDescent="0.3">
      <c r="D631" s="141"/>
      <c r="J631" s="114"/>
    </row>
    <row r="632" spans="4:10" x14ac:dyDescent="0.3">
      <c r="D632" s="141"/>
      <c r="J632" s="114"/>
    </row>
    <row r="633" spans="4:10" x14ac:dyDescent="0.3">
      <c r="D633" s="141"/>
      <c r="J633" s="114"/>
    </row>
    <row r="634" spans="4:10" x14ac:dyDescent="0.3">
      <c r="D634" s="141"/>
      <c r="J634" s="114"/>
    </row>
    <row r="635" spans="4:10" x14ac:dyDescent="0.3">
      <c r="D635" s="141"/>
      <c r="J635" s="114"/>
    </row>
    <row r="636" spans="4:10" x14ac:dyDescent="0.3">
      <c r="D636" s="141"/>
      <c r="J636" s="114"/>
    </row>
    <row r="637" spans="4:10" x14ac:dyDescent="0.3">
      <c r="D637" s="141"/>
      <c r="J637" s="114"/>
    </row>
    <row r="638" spans="4:10" x14ac:dyDescent="0.3">
      <c r="D638" s="141"/>
      <c r="J638" s="114"/>
    </row>
    <row r="639" spans="4:10" x14ac:dyDescent="0.3">
      <c r="D639" s="141"/>
      <c r="J639" s="114"/>
    </row>
    <row r="640" spans="4:10" x14ac:dyDescent="0.3">
      <c r="D640" s="141"/>
      <c r="J640" s="114"/>
    </row>
    <row r="641" spans="4:10" x14ac:dyDescent="0.3">
      <c r="D641" s="141"/>
      <c r="J641" s="114"/>
    </row>
    <row r="642" spans="4:10" x14ac:dyDescent="0.3">
      <c r="D642" s="141"/>
      <c r="J642" s="114"/>
    </row>
    <row r="643" spans="4:10" x14ac:dyDescent="0.3">
      <c r="D643" s="141"/>
      <c r="J643" s="114"/>
    </row>
    <row r="644" spans="4:10" x14ac:dyDescent="0.3">
      <c r="D644" s="141"/>
      <c r="J644" s="114"/>
    </row>
    <row r="645" spans="4:10" x14ac:dyDescent="0.3">
      <c r="D645" s="141"/>
      <c r="J645" s="114"/>
    </row>
    <row r="646" spans="4:10" x14ac:dyDescent="0.3">
      <c r="D646" s="141"/>
      <c r="J646" s="114"/>
    </row>
    <row r="647" spans="4:10" x14ac:dyDescent="0.3">
      <c r="D647" s="141"/>
      <c r="J647" s="114"/>
    </row>
    <row r="648" spans="4:10" x14ac:dyDescent="0.3">
      <c r="D648" s="141"/>
      <c r="J648" s="114"/>
    </row>
    <row r="649" spans="4:10" x14ac:dyDescent="0.3">
      <c r="D649" s="141"/>
      <c r="J649" s="114"/>
    </row>
    <row r="650" spans="4:10" x14ac:dyDescent="0.3">
      <c r="D650" s="141"/>
      <c r="J650" s="114"/>
    </row>
    <row r="651" spans="4:10" x14ac:dyDescent="0.3">
      <c r="D651" s="141"/>
      <c r="J651" s="114"/>
    </row>
    <row r="652" spans="4:10" x14ac:dyDescent="0.3">
      <c r="D652" s="141"/>
      <c r="J652" s="114"/>
    </row>
    <row r="653" spans="4:10" x14ac:dyDescent="0.3">
      <c r="D653" s="141"/>
      <c r="J653" s="114"/>
    </row>
    <row r="654" spans="4:10" x14ac:dyDescent="0.3">
      <c r="D654" s="141"/>
      <c r="J654" s="114"/>
    </row>
    <row r="655" spans="4:10" x14ac:dyDescent="0.3">
      <c r="D655" s="141"/>
      <c r="J655" s="114"/>
    </row>
    <row r="656" spans="4:10" x14ac:dyDescent="0.3">
      <c r="D656" s="141"/>
      <c r="J656" s="114"/>
    </row>
    <row r="657" spans="4:10" x14ac:dyDescent="0.3">
      <c r="D657" s="141"/>
      <c r="J657" s="114"/>
    </row>
    <row r="658" spans="4:10" x14ac:dyDescent="0.3">
      <c r="D658" s="141"/>
      <c r="J658" s="114"/>
    </row>
    <row r="659" spans="4:10" x14ac:dyDescent="0.3">
      <c r="D659" s="141"/>
      <c r="J659" s="114"/>
    </row>
    <row r="660" spans="4:10" x14ac:dyDescent="0.3">
      <c r="D660" s="141"/>
      <c r="J660" s="114"/>
    </row>
    <row r="661" spans="4:10" x14ac:dyDescent="0.3">
      <c r="D661" s="141"/>
      <c r="J661" s="114"/>
    </row>
    <row r="662" spans="4:10" x14ac:dyDescent="0.3">
      <c r="D662" s="141"/>
      <c r="J662" s="114"/>
    </row>
    <row r="663" spans="4:10" x14ac:dyDescent="0.3">
      <c r="D663" s="141"/>
      <c r="J663" s="114"/>
    </row>
    <row r="664" spans="4:10" x14ac:dyDescent="0.3">
      <c r="D664" s="141"/>
      <c r="J664" s="114"/>
    </row>
    <row r="665" spans="4:10" x14ac:dyDescent="0.3">
      <c r="D665" s="141"/>
      <c r="J665" s="114"/>
    </row>
    <row r="666" spans="4:10" x14ac:dyDescent="0.3">
      <c r="D666" s="141"/>
      <c r="J666" s="114"/>
    </row>
    <row r="667" spans="4:10" x14ac:dyDescent="0.3">
      <c r="D667" s="141"/>
      <c r="J667" s="114"/>
    </row>
    <row r="668" spans="4:10" x14ac:dyDescent="0.3">
      <c r="D668" s="141"/>
      <c r="J668" s="114"/>
    </row>
    <row r="669" spans="4:10" x14ac:dyDescent="0.3">
      <c r="D669" s="141"/>
      <c r="J669" s="114"/>
    </row>
    <row r="670" spans="4:10" x14ac:dyDescent="0.3">
      <c r="D670" s="141"/>
      <c r="J670" s="114"/>
    </row>
    <row r="671" spans="4:10" x14ac:dyDescent="0.3">
      <c r="D671" s="141"/>
      <c r="J671" s="114"/>
    </row>
    <row r="672" spans="4:10" x14ac:dyDescent="0.3">
      <c r="D672" s="141"/>
      <c r="J672" s="114"/>
    </row>
    <row r="673" spans="4:10" x14ac:dyDescent="0.3">
      <c r="D673" s="141"/>
      <c r="J673" s="114"/>
    </row>
    <row r="674" spans="4:10" x14ac:dyDescent="0.3">
      <c r="D674" s="141"/>
      <c r="J674" s="114"/>
    </row>
    <row r="675" spans="4:10" x14ac:dyDescent="0.3">
      <c r="D675" s="141"/>
      <c r="J675" s="114"/>
    </row>
    <row r="676" spans="4:10" x14ac:dyDescent="0.3">
      <c r="D676" s="141"/>
      <c r="J676" s="114"/>
    </row>
    <row r="677" spans="4:10" x14ac:dyDescent="0.3">
      <c r="D677" s="141"/>
      <c r="J677" s="114"/>
    </row>
    <row r="678" spans="4:10" x14ac:dyDescent="0.3">
      <c r="D678" s="141"/>
      <c r="J678" s="114"/>
    </row>
    <row r="679" spans="4:10" x14ac:dyDescent="0.3">
      <c r="D679" s="141"/>
      <c r="J679" s="114"/>
    </row>
    <row r="680" spans="4:10" x14ac:dyDescent="0.3">
      <c r="D680" s="141"/>
      <c r="J680" s="114"/>
    </row>
    <row r="681" spans="4:10" x14ac:dyDescent="0.3">
      <c r="D681" s="141"/>
      <c r="J681" s="114"/>
    </row>
    <row r="682" spans="4:10" x14ac:dyDescent="0.3">
      <c r="D682" s="141"/>
      <c r="J682" s="114"/>
    </row>
    <row r="683" spans="4:10" x14ac:dyDescent="0.3">
      <c r="D683" s="141"/>
      <c r="J683" s="114"/>
    </row>
    <row r="684" spans="4:10" x14ac:dyDescent="0.3">
      <c r="D684" s="141"/>
      <c r="J684" s="114"/>
    </row>
    <row r="685" spans="4:10" x14ac:dyDescent="0.3">
      <c r="D685" s="141"/>
      <c r="J685" s="114"/>
    </row>
    <row r="686" spans="4:10" x14ac:dyDescent="0.3">
      <c r="D686" s="141"/>
      <c r="J686" s="114"/>
    </row>
    <row r="687" spans="4:10" x14ac:dyDescent="0.3">
      <c r="D687" s="141"/>
      <c r="J687" s="114"/>
    </row>
    <row r="688" spans="4:10" x14ac:dyDescent="0.3">
      <c r="D688" s="141"/>
      <c r="J688" s="114"/>
    </row>
    <row r="689" spans="4:10" x14ac:dyDescent="0.3">
      <c r="D689" s="141"/>
      <c r="J689" s="114"/>
    </row>
    <row r="690" spans="4:10" x14ac:dyDescent="0.3">
      <c r="D690" s="141"/>
      <c r="J690" s="114"/>
    </row>
    <row r="691" spans="4:10" x14ac:dyDescent="0.3">
      <c r="D691" s="141"/>
      <c r="J691" s="114"/>
    </row>
    <row r="692" spans="4:10" x14ac:dyDescent="0.3">
      <c r="D692" s="141"/>
      <c r="J692" s="114"/>
    </row>
    <row r="693" spans="4:10" x14ac:dyDescent="0.3">
      <c r="D693" s="141"/>
      <c r="J693" s="114"/>
    </row>
    <row r="694" spans="4:10" x14ac:dyDescent="0.3">
      <c r="D694" s="141"/>
      <c r="J694" s="114"/>
    </row>
    <row r="695" spans="4:10" x14ac:dyDescent="0.3">
      <c r="D695" s="141"/>
      <c r="J695" s="114"/>
    </row>
    <row r="696" spans="4:10" x14ac:dyDescent="0.3">
      <c r="D696" s="141"/>
      <c r="J696" s="114"/>
    </row>
    <row r="697" spans="4:10" x14ac:dyDescent="0.3">
      <c r="D697" s="141"/>
      <c r="J697" s="114"/>
    </row>
    <row r="698" spans="4:10" x14ac:dyDescent="0.3">
      <c r="D698" s="141"/>
      <c r="J698" s="114"/>
    </row>
    <row r="699" spans="4:10" x14ac:dyDescent="0.3">
      <c r="D699" s="141"/>
      <c r="J699" s="114"/>
    </row>
    <row r="700" spans="4:10" x14ac:dyDescent="0.3">
      <c r="D700" s="141"/>
      <c r="J700" s="114"/>
    </row>
    <row r="701" spans="4:10" x14ac:dyDescent="0.3">
      <c r="D701" s="141"/>
      <c r="J701" s="114"/>
    </row>
    <row r="702" spans="4:10" x14ac:dyDescent="0.3">
      <c r="D702" s="141"/>
      <c r="J702" s="114"/>
    </row>
    <row r="703" spans="4:10" x14ac:dyDescent="0.3">
      <c r="D703" s="141"/>
      <c r="J703" s="114"/>
    </row>
    <row r="704" spans="4:10" x14ac:dyDescent="0.3">
      <c r="D704" s="141"/>
      <c r="J704" s="114"/>
    </row>
    <row r="705" spans="4:10" x14ac:dyDescent="0.3">
      <c r="D705" s="141"/>
      <c r="J705" s="114"/>
    </row>
    <row r="706" spans="4:10" x14ac:dyDescent="0.3">
      <c r="D706" s="141"/>
      <c r="J706" s="114"/>
    </row>
    <row r="707" spans="4:10" x14ac:dyDescent="0.3">
      <c r="D707" s="141"/>
      <c r="J707" s="114"/>
    </row>
    <row r="708" spans="4:10" x14ac:dyDescent="0.3">
      <c r="D708" s="141"/>
      <c r="J708" s="114"/>
    </row>
    <row r="709" spans="4:10" x14ac:dyDescent="0.3">
      <c r="D709" s="141"/>
      <c r="J709" s="114"/>
    </row>
    <row r="710" spans="4:10" x14ac:dyDescent="0.3">
      <c r="D710" s="141"/>
      <c r="J710" s="114"/>
    </row>
    <row r="711" spans="4:10" x14ac:dyDescent="0.3">
      <c r="D711" s="141"/>
      <c r="J711" s="114"/>
    </row>
    <row r="712" spans="4:10" x14ac:dyDescent="0.3">
      <c r="D712" s="141"/>
      <c r="J712" s="114"/>
    </row>
    <row r="713" spans="4:10" x14ac:dyDescent="0.3">
      <c r="D713" s="141"/>
      <c r="J713" s="114"/>
    </row>
    <row r="714" spans="4:10" x14ac:dyDescent="0.3">
      <c r="D714" s="141"/>
      <c r="J714" s="114"/>
    </row>
    <row r="715" spans="4:10" x14ac:dyDescent="0.3">
      <c r="D715" s="141"/>
      <c r="J715" s="114"/>
    </row>
    <row r="716" spans="4:10" x14ac:dyDescent="0.3">
      <c r="D716" s="141"/>
      <c r="J716" s="114"/>
    </row>
    <row r="717" spans="4:10" x14ac:dyDescent="0.3">
      <c r="D717" s="141"/>
      <c r="J717" s="114"/>
    </row>
    <row r="718" spans="4:10" x14ac:dyDescent="0.3">
      <c r="D718" s="141"/>
      <c r="J718" s="114"/>
    </row>
    <row r="719" spans="4:10" x14ac:dyDescent="0.3">
      <c r="D719" s="141"/>
      <c r="J719" s="114"/>
    </row>
    <row r="720" spans="4:10" x14ac:dyDescent="0.3">
      <c r="D720" s="141"/>
      <c r="J720" s="114"/>
    </row>
    <row r="721" spans="4:10" x14ac:dyDescent="0.3">
      <c r="D721" s="141"/>
      <c r="J721" s="114"/>
    </row>
    <row r="722" spans="4:10" x14ac:dyDescent="0.3">
      <c r="D722" s="141"/>
      <c r="J722" s="114"/>
    </row>
    <row r="723" spans="4:10" x14ac:dyDescent="0.3">
      <c r="D723" s="141"/>
      <c r="J723" s="114"/>
    </row>
    <row r="724" spans="4:10" x14ac:dyDescent="0.3">
      <c r="D724" s="141"/>
      <c r="J724" s="114"/>
    </row>
    <row r="725" spans="4:10" x14ac:dyDescent="0.3">
      <c r="D725" s="141"/>
      <c r="J725" s="114"/>
    </row>
    <row r="726" spans="4:10" x14ac:dyDescent="0.3">
      <c r="D726" s="141"/>
      <c r="J726" s="114"/>
    </row>
    <row r="727" spans="4:10" x14ac:dyDescent="0.3">
      <c r="D727" s="141"/>
      <c r="J727" s="114"/>
    </row>
    <row r="728" spans="4:10" x14ac:dyDescent="0.3">
      <c r="D728" s="141"/>
      <c r="J728" s="114"/>
    </row>
    <row r="729" spans="4:10" x14ac:dyDescent="0.3">
      <c r="D729" s="141"/>
      <c r="J729" s="114"/>
    </row>
    <row r="730" spans="4:10" x14ac:dyDescent="0.3">
      <c r="D730" s="141"/>
      <c r="J730" s="114"/>
    </row>
    <row r="731" spans="4:10" x14ac:dyDescent="0.3">
      <c r="D731" s="141"/>
      <c r="J731" s="114"/>
    </row>
    <row r="732" spans="4:10" x14ac:dyDescent="0.3">
      <c r="D732" s="141"/>
      <c r="J732" s="114"/>
    </row>
    <row r="733" spans="4:10" x14ac:dyDescent="0.3">
      <c r="D733" s="141"/>
      <c r="J733" s="114"/>
    </row>
    <row r="734" spans="4:10" x14ac:dyDescent="0.3">
      <c r="D734" s="141"/>
      <c r="J734" s="114"/>
    </row>
    <row r="735" spans="4:10" x14ac:dyDescent="0.3">
      <c r="D735" s="141"/>
      <c r="J735" s="114"/>
    </row>
    <row r="736" spans="4:10" x14ac:dyDescent="0.3">
      <c r="D736" s="141"/>
      <c r="J736" s="114"/>
    </row>
    <row r="737" spans="4:10" x14ac:dyDescent="0.3">
      <c r="D737" s="141"/>
      <c r="J737" s="114"/>
    </row>
    <row r="738" spans="4:10" x14ac:dyDescent="0.3">
      <c r="D738" s="141"/>
      <c r="J738" s="114"/>
    </row>
    <row r="739" spans="4:10" x14ac:dyDescent="0.3">
      <c r="D739" s="141"/>
      <c r="J739" s="114"/>
    </row>
    <row r="740" spans="4:10" x14ac:dyDescent="0.3">
      <c r="D740" s="141"/>
      <c r="J740" s="114"/>
    </row>
    <row r="741" spans="4:10" x14ac:dyDescent="0.3">
      <c r="D741" s="141"/>
      <c r="J741" s="114"/>
    </row>
    <row r="742" spans="4:10" x14ac:dyDescent="0.3">
      <c r="D742" s="141"/>
      <c r="J742" s="114"/>
    </row>
    <row r="743" spans="4:10" x14ac:dyDescent="0.3">
      <c r="D743" s="141"/>
      <c r="J743" s="114"/>
    </row>
    <row r="744" spans="4:10" x14ac:dyDescent="0.3">
      <c r="D744" s="141"/>
      <c r="J744" s="114"/>
    </row>
    <row r="745" spans="4:10" x14ac:dyDescent="0.3">
      <c r="D745" s="141"/>
      <c r="J745" s="114"/>
    </row>
    <row r="746" spans="4:10" x14ac:dyDescent="0.3">
      <c r="D746" s="141"/>
      <c r="J746" s="114"/>
    </row>
    <row r="747" spans="4:10" x14ac:dyDescent="0.3">
      <c r="D747" s="141"/>
      <c r="J747" s="114"/>
    </row>
    <row r="748" spans="4:10" x14ac:dyDescent="0.3">
      <c r="D748" s="141"/>
      <c r="J748" s="114"/>
    </row>
    <row r="749" spans="4:10" x14ac:dyDescent="0.3">
      <c r="D749" s="141"/>
      <c r="J749" s="114"/>
    </row>
    <row r="750" spans="4:10" x14ac:dyDescent="0.3">
      <c r="D750" s="141"/>
      <c r="J750" s="114"/>
    </row>
    <row r="751" spans="4:10" x14ac:dyDescent="0.3">
      <c r="D751" s="141"/>
      <c r="J751" s="114"/>
    </row>
    <row r="752" spans="4:10" x14ac:dyDescent="0.3">
      <c r="D752" s="141"/>
      <c r="J752" s="114"/>
    </row>
    <row r="753" spans="4:10" x14ac:dyDescent="0.3">
      <c r="D753" s="141"/>
      <c r="J753" s="114"/>
    </row>
    <row r="754" spans="4:10" x14ac:dyDescent="0.3">
      <c r="D754" s="141"/>
      <c r="J754" s="114"/>
    </row>
    <row r="755" spans="4:10" x14ac:dyDescent="0.3">
      <c r="D755" s="141"/>
      <c r="J755" s="114"/>
    </row>
    <row r="756" spans="4:10" x14ac:dyDescent="0.3">
      <c r="D756" s="141"/>
      <c r="J756" s="114"/>
    </row>
    <row r="757" spans="4:10" x14ac:dyDescent="0.3">
      <c r="D757" s="141"/>
      <c r="J757" s="114"/>
    </row>
    <row r="758" spans="4:10" x14ac:dyDescent="0.3">
      <c r="D758" s="141"/>
      <c r="J758" s="114"/>
    </row>
    <row r="759" spans="4:10" x14ac:dyDescent="0.3">
      <c r="D759" s="141"/>
      <c r="J759" s="114"/>
    </row>
    <row r="760" spans="4:10" x14ac:dyDescent="0.3">
      <c r="D760" s="141"/>
      <c r="J760" s="114"/>
    </row>
    <row r="761" spans="4:10" x14ac:dyDescent="0.3">
      <c r="D761" s="141"/>
      <c r="J761" s="114"/>
    </row>
    <row r="762" spans="4:10" x14ac:dyDescent="0.3">
      <c r="D762" s="141"/>
      <c r="J762" s="114"/>
    </row>
    <row r="763" spans="4:10" x14ac:dyDescent="0.3">
      <c r="D763" s="141"/>
      <c r="J763" s="114"/>
    </row>
    <row r="764" spans="4:10" x14ac:dyDescent="0.3">
      <c r="D764" s="141"/>
      <c r="J764" s="114"/>
    </row>
    <row r="765" spans="4:10" x14ac:dyDescent="0.3">
      <c r="D765" s="141"/>
      <c r="J765" s="114"/>
    </row>
    <row r="766" spans="4:10" x14ac:dyDescent="0.3">
      <c r="D766" s="141"/>
      <c r="J766" s="114"/>
    </row>
    <row r="767" spans="4:10" x14ac:dyDescent="0.3">
      <c r="D767" s="141"/>
      <c r="J767" s="114"/>
    </row>
    <row r="768" spans="4:10" x14ac:dyDescent="0.3">
      <c r="D768" s="141"/>
      <c r="J768" s="114"/>
    </row>
    <row r="769" spans="4:10" x14ac:dyDescent="0.3">
      <c r="D769" s="141"/>
      <c r="J769" s="114"/>
    </row>
    <row r="770" spans="4:10" x14ac:dyDescent="0.3">
      <c r="D770" s="141"/>
      <c r="J770" s="114"/>
    </row>
    <row r="771" spans="4:10" x14ac:dyDescent="0.3">
      <c r="D771" s="141"/>
      <c r="J771" s="114"/>
    </row>
    <row r="772" spans="4:10" x14ac:dyDescent="0.3">
      <c r="D772" s="141"/>
      <c r="J772" s="114"/>
    </row>
    <row r="773" spans="4:10" x14ac:dyDescent="0.3">
      <c r="D773" s="141"/>
      <c r="J773" s="114"/>
    </row>
    <row r="774" spans="4:10" x14ac:dyDescent="0.3">
      <c r="D774" s="141"/>
      <c r="J774" s="114"/>
    </row>
    <row r="775" spans="4:10" x14ac:dyDescent="0.3">
      <c r="D775" s="141"/>
      <c r="J775" s="114"/>
    </row>
    <row r="776" spans="4:10" x14ac:dyDescent="0.3">
      <c r="D776" s="141"/>
      <c r="J776" s="114"/>
    </row>
    <row r="777" spans="4:10" x14ac:dyDescent="0.3">
      <c r="D777" s="141"/>
      <c r="J777" s="114"/>
    </row>
    <row r="778" spans="4:10" x14ac:dyDescent="0.3">
      <c r="D778" s="141"/>
      <c r="J778" s="114"/>
    </row>
    <row r="779" spans="4:10" x14ac:dyDescent="0.3">
      <c r="D779" s="141"/>
      <c r="J779" s="114"/>
    </row>
    <row r="780" spans="4:10" x14ac:dyDescent="0.3">
      <c r="D780" s="141"/>
      <c r="J780" s="114"/>
    </row>
    <row r="781" spans="4:10" x14ac:dyDescent="0.3">
      <c r="D781" s="141"/>
      <c r="J781" s="114"/>
    </row>
    <row r="782" spans="4:10" x14ac:dyDescent="0.3">
      <c r="D782" s="141"/>
      <c r="J782" s="114"/>
    </row>
    <row r="783" spans="4:10" x14ac:dyDescent="0.3">
      <c r="D783" s="141"/>
      <c r="J783" s="114"/>
    </row>
    <row r="784" spans="4:10" x14ac:dyDescent="0.3">
      <c r="D784" s="141"/>
      <c r="J784" s="114"/>
    </row>
    <row r="785" spans="4:10" x14ac:dyDescent="0.3">
      <c r="D785" s="141"/>
      <c r="J785" s="114"/>
    </row>
    <row r="786" spans="4:10" x14ac:dyDescent="0.3">
      <c r="D786" s="141"/>
      <c r="J786" s="114"/>
    </row>
    <row r="787" spans="4:10" x14ac:dyDescent="0.3">
      <c r="D787" s="141"/>
      <c r="J787" s="114"/>
    </row>
    <row r="788" spans="4:10" x14ac:dyDescent="0.3">
      <c r="D788" s="141"/>
      <c r="J788" s="114"/>
    </row>
    <row r="789" spans="4:10" x14ac:dyDescent="0.3">
      <c r="D789" s="141"/>
      <c r="J789" s="114"/>
    </row>
    <row r="790" spans="4:10" x14ac:dyDescent="0.3">
      <c r="D790" s="141"/>
      <c r="J790" s="114"/>
    </row>
    <row r="791" spans="4:10" x14ac:dyDescent="0.3">
      <c r="D791" s="141"/>
      <c r="J791" s="114"/>
    </row>
    <row r="792" spans="4:10" x14ac:dyDescent="0.3">
      <c r="D792" s="141"/>
      <c r="J792" s="114"/>
    </row>
    <row r="793" spans="4:10" x14ac:dyDescent="0.3">
      <c r="D793" s="141"/>
      <c r="J793" s="114"/>
    </row>
    <row r="794" spans="4:10" x14ac:dyDescent="0.3">
      <c r="D794" s="141"/>
      <c r="J794" s="114"/>
    </row>
    <row r="795" spans="4:10" x14ac:dyDescent="0.3">
      <c r="D795" s="141"/>
      <c r="J795" s="114"/>
    </row>
    <row r="796" spans="4:10" x14ac:dyDescent="0.3">
      <c r="D796" s="141"/>
      <c r="J796" s="114"/>
    </row>
    <row r="797" spans="4:10" x14ac:dyDescent="0.3">
      <c r="D797" s="141"/>
      <c r="J797" s="114"/>
    </row>
    <row r="798" spans="4:10" x14ac:dyDescent="0.3">
      <c r="D798" s="141"/>
      <c r="J798" s="114"/>
    </row>
    <row r="799" spans="4:10" x14ac:dyDescent="0.3">
      <c r="D799" s="141"/>
      <c r="J799" s="114"/>
    </row>
    <row r="800" spans="4:10" x14ac:dyDescent="0.3">
      <c r="D800" s="141"/>
      <c r="J800" s="114"/>
    </row>
    <row r="801" spans="4:10" x14ac:dyDescent="0.3">
      <c r="D801" s="141"/>
      <c r="J801" s="114"/>
    </row>
    <row r="802" spans="4:10" x14ac:dyDescent="0.3">
      <c r="D802" s="141"/>
      <c r="J802" s="114"/>
    </row>
    <row r="803" spans="4:10" x14ac:dyDescent="0.3">
      <c r="D803" s="141"/>
      <c r="J803" s="114"/>
    </row>
    <row r="804" spans="4:10" x14ac:dyDescent="0.3">
      <c r="D804" s="141"/>
      <c r="J804" s="114"/>
    </row>
    <row r="805" spans="4:10" x14ac:dyDescent="0.3">
      <c r="D805" s="141"/>
      <c r="J805" s="114"/>
    </row>
    <row r="806" spans="4:10" x14ac:dyDescent="0.3">
      <c r="D806" s="141"/>
      <c r="J806" s="114"/>
    </row>
    <row r="807" spans="4:10" x14ac:dyDescent="0.3">
      <c r="D807" s="141"/>
      <c r="J807" s="114"/>
    </row>
    <row r="808" spans="4:10" x14ac:dyDescent="0.3">
      <c r="D808" s="141"/>
      <c r="J808" s="114"/>
    </row>
    <row r="809" spans="4:10" x14ac:dyDescent="0.3">
      <c r="D809" s="141"/>
      <c r="J809" s="114"/>
    </row>
    <row r="810" spans="4:10" x14ac:dyDescent="0.3">
      <c r="D810" s="141"/>
      <c r="J810" s="114"/>
    </row>
    <row r="811" spans="4:10" x14ac:dyDescent="0.3">
      <c r="D811" s="141"/>
      <c r="J811" s="114"/>
    </row>
    <row r="812" spans="4:10" x14ac:dyDescent="0.3">
      <c r="D812" s="141"/>
      <c r="J812" s="114"/>
    </row>
    <row r="813" spans="4:10" x14ac:dyDescent="0.3">
      <c r="D813" s="141"/>
      <c r="J813" s="114"/>
    </row>
    <row r="814" spans="4:10" x14ac:dyDescent="0.3">
      <c r="D814" s="141"/>
      <c r="J814" s="114"/>
    </row>
    <row r="815" spans="4:10" x14ac:dyDescent="0.3">
      <c r="D815" s="141"/>
      <c r="J815" s="114"/>
    </row>
    <row r="816" spans="4:10" x14ac:dyDescent="0.3">
      <c r="D816" s="141"/>
      <c r="J816" s="114"/>
    </row>
    <row r="817" spans="4:10" x14ac:dyDescent="0.3">
      <c r="D817" s="141"/>
      <c r="J817" s="114"/>
    </row>
    <row r="818" spans="4:10" x14ac:dyDescent="0.3">
      <c r="D818" s="141"/>
      <c r="J818" s="114"/>
    </row>
    <row r="819" spans="4:10" x14ac:dyDescent="0.3">
      <c r="D819" s="141"/>
      <c r="J819" s="114"/>
    </row>
    <row r="820" spans="4:10" x14ac:dyDescent="0.3">
      <c r="D820" s="141"/>
      <c r="J820" s="114"/>
    </row>
    <row r="821" spans="4:10" x14ac:dyDescent="0.3">
      <c r="D821" s="141"/>
      <c r="J821" s="114"/>
    </row>
    <row r="822" spans="4:10" x14ac:dyDescent="0.3">
      <c r="D822" s="141"/>
      <c r="J822" s="114"/>
    </row>
    <row r="823" spans="4:10" x14ac:dyDescent="0.3">
      <c r="D823" s="141"/>
      <c r="J823" s="114"/>
    </row>
    <row r="824" spans="4:10" x14ac:dyDescent="0.3">
      <c r="D824" s="141"/>
      <c r="J824" s="114"/>
    </row>
    <row r="825" spans="4:10" x14ac:dyDescent="0.3">
      <c r="D825" s="141"/>
      <c r="J825" s="114"/>
    </row>
    <row r="826" spans="4:10" x14ac:dyDescent="0.3">
      <c r="D826" s="141"/>
      <c r="J826" s="114"/>
    </row>
    <row r="827" spans="4:10" x14ac:dyDescent="0.3">
      <c r="D827" s="141"/>
      <c r="J827" s="114"/>
    </row>
    <row r="828" spans="4:10" x14ac:dyDescent="0.3">
      <c r="D828" s="141"/>
      <c r="J828" s="114"/>
    </row>
    <row r="829" spans="4:10" x14ac:dyDescent="0.3">
      <c r="D829" s="141"/>
      <c r="J829" s="114"/>
    </row>
    <row r="830" spans="4:10" x14ac:dyDescent="0.3">
      <c r="D830" s="141"/>
      <c r="J830" s="114"/>
    </row>
    <row r="831" spans="4:10" x14ac:dyDescent="0.3">
      <c r="D831" s="141"/>
      <c r="J831" s="114"/>
    </row>
    <row r="832" spans="4:10" x14ac:dyDescent="0.3">
      <c r="D832" s="141"/>
      <c r="J832" s="114"/>
    </row>
    <row r="833" spans="4:10" x14ac:dyDescent="0.3">
      <c r="D833" s="141"/>
      <c r="J833" s="114"/>
    </row>
    <row r="834" spans="4:10" x14ac:dyDescent="0.3">
      <c r="D834" s="141"/>
      <c r="J834" s="114"/>
    </row>
    <row r="835" spans="4:10" x14ac:dyDescent="0.3">
      <c r="D835" s="141"/>
      <c r="J835" s="114"/>
    </row>
    <row r="836" spans="4:10" x14ac:dyDescent="0.3">
      <c r="D836" s="141"/>
      <c r="J836" s="114"/>
    </row>
    <row r="837" spans="4:10" x14ac:dyDescent="0.3">
      <c r="D837" s="141"/>
      <c r="J837" s="114"/>
    </row>
    <row r="838" spans="4:10" x14ac:dyDescent="0.3">
      <c r="D838" s="141"/>
      <c r="J838" s="114"/>
    </row>
    <row r="839" spans="4:10" x14ac:dyDescent="0.3">
      <c r="D839" s="141"/>
      <c r="J839" s="114"/>
    </row>
    <row r="840" spans="4:10" x14ac:dyDescent="0.3">
      <c r="D840" s="141"/>
      <c r="J840" s="114"/>
    </row>
    <row r="841" spans="4:10" x14ac:dyDescent="0.3">
      <c r="D841" s="141"/>
      <c r="J841" s="114"/>
    </row>
    <row r="842" spans="4:10" x14ac:dyDescent="0.3">
      <c r="D842" s="141"/>
      <c r="J842" s="114"/>
    </row>
    <row r="843" spans="4:10" x14ac:dyDescent="0.3">
      <c r="D843" s="141"/>
      <c r="J843" s="114"/>
    </row>
    <row r="844" spans="4:10" x14ac:dyDescent="0.3">
      <c r="D844" s="141"/>
      <c r="J844" s="114"/>
    </row>
    <row r="845" spans="4:10" x14ac:dyDescent="0.3">
      <c r="D845" s="141"/>
      <c r="J845" s="114"/>
    </row>
    <row r="846" spans="4:10" x14ac:dyDescent="0.3">
      <c r="D846" s="141"/>
      <c r="J846" s="114"/>
    </row>
    <row r="847" spans="4:10" x14ac:dyDescent="0.3">
      <c r="D847" s="141"/>
      <c r="J847" s="114"/>
    </row>
    <row r="848" spans="4:10" x14ac:dyDescent="0.3">
      <c r="D848" s="141"/>
      <c r="J848" s="114"/>
    </row>
    <row r="849" spans="4:10" x14ac:dyDescent="0.3">
      <c r="D849" s="141"/>
      <c r="J849" s="114"/>
    </row>
    <row r="850" spans="4:10" x14ac:dyDescent="0.3">
      <c r="D850" s="141"/>
      <c r="J850" s="114"/>
    </row>
    <row r="851" spans="4:10" x14ac:dyDescent="0.3">
      <c r="D851" s="141"/>
      <c r="J851" s="114"/>
    </row>
    <row r="852" spans="4:10" x14ac:dyDescent="0.3">
      <c r="D852" s="141"/>
      <c r="J852" s="114"/>
    </row>
    <row r="853" spans="4:10" x14ac:dyDescent="0.3">
      <c r="D853" s="141"/>
      <c r="J853" s="114"/>
    </row>
    <row r="854" spans="4:10" x14ac:dyDescent="0.3">
      <c r="D854" s="141"/>
      <c r="J854" s="114"/>
    </row>
    <row r="855" spans="4:10" x14ac:dyDescent="0.3">
      <c r="D855" s="141"/>
      <c r="J855" s="114"/>
    </row>
    <row r="856" spans="4:10" x14ac:dyDescent="0.3">
      <c r="D856" s="141"/>
      <c r="J856" s="114"/>
    </row>
    <row r="857" spans="4:10" x14ac:dyDescent="0.3">
      <c r="D857" s="141"/>
      <c r="J857" s="114"/>
    </row>
    <row r="858" spans="4:10" x14ac:dyDescent="0.3">
      <c r="D858" s="141"/>
      <c r="J858" s="114"/>
    </row>
    <row r="859" spans="4:10" x14ac:dyDescent="0.3">
      <c r="D859" s="141"/>
      <c r="J859" s="114"/>
    </row>
    <row r="860" spans="4:10" x14ac:dyDescent="0.3">
      <c r="D860" s="141"/>
      <c r="J860" s="114"/>
    </row>
    <row r="861" spans="4:10" x14ac:dyDescent="0.3">
      <c r="D861" s="141"/>
      <c r="J861" s="114"/>
    </row>
    <row r="862" spans="4:10" x14ac:dyDescent="0.3">
      <c r="D862" s="141"/>
      <c r="J862" s="114"/>
    </row>
    <row r="863" spans="4:10" x14ac:dyDescent="0.3">
      <c r="D863" s="141"/>
      <c r="J863" s="114"/>
    </row>
    <row r="864" spans="4:10" x14ac:dyDescent="0.3">
      <c r="D864" s="141"/>
      <c r="J864" s="114"/>
    </row>
    <row r="865" spans="4:10" x14ac:dyDescent="0.3">
      <c r="D865" s="141"/>
      <c r="J865" s="114"/>
    </row>
    <row r="866" spans="4:10" x14ac:dyDescent="0.3">
      <c r="D866" s="141"/>
      <c r="J866" s="114"/>
    </row>
    <row r="867" spans="4:10" x14ac:dyDescent="0.3">
      <c r="D867" s="141"/>
      <c r="J867" s="114"/>
    </row>
    <row r="868" spans="4:10" x14ac:dyDescent="0.3">
      <c r="D868" s="141"/>
      <c r="J868" s="114"/>
    </row>
    <row r="869" spans="4:10" x14ac:dyDescent="0.3">
      <c r="D869" s="141"/>
      <c r="J869" s="114"/>
    </row>
    <row r="870" spans="4:10" x14ac:dyDescent="0.3">
      <c r="D870" s="141"/>
      <c r="J870" s="114"/>
    </row>
    <row r="871" spans="4:10" x14ac:dyDescent="0.3">
      <c r="D871" s="141"/>
      <c r="J871" s="114"/>
    </row>
    <row r="872" spans="4:10" x14ac:dyDescent="0.3">
      <c r="D872" s="141"/>
      <c r="J872" s="114"/>
    </row>
    <row r="873" spans="4:10" x14ac:dyDescent="0.3">
      <c r="D873" s="141"/>
      <c r="J873" s="114"/>
    </row>
    <row r="874" spans="4:10" x14ac:dyDescent="0.3">
      <c r="D874" s="141"/>
      <c r="J874" s="114"/>
    </row>
    <row r="875" spans="4:10" x14ac:dyDescent="0.3">
      <c r="D875" s="141"/>
      <c r="J875" s="114"/>
    </row>
    <row r="876" spans="4:10" x14ac:dyDescent="0.3">
      <c r="D876" s="141"/>
      <c r="J876" s="114"/>
    </row>
    <row r="877" spans="4:10" x14ac:dyDescent="0.3">
      <c r="D877" s="141"/>
      <c r="J877" s="114"/>
    </row>
    <row r="878" spans="4:10" x14ac:dyDescent="0.3">
      <c r="D878" s="141"/>
      <c r="J878" s="114"/>
    </row>
    <row r="879" spans="4:10" x14ac:dyDescent="0.3">
      <c r="D879" s="141"/>
      <c r="J879" s="114"/>
    </row>
    <row r="880" spans="4:10" x14ac:dyDescent="0.3">
      <c r="D880" s="141"/>
      <c r="J880" s="114"/>
    </row>
    <row r="881" spans="4:10" x14ac:dyDescent="0.3">
      <c r="D881" s="141"/>
      <c r="J881" s="114"/>
    </row>
    <row r="882" spans="4:10" x14ac:dyDescent="0.3">
      <c r="D882" s="141"/>
      <c r="J882" s="114"/>
    </row>
    <row r="883" spans="4:10" x14ac:dyDescent="0.3">
      <c r="D883" s="141"/>
      <c r="J883" s="114"/>
    </row>
    <row r="884" spans="4:10" x14ac:dyDescent="0.3">
      <c r="D884" s="141"/>
      <c r="J884" s="114"/>
    </row>
    <row r="885" spans="4:10" x14ac:dyDescent="0.3">
      <c r="D885" s="141"/>
      <c r="J885" s="114"/>
    </row>
    <row r="886" spans="4:10" x14ac:dyDescent="0.3">
      <c r="D886" s="141"/>
      <c r="J886" s="114"/>
    </row>
    <row r="887" spans="4:10" x14ac:dyDescent="0.3">
      <c r="D887" s="141"/>
      <c r="J887" s="114"/>
    </row>
    <row r="888" spans="4:10" x14ac:dyDescent="0.3">
      <c r="D888" s="141"/>
      <c r="J888" s="114"/>
    </row>
    <row r="889" spans="4:10" x14ac:dyDescent="0.3">
      <c r="D889" s="141"/>
      <c r="J889" s="114"/>
    </row>
    <row r="890" spans="4:10" x14ac:dyDescent="0.3">
      <c r="D890" s="141"/>
      <c r="J890" s="114"/>
    </row>
    <row r="891" spans="4:10" x14ac:dyDescent="0.3">
      <c r="D891" s="141"/>
      <c r="J891" s="114"/>
    </row>
    <row r="892" spans="4:10" x14ac:dyDescent="0.3">
      <c r="D892" s="141"/>
      <c r="J892" s="114"/>
    </row>
    <row r="893" spans="4:10" x14ac:dyDescent="0.3">
      <c r="D893" s="141"/>
      <c r="J893" s="114"/>
    </row>
    <row r="894" spans="4:10" x14ac:dyDescent="0.3">
      <c r="D894" s="141"/>
      <c r="J894" s="114"/>
    </row>
    <row r="895" spans="4:10" x14ac:dyDescent="0.3">
      <c r="D895" s="141"/>
      <c r="J895" s="114"/>
    </row>
    <row r="896" spans="4:10" x14ac:dyDescent="0.3">
      <c r="D896" s="141"/>
      <c r="J896" s="114"/>
    </row>
    <row r="897" spans="4:10" x14ac:dyDescent="0.3">
      <c r="D897" s="141"/>
      <c r="J897" s="114"/>
    </row>
    <row r="898" spans="4:10" x14ac:dyDescent="0.3">
      <c r="D898" s="141"/>
      <c r="J898" s="114"/>
    </row>
    <row r="899" spans="4:10" x14ac:dyDescent="0.3">
      <c r="D899" s="141"/>
      <c r="J899" s="114"/>
    </row>
    <row r="900" spans="4:10" x14ac:dyDescent="0.3">
      <c r="D900" s="141"/>
      <c r="J900" s="114"/>
    </row>
    <row r="901" spans="4:10" x14ac:dyDescent="0.3">
      <c r="D901" s="141"/>
      <c r="J901" s="114"/>
    </row>
    <row r="902" spans="4:10" x14ac:dyDescent="0.3">
      <c r="D902" s="141"/>
      <c r="J902" s="114"/>
    </row>
    <row r="903" spans="4:10" x14ac:dyDescent="0.3">
      <c r="D903" s="141"/>
      <c r="J903" s="114"/>
    </row>
    <row r="904" spans="4:10" x14ac:dyDescent="0.3">
      <c r="D904" s="141"/>
      <c r="J904" s="114"/>
    </row>
    <row r="905" spans="4:10" x14ac:dyDescent="0.3">
      <c r="D905" s="141"/>
      <c r="J905" s="114"/>
    </row>
    <row r="906" spans="4:10" x14ac:dyDescent="0.3">
      <c r="D906" s="141"/>
      <c r="J906" s="114"/>
    </row>
    <row r="907" spans="4:10" x14ac:dyDescent="0.3">
      <c r="D907" s="141"/>
      <c r="J907" s="114"/>
    </row>
    <row r="908" spans="4:10" x14ac:dyDescent="0.3">
      <c r="D908" s="141"/>
      <c r="J908" s="114"/>
    </row>
    <row r="909" spans="4:10" x14ac:dyDescent="0.3">
      <c r="D909" s="141"/>
      <c r="J909" s="114"/>
    </row>
    <row r="910" spans="4:10" x14ac:dyDescent="0.3">
      <c r="D910" s="141"/>
      <c r="J910" s="114"/>
    </row>
    <row r="911" spans="4:10" x14ac:dyDescent="0.3">
      <c r="D911" s="141"/>
      <c r="J911" s="114"/>
    </row>
    <row r="912" spans="4:10" x14ac:dyDescent="0.3">
      <c r="D912" s="141"/>
      <c r="J912" s="114"/>
    </row>
    <row r="913" spans="4:10" x14ac:dyDescent="0.3">
      <c r="D913" s="141"/>
      <c r="J913" s="114"/>
    </row>
    <row r="914" spans="4:10" x14ac:dyDescent="0.3">
      <c r="D914" s="141"/>
      <c r="J914" s="114"/>
    </row>
    <row r="915" spans="4:10" x14ac:dyDescent="0.3">
      <c r="D915" s="141"/>
      <c r="J915" s="114"/>
    </row>
    <row r="916" spans="4:10" x14ac:dyDescent="0.3">
      <c r="D916" s="141"/>
      <c r="J916" s="114"/>
    </row>
    <row r="917" spans="4:10" x14ac:dyDescent="0.3">
      <c r="D917" s="141"/>
      <c r="J917" s="114"/>
    </row>
    <row r="918" spans="4:10" x14ac:dyDescent="0.3">
      <c r="D918" s="141"/>
      <c r="J918" s="114"/>
    </row>
    <row r="919" spans="4:10" x14ac:dyDescent="0.3">
      <c r="D919" s="141"/>
      <c r="J919" s="114"/>
    </row>
    <row r="920" spans="4:10" x14ac:dyDescent="0.3">
      <c r="D920" s="141"/>
      <c r="J920" s="114"/>
    </row>
    <row r="921" spans="4:10" x14ac:dyDescent="0.3">
      <c r="D921" s="141"/>
      <c r="J921" s="114"/>
    </row>
    <row r="922" spans="4:10" x14ac:dyDescent="0.3">
      <c r="D922" s="141"/>
      <c r="J922" s="114"/>
    </row>
    <row r="923" spans="4:10" x14ac:dyDescent="0.3">
      <c r="D923" s="141"/>
      <c r="J923" s="114"/>
    </row>
    <row r="924" spans="4:10" x14ac:dyDescent="0.3">
      <c r="D924" s="141"/>
      <c r="J924" s="114"/>
    </row>
    <row r="925" spans="4:10" x14ac:dyDescent="0.3">
      <c r="D925" s="141"/>
      <c r="J925" s="114"/>
    </row>
    <row r="926" spans="4:10" x14ac:dyDescent="0.3">
      <c r="D926" s="141"/>
      <c r="J926" s="114"/>
    </row>
    <row r="927" spans="4:10" x14ac:dyDescent="0.3">
      <c r="D927" s="141"/>
      <c r="J927" s="114"/>
    </row>
    <row r="928" spans="4:10" x14ac:dyDescent="0.3">
      <c r="D928" s="141"/>
      <c r="J928" s="114"/>
    </row>
    <row r="929" spans="4:10" x14ac:dyDescent="0.3">
      <c r="D929" s="141"/>
      <c r="J929" s="114"/>
    </row>
    <row r="930" spans="4:10" x14ac:dyDescent="0.3">
      <c r="D930" s="141"/>
      <c r="J930" s="114"/>
    </row>
    <row r="931" spans="4:10" x14ac:dyDescent="0.3">
      <c r="D931" s="141"/>
      <c r="J931" s="114"/>
    </row>
    <row r="932" spans="4:10" x14ac:dyDescent="0.3">
      <c r="D932" s="141"/>
      <c r="J932" s="114"/>
    </row>
    <row r="933" spans="4:10" x14ac:dyDescent="0.3">
      <c r="D933" s="141"/>
      <c r="J933" s="114"/>
    </row>
    <row r="934" spans="4:10" x14ac:dyDescent="0.3">
      <c r="D934" s="141"/>
      <c r="J934" s="114"/>
    </row>
    <row r="935" spans="4:10" x14ac:dyDescent="0.3">
      <c r="D935" s="141"/>
      <c r="J935" s="114"/>
    </row>
    <row r="936" spans="4:10" x14ac:dyDescent="0.3">
      <c r="D936" s="141"/>
      <c r="J936" s="114"/>
    </row>
    <row r="937" spans="4:10" x14ac:dyDescent="0.3">
      <c r="D937" s="141"/>
      <c r="J937" s="114"/>
    </row>
    <row r="938" spans="4:10" x14ac:dyDescent="0.3">
      <c r="D938" s="141"/>
      <c r="J938" s="114"/>
    </row>
    <row r="939" spans="4:10" x14ac:dyDescent="0.3">
      <c r="D939" s="141"/>
      <c r="J939" s="114"/>
    </row>
    <row r="940" spans="4:10" x14ac:dyDescent="0.3">
      <c r="D940" s="141"/>
      <c r="J940" s="114"/>
    </row>
    <row r="941" spans="4:10" x14ac:dyDescent="0.3">
      <c r="D941" s="141"/>
      <c r="J941" s="114"/>
    </row>
    <row r="942" spans="4:10" x14ac:dyDescent="0.3">
      <c r="D942" s="141"/>
      <c r="J942" s="114"/>
    </row>
    <row r="943" spans="4:10" x14ac:dyDescent="0.3">
      <c r="D943" s="141"/>
      <c r="J943" s="114"/>
    </row>
    <row r="944" spans="4:10" x14ac:dyDescent="0.3">
      <c r="D944" s="141"/>
      <c r="J944" s="114"/>
    </row>
    <row r="945" spans="4:10" x14ac:dyDescent="0.3">
      <c r="D945" s="141"/>
      <c r="J945" s="114"/>
    </row>
    <row r="946" spans="4:10" x14ac:dyDescent="0.3">
      <c r="D946" s="141"/>
      <c r="J946" s="114"/>
    </row>
    <row r="947" spans="4:10" x14ac:dyDescent="0.3">
      <c r="D947" s="141"/>
      <c r="J947" s="114"/>
    </row>
    <row r="948" spans="4:10" x14ac:dyDescent="0.3">
      <c r="D948" s="141"/>
      <c r="J948" s="114"/>
    </row>
    <row r="949" spans="4:10" x14ac:dyDescent="0.3">
      <c r="D949" s="141"/>
      <c r="J949" s="114"/>
    </row>
    <row r="950" spans="4:10" x14ac:dyDescent="0.3">
      <c r="D950" s="141"/>
      <c r="J950" s="114"/>
    </row>
    <row r="951" spans="4:10" x14ac:dyDescent="0.3">
      <c r="D951" s="141"/>
      <c r="J951" s="114"/>
    </row>
    <row r="952" spans="4:10" x14ac:dyDescent="0.3">
      <c r="D952" s="141"/>
      <c r="J952" s="114"/>
    </row>
    <row r="953" spans="4:10" x14ac:dyDescent="0.3">
      <c r="D953" s="141"/>
      <c r="J953" s="114"/>
    </row>
    <row r="954" spans="4:10" x14ac:dyDescent="0.3">
      <c r="D954" s="141"/>
      <c r="J954" s="114"/>
    </row>
    <row r="955" spans="4:10" x14ac:dyDescent="0.3">
      <c r="D955" s="141"/>
      <c r="J955" s="114"/>
    </row>
    <row r="956" spans="4:10" x14ac:dyDescent="0.3">
      <c r="D956" s="141"/>
      <c r="J956" s="114"/>
    </row>
    <row r="957" spans="4:10" x14ac:dyDescent="0.3">
      <c r="D957" s="141"/>
      <c r="J957" s="114"/>
    </row>
    <row r="958" spans="4:10" x14ac:dyDescent="0.3">
      <c r="D958" s="141"/>
      <c r="J958" s="114"/>
    </row>
    <row r="959" spans="4:10" x14ac:dyDescent="0.3">
      <c r="D959" s="141"/>
      <c r="J959" s="114"/>
    </row>
    <row r="960" spans="4:10" x14ac:dyDescent="0.3">
      <c r="D960" s="141"/>
      <c r="J960" s="114"/>
    </row>
    <row r="961" spans="4:10" x14ac:dyDescent="0.3">
      <c r="D961" s="141"/>
      <c r="J961" s="114"/>
    </row>
    <row r="962" spans="4:10" x14ac:dyDescent="0.3">
      <c r="D962" s="141"/>
      <c r="J962" s="114"/>
    </row>
    <row r="963" spans="4:10" x14ac:dyDescent="0.3">
      <c r="D963" s="141"/>
      <c r="J963" s="114"/>
    </row>
    <row r="964" spans="4:10" x14ac:dyDescent="0.3">
      <c r="D964" s="141"/>
      <c r="J964" s="114"/>
    </row>
    <row r="965" spans="4:10" x14ac:dyDescent="0.3">
      <c r="D965" s="141"/>
      <c r="J965" s="114"/>
    </row>
    <row r="966" spans="4:10" x14ac:dyDescent="0.3">
      <c r="D966" s="141"/>
      <c r="J966" s="114"/>
    </row>
    <row r="967" spans="4:10" x14ac:dyDescent="0.3">
      <c r="D967" s="141"/>
      <c r="J967" s="114"/>
    </row>
    <row r="968" spans="4:10" x14ac:dyDescent="0.3">
      <c r="D968" s="141"/>
      <c r="J968" s="114"/>
    </row>
    <row r="969" spans="4:10" x14ac:dyDescent="0.3">
      <c r="D969" s="141"/>
      <c r="J969" s="114"/>
    </row>
    <row r="970" spans="4:10" x14ac:dyDescent="0.3">
      <c r="D970" s="141"/>
      <c r="J970" s="114"/>
    </row>
    <row r="971" spans="4:10" x14ac:dyDescent="0.3">
      <c r="D971" s="141"/>
      <c r="J971" s="114"/>
    </row>
    <row r="972" spans="4:10" x14ac:dyDescent="0.3">
      <c r="D972" s="141"/>
      <c r="J972" s="114"/>
    </row>
    <row r="973" spans="4:10" x14ac:dyDescent="0.3">
      <c r="D973" s="141"/>
      <c r="J973" s="114"/>
    </row>
    <row r="974" spans="4:10" x14ac:dyDescent="0.3">
      <c r="D974" s="141"/>
      <c r="J974" s="114"/>
    </row>
    <row r="975" spans="4:10" x14ac:dyDescent="0.3">
      <c r="D975" s="141"/>
      <c r="J975" s="114"/>
    </row>
    <row r="976" spans="4:10" x14ac:dyDescent="0.3">
      <c r="D976" s="141"/>
      <c r="J976" s="114"/>
    </row>
    <row r="977" spans="4:10" x14ac:dyDescent="0.3">
      <c r="D977" s="141"/>
      <c r="J977" s="114"/>
    </row>
    <row r="978" spans="4:10" x14ac:dyDescent="0.3">
      <c r="D978" s="141"/>
      <c r="J978" s="114"/>
    </row>
    <row r="979" spans="4:10" x14ac:dyDescent="0.3">
      <c r="D979" s="141"/>
      <c r="J979" s="114"/>
    </row>
    <row r="980" spans="4:10" x14ac:dyDescent="0.3">
      <c r="D980" s="141"/>
      <c r="J980" s="114"/>
    </row>
    <row r="981" spans="4:10" x14ac:dyDescent="0.3">
      <c r="D981" s="141"/>
      <c r="J981" s="114"/>
    </row>
    <row r="982" spans="4:10" x14ac:dyDescent="0.3">
      <c r="D982" s="141"/>
      <c r="J982" s="114"/>
    </row>
    <row r="983" spans="4:10" x14ac:dyDescent="0.3">
      <c r="D983" s="141"/>
      <c r="J983" s="114"/>
    </row>
    <row r="984" spans="4:10" x14ac:dyDescent="0.3">
      <c r="D984" s="141"/>
      <c r="J984" s="114"/>
    </row>
    <row r="985" spans="4:10" x14ac:dyDescent="0.3">
      <c r="D985" s="141"/>
      <c r="J985" s="114"/>
    </row>
    <row r="986" spans="4:10" x14ac:dyDescent="0.3">
      <c r="D986" s="141"/>
      <c r="J986" s="114"/>
    </row>
    <row r="987" spans="4:10" x14ac:dyDescent="0.3">
      <c r="D987" s="141"/>
      <c r="J987" s="114"/>
    </row>
    <row r="988" spans="4:10" x14ac:dyDescent="0.3">
      <c r="D988" s="141"/>
      <c r="J988" s="114"/>
    </row>
    <row r="989" spans="4:10" x14ac:dyDescent="0.3">
      <c r="D989" s="141"/>
      <c r="J989" s="114"/>
    </row>
    <row r="990" spans="4:10" x14ac:dyDescent="0.3">
      <c r="D990" s="141"/>
      <c r="J990" s="114"/>
    </row>
    <row r="991" spans="4:10" x14ac:dyDescent="0.3">
      <c r="D991" s="141"/>
      <c r="J991" s="114"/>
    </row>
    <row r="992" spans="4:10" x14ac:dyDescent="0.3">
      <c r="D992" s="141"/>
      <c r="J992" s="114"/>
    </row>
    <row r="993" spans="4:10" x14ac:dyDescent="0.3">
      <c r="D993" s="141"/>
      <c r="J993" s="114"/>
    </row>
    <row r="994" spans="4:10" x14ac:dyDescent="0.3">
      <c r="D994" s="141"/>
      <c r="J994" s="114"/>
    </row>
    <row r="995" spans="4:10" x14ac:dyDescent="0.3">
      <c r="D995" s="141"/>
      <c r="J995" s="114"/>
    </row>
    <row r="996" spans="4:10" x14ac:dyDescent="0.3">
      <c r="D996" s="141"/>
      <c r="J996" s="114"/>
    </row>
    <row r="997" spans="4:10" x14ac:dyDescent="0.3">
      <c r="D997" s="141"/>
      <c r="J997" s="114"/>
    </row>
    <row r="998" spans="4:10" x14ac:dyDescent="0.3">
      <c r="D998" s="141"/>
      <c r="J998" s="114"/>
    </row>
    <row r="999" spans="4:10" x14ac:dyDescent="0.3">
      <c r="D999" s="141"/>
      <c r="J999" s="114"/>
    </row>
    <row r="1000" spans="4:10" x14ac:dyDescent="0.3">
      <c r="D1000" s="141"/>
      <c r="J1000" s="114"/>
    </row>
    <row r="1001" spans="4:10" x14ac:dyDescent="0.3">
      <c r="D1001" s="141"/>
      <c r="J1001" s="114"/>
    </row>
    <row r="1002" spans="4:10" x14ac:dyDescent="0.3">
      <c r="D1002" s="141"/>
      <c r="J1002" s="114"/>
    </row>
    <row r="1003" spans="4:10" x14ac:dyDescent="0.3">
      <c r="D1003" s="141"/>
      <c r="J1003" s="114"/>
    </row>
    <row r="1004" spans="4:10" x14ac:dyDescent="0.3">
      <c r="D1004" s="141"/>
      <c r="J1004" s="114"/>
    </row>
    <row r="1005" spans="4:10" x14ac:dyDescent="0.3">
      <c r="D1005" s="141"/>
      <c r="J1005" s="114"/>
    </row>
    <row r="1006" spans="4:10" x14ac:dyDescent="0.3">
      <c r="D1006" s="141"/>
      <c r="J1006" s="114"/>
    </row>
    <row r="1007" spans="4:10" x14ac:dyDescent="0.3">
      <c r="D1007" s="141"/>
      <c r="J1007" s="114"/>
    </row>
    <row r="1008" spans="4:10" x14ac:dyDescent="0.3">
      <c r="D1008" s="141"/>
      <c r="J1008" s="114"/>
    </row>
    <row r="1009" spans="4:10" x14ac:dyDescent="0.3">
      <c r="D1009" s="141"/>
      <c r="J1009" s="114"/>
    </row>
    <row r="1010" spans="4:10" x14ac:dyDescent="0.3">
      <c r="D1010" s="141"/>
      <c r="J1010" s="114"/>
    </row>
    <row r="1011" spans="4:10" x14ac:dyDescent="0.3">
      <c r="D1011" s="141"/>
      <c r="J1011" s="114"/>
    </row>
    <row r="1012" spans="4:10" x14ac:dyDescent="0.3">
      <c r="D1012" s="141"/>
      <c r="J1012" s="114"/>
    </row>
    <row r="1013" spans="4:10" x14ac:dyDescent="0.3">
      <c r="D1013" s="141"/>
      <c r="J1013" s="114"/>
    </row>
    <row r="1014" spans="4:10" x14ac:dyDescent="0.3">
      <c r="D1014" s="141"/>
      <c r="J1014" s="114"/>
    </row>
    <row r="1015" spans="4:10" x14ac:dyDescent="0.3">
      <c r="D1015" s="141"/>
      <c r="J1015" s="114"/>
    </row>
    <row r="1016" spans="4:10" x14ac:dyDescent="0.3">
      <c r="D1016" s="141"/>
      <c r="J1016" s="114"/>
    </row>
    <row r="1017" spans="4:10" x14ac:dyDescent="0.3">
      <c r="D1017" s="141"/>
      <c r="J1017" s="114"/>
    </row>
    <row r="1018" spans="4:10" x14ac:dyDescent="0.3">
      <c r="D1018" s="141"/>
      <c r="J1018" s="114"/>
    </row>
    <row r="1019" spans="4:10" x14ac:dyDescent="0.3">
      <c r="D1019" s="141"/>
      <c r="J1019" s="114"/>
    </row>
    <row r="1020" spans="4:10" x14ac:dyDescent="0.3">
      <c r="D1020" s="141"/>
      <c r="J1020" s="114"/>
    </row>
    <row r="1021" spans="4:10" x14ac:dyDescent="0.3">
      <c r="D1021" s="141"/>
      <c r="J1021" s="114"/>
    </row>
    <row r="1022" spans="4:10" x14ac:dyDescent="0.3">
      <c r="D1022" s="141"/>
      <c r="J1022" s="114"/>
    </row>
    <row r="1023" spans="4:10" x14ac:dyDescent="0.3">
      <c r="D1023" s="141"/>
      <c r="J1023" s="114"/>
    </row>
    <row r="1024" spans="4:10" x14ac:dyDescent="0.3">
      <c r="D1024" s="141"/>
      <c r="J1024" s="114"/>
    </row>
    <row r="1025" spans="4:10" x14ac:dyDescent="0.3">
      <c r="D1025" s="141"/>
      <c r="J1025" s="114"/>
    </row>
    <row r="1026" spans="4:10" x14ac:dyDescent="0.3">
      <c r="D1026" s="141"/>
      <c r="J1026" s="114"/>
    </row>
    <row r="1027" spans="4:10" x14ac:dyDescent="0.3">
      <c r="D1027" s="141"/>
      <c r="J1027" s="114"/>
    </row>
    <row r="1028" spans="4:10" x14ac:dyDescent="0.3">
      <c r="D1028" s="141"/>
      <c r="J1028" s="114"/>
    </row>
    <row r="1029" spans="4:10" x14ac:dyDescent="0.3">
      <c r="D1029" s="141"/>
      <c r="J1029" s="114"/>
    </row>
    <row r="1030" spans="4:10" x14ac:dyDescent="0.3">
      <c r="D1030" s="141"/>
      <c r="J1030" s="114"/>
    </row>
    <row r="1031" spans="4:10" x14ac:dyDescent="0.3">
      <c r="D1031" s="141"/>
      <c r="J1031" s="114"/>
    </row>
    <row r="1032" spans="4:10" x14ac:dyDescent="0.3">
      <c r="D1032" s="141"/>
      <c r="J1032" s="114"/>
    </row>
    <row r="1033" spans="4:10" x14ac:dyDescent="0.3">
      <c r="D1033" s="141"/>
      <c r="J1033" s="114"/>
    </row>
    <row r="1034" spans="4:10" x14ac:dyDescent="0.3">
      <c r="D1034" s="141"/>
      <c r="J1034" s="114"/>
    </row>
    <row r="1035" spans="4:10" x14ac:dyDescent="0.3">
      <c r="D1035" s="141"/>
      <c r="J1035" s="114"/>
    </row>
    <row r="1036" spans="4:10" x14ac:dyDescent="0.3">
      <c r="D1036" s="141"/>
      <c r="J1036" s="114"/>
    </row>
    <row r="1037" spans="4:10" x14ac:dyDescent="0.3">
      <c r="D1037" s="141"/>
      <c r="J1037" s="114"/>
    </row>
    <row r="1038" spans="4:10" x14ac:dyDescent="0.3">
      <c r="D1038" s="141"/>
      <c r="J1038" s="114"/>
    </row>
    <row r="1039" spans="4:10" x14ac:dyDescent="0.3">
      <c r="D1039" s="141"/>
      <c r="J1039" s="114"/>
    </row>
    <row r="1040" spans="4:10" x14ac:dyDescent="0.3">
      <c r="D1040" s="141"/>
      <c r="J1040" s="114"/>
    </row>
    <row r="1041" spans="4:10" x14ac:dyDescent="0.3">
      <c r="D1041" s="141"/>
      <c r="J1041" s="114"/>
    </row>
    <row r="1042" spans="4:10" x14ac:dyDescent="0.3">
      <c r="D1042" s="141"/>
      <c r="J1042" s="114"/>
    </row>
    <row r="1043" spans="4:10" x14ac:dyDescent="0.3">
      <c r="D1043" s="141"/>
      <c r="J1043" s="114"/>
    </row>
    <row r="1044" spans="4:10" x14ac:dyDescent="0.3">
      <c r="D1044" s="141"/>
      <c r="J1044" s="114"/>
    </row>
    <row r="1045" spans="4:10" x14ac:dyDescent="0.3">
      <c r="D1045" s="141"/>
      <c r="J1045" s="114"/>
    </row>
    <row r="1046" spans="4:10" x14ac:dyDescent="0.3">
      <c r="D1046" s="141"/>
      <c r="J1046" s="114"/>
    </row>
    <row r="1047" spans="4:10" x14ac:dyDescent="0.3">
      <c r="D1047" s="141"/>
      <c r="J1047" s="114"/>
    </row>
    <row r="1048" spans="4:10" x14ac:dyDescent="0.3">
      <c r="D1048" s="141"/>
      <c r="J1048" s="114"/>
    </row>
    <row r="1049" spans="4:10" x14ac:dyDescent="0.3">
      <c r="D1049" s="141"/>
      <c r="J1049" s="114"/>
    </row>
    <row r="1050" spans="4:10" x14ac:dyDescent="0.3">
      <c r="D1050" s="141"/>
      <c r="J1050" s="114"/>
    </row>
    <row r="1051" spans="4:10" x14ac:dyDescent="0.3">
      <c r="D1051" s="141"/>
      <c r="J1051" s="114"/>
    </row>
    <row r="1052" spans="4:10" x14ac:dyDescent="0.3">
      <c r="D1052" s="141"/>
      <c r="J1052" s="114"/>
    </row>
    <row r="1053" spans="4:10" x14ac:dyDescent="0.3">
      <c r="D1053" s="141"/>
      <c r="J1053" s="114"/>
    </row>
    <row r="1054" spans="4:10" x14ac:dyDescent="0.3">
      <c r="D1054" s="141"/>
      <c r="J1054" s="114"/>
    </row>
    <row r="1055" spans="4:10" x14ac:dyDescent="0.3">
      <c r="D1055" s="141"/>
      <c r="J1055" s="114"/>
    </row>
    <row r="1056" spans="4:10" x14ac:dyDescent="0.3">
      <c r="D1056" s="141"/>
      <c r="J1056" s="114"/>
    </row>
    <row r="1057" spans="4:10" x14ac:dyDescent="0.3">
      <c r="D1057" s="141"/>
      <c r="J1057" s="114"/>
    </row>
    <row r="1058" spans="4:10" x14ac:dyDescent="0.3">
      <c r="D1058" s="141"/>
      <c r="J1058" s="114"/>
    </row>
    <row r="1059" spans="4:10" x14ac:dyDescent="0.3">
      <c r="D1059" s="141"/>
      <c r="J1059" s="114"/>
    </row>
    <row r="1060" spans="4:10" x14ac:dyDescent="0.3">
      <c r="D1060" s="141"/>
      <c r="J1060" s="114"/>
    </row>
    <row r="1061" spans="4:10" x14ac:dyDescent="0.3">
      <c r="D1061" s="141"/>
      <c r="J1061" s="114"/>
    </row>
    <row r="1062" spans="4:10" x14ac:dyDescent="0.3">
      <c r="D1062" s="141"/>
      <c r="J1062" s="114"/>
    </row>
    <row r="1063" spans="4:10" x14ac:dyDescent="0.3">
      <c r="D1063" s="141"/>
      <c r="J1063" s="114"/>
    </row>
    <row r="1064" spans="4:10" x14ac:dyDescent="0.3">
      <c r="D1064" s="141"/>
      <c r="J1064" s="114"/>
    </row>
    <row r="1065" spans="4:10" x14ac:dyDescent="0.3">
      <c r="D1065" s="141"/>
      <c r="J1065" s="114"/>
    </row>
    <row r="1066" spans="4:10" x14ac:dyDescent="0.3">
      <c r="D1066" s="141"/>
      <c r="J1066" s="114"/>
    </row>
    <row r="1067" spans="4:10" x14ac:dyDescent="0.3">
      <c r="D1067" s="141"/>
      <c r="J1067" s="114"/>
    </row>
    <row r="1068" spans="4:10" x14ac:dyDescent="0.3">
      <c r="D1068" s="141"/>
      <c r="J1068" s="114"/>
    </row>
    <row r="1069" spans="4:10" x14ac:dyDescent="0.3">
      <c r="D1069" s="141"/>
      <c r="J1069" s="114"/>
    </row>
    <row r="1070" spans="4:10" x14ac:dyDescent="0.3">
      <c r="D1070" s="141"/>
      <c r="J1070" s="114"/>
    </row>
    <row r="1071" spans="4:10" x14ac:dyDescent="0.3">
      <c r="D1071" s="141"/>
      <c r="J1071" s="114"/>
    </row>
    <row r="1072" spans="4:10" x14ac:dyDescent="0.3">
      <c r="D1072" s="141"/>
      <c r="J1072" s="114"/>
    </row>
    <row r="1073" spans="4:10" x14ac:dyDescent="0.3">
      <c r="D1073" s="141"/>
      <c r="J1073" s="114"/>
    </row>
    <row r="1074" spans="4:10" x14ac:dyDescent="0.3">
      <c r="D1074" s="141"/>
      <c r="J1074" s="114"/>
    </row>
    <row r="1075" spans="4:10" x14ac:dyDescent="0.3">
      <c r="D1075" s="141"/>
      <c r="J1075" s="114"/>
    </row>
    <row r="1076" spans="4:10" x14ac:dyDescent="0.3">
      <c r="D1076" s="141"/>
      <c r="J1076" s="114"/>
    </row>
    <row r="1077" spans="4:10" x14ac:dyDescent="0.3">
      <c r="D1077" s="141"/>
      <c r="J1077" s="114"/>
    </row>
    <row r="1078" spans="4:10" x14ac:dyDescent="0.3">
      <c r="D1078" s="141"/>
      <c r="J1078" s="114"/>
    </row>
    <row r="1079" spans="4:10" x14ac:dyDescent="0.3">
      <c r="D1079" s="141"/>
      <c r="J1079" s="114"/>
    </row>
    <row r="1080" spans="4:10" x14ac:dyDescent="0.3">
      <c r="D1080" s="141"/>
      <c r="J1080" s="114"/>
    </row>
    <row r="1081" spans="4:10" x14ac:dyDescent="0.3">
      <c r="D1081" s="141"/>
      <c r="J1081" s="114"/>
    </row>
    <row r="1082" spans="4:10" x14ac:dyDescent="0.3">
      <c r="D1082" s="141"/>
      <c r="J1082" s="114"/>
    </row>
    <row r="1083" spans="4:10" x14ac:dyDescent="0.3">
      <c r="D1083" s="141"/>
      <c r="J1083" s="114"/>
    </row>
    <row r="1084" spans="4:10" x14ac:dyDescent="0.3">
      <c r="D1084" s="141"/>
      <c r="J1084" s="114"/>
    </row>
    <row r="1085" spans="4:10" x14ac:dyDescent="0.3">
      <c r="D1085" s="141"/>
      <c r="J1085" s="114"/>
    </row>
    <row r="1086" spans="4:10" x14ac:dyDescent="0.3">
      <c r="D1086" s="141"/>
      <c r="J1086" s="114"/>
    </row>
    <row r="1087" spans="4:10" x14ac:dyDescent="0.3">
      <c r="D1087" s="141"/>
      <c r="J1087" s="114"/>
    </row>
    <row r="1088" spans="4:10" x14ac:dyDescent="0.3">
      <c r="D1088" s="141"/>
      <c r="J1088" s="114"/>
    </row>
    <row r="1089" spans="4:10" x14ac:dyDescent="0.3">
      <c r="D1089" s="141"/>
      <c r="J1089" s="114"/>
    </row>
    <row r="1090" spans="4:10" x14ac:dyDescent="0.3">
      <c r="D1090" s="141"/>
      <c r="J1090" s="114"/>
    </row>
    <row r="1091" spans="4:10" x14ac:dyDescent="0.3">
      <c r="D1091" s="141"/>
      <c r="J1091" s="114"/>
    </row>
    <row r="1092" spans="4:10" x14ac:dyDescent="0.3">
      <c r="D1092" s="141"/>
      <c r="J1092" s="114"/>
    </row>
    <row r="1093" spans="4:10" x14ac:dyDescent="0.3">
      <c r="D1093" s="141"/>
      <c r="J1093" s="114"/>
    </row>
    <row r="1094" spans="4:10" x14ac:dyDescent="0.3">
      <c r="D1094" s="141"/>
      <c r="J1094" s="114"/>
    </row>
    <row r="1095" spans="4:10" x14ac:dyDescent="0.3">
      <c r="D1095" s="141"/>
      <c r="J1095" s="114"/>
    </row>
    <row r="1096" spans="4:10" x14ac:dyDescent="0.3">
      <c r="D1096" s="141"/>
      <c r="J1096" s="114"/>
    </row>
    <row r="1097" spans="4:10" x14ac:dyDescent="0.3">
      <c r="D1097" s="141"/>
      <c r="J1097" s="114"/>
    </row>
    <row r="1098" spans="4:10" x14ac:dyDescent="0.3">
      <c r="D1098" s="141"/>
      <c r="J1098" s="114"/>
    </row>
    <row r="1099" spans="4:10" x14ac:dyDescent="0.3">
      <c r="D1099" s="141"/>
      <c r="J1099" s="114"/>
    </row>
    <row r="1100" spans="4:10" x14ac:dyDescent="0.3">
      <c r="D1100" s="141"/>
      <c r="J1100" s="114"/>
    </row>
    <row r="1101" spans="4:10" x14ac:dyDescent="0.3">
      <c r="D1101" s="141"/>
      <c r="J1101" s="114"/>
    </row>
    <row r="1102" spans="4:10" x14ac:dyDescent="0.3">
      <c r="D1102" s="141"/>
      <c r="J1102" s="114"/>
    </row>
    <row r="1103" spans="4:10" x14ac:dyDescent="0.3">
      <c r="D1103" s="141"/>
      <c r="J1103" s="114"/>
    </row>
    <row r="1104" spans="4:10" x14ac:dyDescent="0.3">
      <c r="D1104" s="141"/>
      <c r="J1104" s="114"/>
    </row>
    <row r="1105" spans="4:10" x14ac:dyDescent="0.3">
      <c r="D1105" s="141"/>
      <c r="J1105" s="114"/>
    </row>
    <row r="1106" spans="4:10" x14ac:dyDescent="0.3">
      <c r="D1106" s="141"/>
      <c r="J1106" s="114"/>
    </row>
    <row r="1107" spans="4:10" x14ac:dyDescent="0.3">
      <c r="D1107" s="141"/>
      <c r="J1107" s="114"/>
    </row>
    <row r="1108" spans="4:10" x14ac:dyDescent="0.3">
      <c r="D1108" s="141"/>
      <c r="J1108" s="114"/>
    </row>
    <row r="1109" spans="4:10" x14ac:dyDescent="0.3">
      <c r="D1109" s="141"/>
      <c r="J1109" s="114"/>
    </row>
    <row r="1110" spans="4:10" x14ac:dyDescent="0.3">
      <c r="D1110" s="141"/>
      <c r="J1110" s="114"/>
    </row>
    <row r="1111" spans="4:10" x14ac:dyDescent="0.3">
      <c r="D1111" s="141"/>
      <c r="J1111" s="114"/>
    </row>
    <row r="1112" spans="4:10" x14ac:dyDescent="0.3">
      <c r="D1112" s="141"/>
      <c r="J1112" s="114"/>
    </row>
    <row r="1113" spans="4:10" x14ac:dyDescent="0.3">
      <c r="D1113" s="141"/>
      <c r="J1113" s="114"/>
    </row>
    <row r="1114" spans="4:10" x14ac:dyDescent="0.3">
      <c r="D1114" s="141"/>
      <c r="J1114" s="114"/>
    </row>
    <row r="1115" spans="4:10" x14ac:dyDescent="0.3">
      <c r="D1115" s="141"/>
      <c r="J1115" s="114"/>
    </row>
    <row r="1116" spans="4:10" x14ac:dyDescent="0.3">
      <c r="D1116" s="141"/>
      <c r="J1116" s="114"/>
    </row>
    <row r="1117" spans="4:10" x14ac:dyDescent="0.3">
      <c r="D1117" s="141"/>
      <c r="J1117" s="114"/>
    </row>
    <row r="1118" spans="4:10" x14ac:dyDescent="0.3">
      <c r="D1118" s="141"/>
      <c r="J1118" s="114"/>
    </row>
    <row r="1119" spans="4:10" x14ac:dyDescent="0.3">
      <c r="D1119" s="141"/>
      <c r="J1119" s="114"/>
    </row>
    <row r="1120" spans="4:10" x14ac:dyDescent="0.3">
      <c r="D1120" s="141"/>
      <c r="J1120" s="114"/>
    </row>
    <row r="1121" spans="4:10" x14ac:dyDescent="0.3">
      <c r="D1121" s="141"/>
      <c r="J1121" s="114"/>
    </row>
    <row r="1122" spans="4:10" x14ac:dyDescent="0.3">
      <c r="D1122" s="141"/>
      <c r="J1122" s="114"/>
    </row>
    <row r="1123" spans="4:10" x14ac:dyDescent="0.3">
      <c r="D1123" s="141"/>
      <c r="J1123" s="114"/>
    </row>
    <row r="1124" spans="4:10" x14ac:dyDescent="0.3">
      <c r="D1124" s="141"/>
      <c r="J1124" s="114"/>
    </row>
    <row r="1125" spans="4:10" x14ac:dyDescent="0.3">
      <c r="D1125" s="141"/>
      <c r="J1125" s="114"/>
    </row>
    <row r="1126" spans="4:10" x14ac:dyDescent="0.3">
      <c r="D1126" s="141"/>
      <c r="J1126" s="114"/>
    </row>
    <row r="1127" spans="4:10" x14ac:dyDescent="0.3">
      <c r="D1127" s="141"/>
      <c r="J1127" s="114"/>
    </row>
    <row r="1128" spans="4:10" x14ac:dyDescent="0.3">
      <c r="D1128" s="141"/>
      <c r="J1128" s="114"/>
    </row>
    <row r="1129" spans="4:10" x14ac:dyDescent="0.3">
      <c r="D1129" s="141"/>
      <c r="J1129" s="114"/>
    </row>
    <row r="1130" spans="4:10" x14ac:dyDescent="0.3">
      <c r="D1130" s="141"/>
      <c r="J1130" s="114"/>
    </row>
    <row r="1131" spans="4:10" x14ac:dyDescent="0.3">
      <c r="D1131" s="141"/>
      <c r="J1131" s="114"/>
    </row>
    <row r="1132" spans="4:10" x14ac:dyDescent="0.3">
      <c r="D1132" s="141"/>
      <c r="J1132" s="114"/>
    </row>
    <row r="1133" spans="4:10" x14ac:dyDescent="0.3">
      <c r="D1133" s="141"/>
      <c r="J1133" s="114"/>
    </row>
    <row r="1134" spans="4:10" x14ac:dyDescent="0.3">
      <c r="D1134" s="141"/>
      <c r="J1134" s="114"/>
    </row>
    <row r="1135" spans="4:10" x14ac:dyDescent="0.3">
      <c r="D1135" s="141"/>
      <c r="J1135" s="114"/>
    </row>
    <row r="1136" spans="4:10" x14ac:dyDescent="0.3">
      <c r="D1136" s="141"/>
      <c r="J1136" s="114"/>
    </row>
    <row r="1137" spans="4:10" x14ac:dyDescent="0.3">
      <c r="D1137" s="141"/>
      <c r="J1137" s="114"/>
    </row>
    <row r="1138" spans="4:10" x14ac:dyDescent="0.3">
      <c r="D1138" s="141"/>
      <c r="J1138" s="114"/>
    </row>
    <row r="1139" spans="4:10" x14ac:dyDescent="0.3">
      <c r="D1139" s="141"/>
      <c r="J1139" s="114"/>
    </row>
    <row r="1140" spans="4:10" x14ac:dyDescent="0.3">
      <c r="D1140" s="141"/>
      <c r="J1140" s="114"/>
    </row>
    <row r="1141" spans="4:10" x14ac:dyDescent="0.3">
      <c r="D1141" s="141"/>
      <c r="J1141" s="114"/>
    </row>
    <row r="1142" spans="4:10" x14ac:dyDescent="0.3">
      <c r="D1142" s="141"/>
      <c r="J1142" s="114"/>
    </row>
    <row r="1143" spans="4:10" x14ac:dyDescent="0.3">
      <c r="D1143" s="141"/>
      <c r="J1143" s="114"/>
    </row>
    <row r="1144" spans="4:10" x14ac:dyDescent="0.3">
      <c r="D1144" s="141"/>
      <c r="J1144" s="114"/>
    </row>
    <row r="1145" spans="4:10" x14ac:dyDescent="0.3">
      <c r="D1145" s="141"/>
      <c r="J1145" s="114"/>
    </row>
    <row r="1146" spans="4:10" x14ac:dyDescent="0.3">
      <c r="D1146" s="141"/>
      <c r="J1146" s="114"/>
    </row>
    <row r="1147" spans="4:10" x14ac:dyDescent="0.3">
      <c r="D1147" s="141"/>
      <c r="J1147" s="114"/>
    </row>
    <row r="1148" spans="4:10" x14ac:dyDescent="0.3">
      <c r="D1148" s="141"/>
      <c r="J1148" s="114"/>
    </row>
    <row r="1149" spans="4:10" x14ac:dyDescent="0.3">
      <c r="D1149" s="141"/>
      <c r="J1149" s="114"/>
    </row>
    <row r="1150" spans="4:10" x14ac:dyDescent="0.3">
      <c r="D1150" s="141"/>
      <c r="J1150" s="114"/>
    </row>
    <row r="1151" spans="4:10" x14ac:dyDescent="0.3">
      <c r="D1151" s="141"/>
      <c r="J1151" s="114"/>
    </row>
    <row r="1152" spans="4:10" x14ac:dyDescent="0.3">
      <c r="D1152" s="141"/>
      <c r="J1152" s="114"/>
    </row>
    <row r="1153" spans="4:10" x14ac:dyDescent="0.3">
      <c r="D1153" s="141"/>
      <c r="J1153" s="114"/>
    </row>
    <row r="1154" spans="4:10" x14ac:dyDescent="0.3">
      <c r="D1154" s="141"/>
      <c r="J1154" s="114"/>
    </row>
    <row r="1155" spans="4:10" x14ac:dyDescent="0.3">
      <c r="D1155" s="141"/>
      <c r="J1155" s="114"/>
    </row>
    <row r="1156" spans="4:10" x14ac:dyDescent="0.3">
      <c r="D1156" s="141"/>
      <c r="J1156" s="114"/>
    </row>
    <row r="1157" spans="4:10" x14ac:dyDescent="0.3">
      <c r="D1157" s="141"/>
      <c r="J1157" s="114"/>
    </row>
    <row r="1158" spans="4:10" x14ac:dyDescent="0.3">
      <c r="D1158" s="141"/>
      <c r="J1158" s="114"/>
    </row>
    <row r="1159" spans="4:10" x14ac:dyDescent="0.3">
      <c r="D1159" s="141"/>
      <c r="J1159" s="114"/>
    </row>
    <row r="1160" spans="4:10" x14ac:dyDescent="0.3">
      <c r="D1160" s="141"/>
      <c r="J1160" s="114"/>
    </row>
    <row r="1161" spans="4:10" x14ac:dyDescent="0.3">
      <c r="D1161" s="141"/>
      <c r="J1161" s="114"/>
    </row>
    <row r="1162" spans="4:10" x14ac:dyDescent="0.3">
      <c r="D1162" s="141"/>
      <c r="J1162" s="114"/>
    </row>
    <row r="1163" spans="4:10" x14ac:dyDescent="0.3">
      <c r="D1163" s="141"/>
      <c r="J1163" s="114"/>
    </row>
    <row r="1164" spans="4:10" x14ac:dyDescent="0.3">
      <c r="D1164" s="141"/>
      <c r="J1164" s="114"/>
    </row>
    <row r="1165" spans="4:10" x14ac:dyDescent="0.3">
      <c r="D1165" s="141"/>
      <c r="J1165" s="114"/>
    </row>
    <row r="1166" spans="4:10" x14ac:dyDescent="0.3">
      <c r="D1166" s="141"/>
      <c r="J1166" s="114"/>
    </row>
    <row r="1167" spans="4:10" x14ac:dyDescent="0.3">
      <c r="D1167" s="141"/>
      <c r="J1167" s="114"/>
    </row>
    <row r="1168" spans="4:10" x14ac:dyDescent="0.3">
      <c r="D1168" s="141"/>
      <c r="J1168" s="114"/>
    </row>
    <row r="1169" spans="4:10" x14ac:dyDescent="0.3">
      <c r="D1169" s="141"/>
      <c r="J1169" s="114"/>
    </row>
    <row r="1170" spans="4:10" x14ac:dyDescent="0.3">
      <c r="D1170" s="141"/>
      <c r="J1170" s="114"/>
    </row>
    <row r="1171" spans="4:10" x14ac:dyDescent="0.3">
      <c r="D1171" s="141"/>
      <c r="J1171" s="114"/>
    </row>
    <row r="1172" spans="4:10" x14ac:dyDescent="0.3">
      <c r="D1172" s="141"/>
      <c r="J1172" s="114"/>
    </row>
    <row r="1173" spans="4:10" x14ac:dyDescent="0.3">
      <c r="D1173" s="141"/>
      <c r="J1173" s="114"/>
    </row>
    <row r="1174" spans="4:10" x14ac:dyDescent="0.3">
      <c r="D1174" s="141"/>
      <c r="J1174" s="114"/>
    </row>
    <row r="1175" spans="4:10" x14ac:dyDescent="0.3">
      <c r="D1175" s="141"/>
      <c r="J1175" s="114"/>
    </row>
    <row r="1176" spans="4:10" x14ac:dyDescent="0.3">
      <c r="D1176" s="141"/>
      <c r="J1176" s="114"/>
    </row>
    <row r="1177" spans="4:10" x14ac:dyDescent="0.3">
      <c r="D1177" s="141"/>
      <c r="J1177" s="114"/>
    </row>
    <row r="1178" spans="4:10" x14ac:dyDescent="0.3">
      <c r="D1178" s="141"/>
      <c r="J1178" s="114"/>
    </row>
    <row r="1179" spans="4:10" x14ac:dyDescent="0.3">
      <c r="D1179" s="141"/>
      <c r="J1179" s="114"/>
    </row>
    <row r="1180" spans="4:10" x14ac:dyDescent="0.3">
      <c r="D1180" s="141"/>
      <c r="J1180" s="114"/>
    </row>
    <row r="1181" spans="4:10" x14ac:dyDescent="0.3">
      <c r="D1181" s="141"/>
      <c r="J1181" s="114"/>
    </row>
    <row r="1182" spans="4:10" x14ac:dyDescent="0.3">
      <c r="D1182" s="141"/>
      <c r="J1182" s="114"/>
    </row>
    <row r="1183" spans="4:10" x14ac:dyDescent="0.3">
      <c r="D1183" s="141"/>
      <c r="J1183" s="114"/>
    </row>
    <row r="1184" spans="4:10" x14ac:dyDescent="0.3">
      <c r="D1184" s="141"/>
      <c r="J1184" s="114"/>
    </row>
    <row r="1185" spans="4:10" x14ac:dyDescent="0.3">
      <c r="D1185" s="141"/>
      <c r="J1185" s="114"/>
    </row>
    <row r="1186" spans="4:10" x14ac:dyDescent="0.3">
      <c r="D1186" s="141"/>
      <c r="J1186" s="114"/>
    </row>
    <row r="1187" spans="4:10" x14ac:dyDescent="0.3">
      <c r="D1187" s="141"/>
      <c r="J1187" s="114"/>
    </row>
    <row r="1188" spans="4:10" x14ac:dyDescent="0.3">
      <c r="D1188" s="141"/>
      <c r="J1188" s="114"/>
    </row>
    <row r="1189" spans="4:10" x14ac:dyDescent="0.3">
      <c r="D1189" s="141"/>
      <c r="J1189" s="114"/>
    </row>
    <row r="1190" spans="4:10" x14ac:dyDescent="0.3">
      <c r="D1190" s="141"/>
      <c r="J1190" s="114"/>
    </row>
    <row r="1191" spans="4:10" x14ac:dyDescent="0.3">
      <c r="D1191" s="141"/>
      <c r="J1191" s="114"/>
    </row>
    <row r="1192" spans="4:10" x14ac:dyDescent="0.3">
      <c r="D1192" s="141"/>
      <c r="J1192" s="114"/>
    </row>
    <row r="1193" spans="4:10" x14ac:dyDescent="0.3">
      <c r="D1193" s="141"/>
      <c r="J1193" s="114"/>
    </row>
    <row r="1194" spans="4:10" x14ac:dyDescent="0.3">
      <c r="D1194" s="141"/>
      <c r="J1194" s="114"/>
    </row>
    <row r="1195" spans="4:10" x14ac:dyDescent="0.3">
      <c r="D1195" s="141"/>
      <c r="J1195" s="114"/>
    </row>
    <row r="1196" spans="4:10" x14ac:dyDescent="0.3">
      <c r="D1196" s="141"/>
      <c r="J1196" s="114"/>
    </row>
    <row r="1197" spans="4:10" x14ac:dyDescent="0.3">
      <c r="D1197" s="141"/>
      <c r="J1197" s="114"/>
    </row>
    <row r="1198" spans="4:10" x14ac:dyDescent="0.3">
      <c r="D1198" s="141"/>
      <c r="J1198" s="114"/>
    </row>
    <row r="1199" spans="4:10" x14ac:dyDescent="0.3">
      <c r="D1199" s="141"/>
      <c r="J1199" s="114"/>
    </row>
    <row r="1200" spans="4:10" x14ac:dyDescent="0.3">
      <c r="D1200" s="141"/>
      <c r="J1200" s="114"/>
    </row>
    <row r="1201" spans="4:10" x14ac:dyDescent="0.3">
      <c r="D1201" s="141"/>
      <c r="J1201" s="114"/>
    </row>
    <row r="1202" spans="4:10" x14ac:dyDescent="0.3">
      <c r="D1202" s="141"/>
      <c r="J1202" s="114"/>
    </row>
    <row r="1203" spans="4:10" x14ac:dyDescent="0.3">
      <c r="D1203" s="141"/>
      <c r="J1203" s="114"/>
    </row>
    <row r="1204" spans="4:10" x14ac:dyDescent="0.3">
      <c r="D1204" s="141"/>
      <c r="J1204" s="114"/>
    </row>
    <row r="1205" spans="4:10" x14ac:dyDescent="0.3">
      <c r="D1205" s="141"/>
      <c r="J1205" s="114"/>
    </row>
    <row r="1206" spans="4:10" x14ac:dyDescent="0.3">
      <c r="D1206" s="141"/>
      <c r="J1206" s="114"/>
    </row>
    <row r="1207" spans="4:10" x14ac:dyDescent="0.3">
      <c r="D1207" s="141"/>
      <c r="J1207" s="114"/>
    </row>
    <row r="1208" spans="4:10" x14ac:dyDescent="0.3">
      <c r="D1208" s="141"/>
      <c r="J1208" s="114"/>
    </row>
    <row r="1209" spans="4:10" x14ac:dyDescent="0.3">
      <c r="D1209" s="141"/>
      <c r="J1209" s="114"/>
    </row>
    <row r="1210" spans="4:10" x14ac:dyDescent="0.3">
      <c r="D1210" s="141"/>
      <c r="J1210" s="114"/>
    </row>
    <row r="1211" spans="4:10" x14ac:dyDescent="0.3">
      <c r="D1211" s="141"/>
      <c r="J1211" s="114"/>
    </row>
    <row r="1212" spans="4:10" x14ac:dyDescent="0.3">
      <c r="D1212" s="141"/>
      <c r="J1212" s="114"/>
    </row>
    <row r="1213" spans="4:10" x14ac:dyDescent="0.3">
      <c r="D1213" s="141"/>
      <c r="J1213" s="114"/>
    </row>
    <row r="1214" spans="4:10" x14ac:dyDescent="0.3">
      <c r="D1214" s="141"/>
      <c r="J1214" s="114"/>
    </row>
    <row r="1215" spans="4:10" x14ac:dyDescent="0.3">
      <c r="D1215" s="141"/>
      <c r="J1215" s="114"/>
    </row>
    <row r="1216" spans="4:10" x14ac:dyDescent="0.3">
      <c r="D1216" s="141"/>
      <c r="J1216" s="114"/>
    </row>
    <row r="1217" spans="4:10" x14ac:dyDescent="0.3">
      <c r="D1217" s="141"/>
      <c r="J1217" s="114"/>
    </row>
    <row r="1218" spans="4:10" x14ac:dyDescent="0.3">
      <c r="D1218" s="141"/>
      <c r="J1218" s="114"/>
    </row>
    <row r="1219" spans="4:10" x14ac:dyDescent="0.3">
      <c r="D1219" s="141"/>
      <c r="J1219" s="114"/>
    </row>
    <row r="1220" spans="4:10" x14ac:dyDescent="0.3">
      <c r="D1220" s="141"/>
      <c r="J1220" s="114"/>
    </row>
    <row r="1221" spans="4:10" x14ac:dyDescent="0.3">
      <c r="D1221" s="141"/>
      <c r="J1221" s="114"/>
    </row>
    <row r="1222" spans="4:10" x14ac:dyDescent="0.3">
      <c r="D1222" s="141"/>
      <c r="J1222" s="114"/>
    </row>
    <row r="1223" spans="4:10" x14ac:dyDescent="0.3">
      <c r="D1223" s="141"/>
      <c r="J1223" s="114"/>
    </row>
    <row r="1224" spans="4:10" x14ac:dyDescent="0.3">
      <c r="D1224" s="141"/>
      <c r="J1224" s="114"/>
    </row>
    <row r="1225" spans="4:10" x14ac:dyDescent="0.3">
      <c r="D1225" s="141"/>
      <c r="J1225" s="114"/>
    </row>
    <row r="1226" spans="4:10" x14ac:dyDescent="0.3">
      <c r="D1226" s="141"/>
      <c r="J1226" s="114"/>
    </row>
    <row r="1227" spans="4:10" x14ac:dyDescent="0.3">
      <c r="D1227" s="141"/>
      <c r="J1227" s="114"/>
    </row>
    <row r="1228" spans="4:10" x14ac:dyDescent="0.3">
      <c r="D1228" s="141"/>
      <c r="J1228" s="114"/>
    </row>
    <row r="1229" spans="4:10" x14ac:dyDescent="0.3">
      <c r="D1229" s="141"/>
      <c r="J1229" s="114"/>
    </row>
    <row r="1230" spans="4:10" x14ac:dyDescent="0.3">
      <c r="D1230" s="141"/>
      <c r="J1230" s="114"/>
    </row>
    <row r="1231" spans="4:10" x14ac:dyDescent="0.3">
      <c r="D1231" s="141"/>
      <c r="J1231" s="114"/>
    </row>
    <row r="1232" spans="4:10" x14ac:dyDescent="0.3">
      <c r="D1232" s="141"/>
      <c r="J1232" s="114"/>
    </row>
    <row r="1233" spans="4:10" x14ac:dyDescent="0.3">
      <c r="D1233" s="141"/>
      <c r="J1233" s="114"/>
    </row>
    <row r="1234" spans="4:10" x14ac:dyDescent="0.3">
      <c r="D1234" s="141"/>
      <c r="J1234" s="114"/>
    </row>
    <row r="1235" spans="4:10" x14ac:dyDescent="0.3">
      <c r="D1235" s="141"/>
      <c r="J1235" s="114"/>
    </row>
    <row r="1236" spans="4:10" x14ac:dyDescent="0.3">
      <c r="D1236" s="141"/>
      <c r="J1236" s="114"/>
    </row>
    <row r="1237" spans="4:10" x14ac:dyDescent="0.3">
      <c r="D1237" s="141"/>
      <c r="J1237" s="114"/>
    </row>
    <row r="1238" spans="4:10" x14ac:dyDescent="0.3">
      <c r="D1238" s="141"/>
      <c r="J1238" s="114"/>
    </row>
    <row r="1239" spans="4:10" x14ac:dyDescent="0.3">
      <c r="D1239" s="141"/>
      <c r="J1239" s="114"/>
    </row>
    <row r="1240" spans="4:10" x14ac:dyDescent="0.3">
      <c r="D1240" s="141"/>
      <c r="J1240" s="114"/>
    </row>
    <row r="1241" spans="4:10" x14ac:dyDescent="0.3">
      <c r="D1241" s="141"/>
      <c r="J1241" s="114"/>
    </row>
    <row r="1242" spans="4:10" x14ac:dyDescent="0.3">
      <c r="D1242" s="141"/>
      <c r="J1242" s="114"/>
    </row>
    <row r="1243" spans="4:10" x14ac:dyDescent="0.3">
      <c r="D1243" s="141"/>
      <c r="J1243" s="114"/>
    </row>
    <row r="1244" spans="4:10" x14ac:dyDescent="0.3">
      <c r="D1244" s="141"/>
      <c r="J1244" s="114"/>
    </row>
    <row r="1245" spans="4:10" x14ac:dyDescent="0.3">
      <c r="D1245" s="141"/>
      <c r="J1245" s="114"/>
    </row>
    <row r="1246" spans="4:10" x14ac:dyDescent="0.3">
      <c r="D1246" s="141"/>
      <c r="J1246" s="114"/>
    </row>
    <row r="1247" spans="4:10" x14ac:dyDescent="0.3">
      <c r="D1247" s="141"/>
      <c r="J1247" s="114"/>
    </row>
    <row r="1248" spans="4:10" x14ac:dyDescent="0.3">
      <c r="D1248" s="141"/>
      <c r="J1248" s="114"/>
    </row>
    <row r="1249" spans="4:10" x14ac:dyDescent="0.3">
      <c r="D1249" s="141"/>
      <c r="J1249" s="114"/>
    </row>
    <row r="1250" spans="4:10" x14ac:dyDescent="0.3">
      <c r="D1250" s="141"/>
      <c r="J1250" s="114"/>
    </row>
    <row r="1251" spans="4:10" x14ac:dyDescent="0.3">
      <c r="D1251" s="141"/>
      <c r="J1251" s="114"/>
    </row>
    <row r="1252" spans="4:10" x14ac:dyDescent="0.3">
      <c r="D1252" s="141"/>
      <c r="J1252" s="114"/>
    </row>
    <row r="1253" spans="4:10" x14ac:dyDescent="0.3">
      <c r="D1253" s="141"/>
      <c r="J1253" s="114"/>
    </row>
    <row r="1254" spans="4:10" x14ac:dyDescent="0.3">
      <c r="D1254" s="141"/>
      <c r="J1254" s="114"/>
    </row>
    <row r="1255" spans="4:10" x14ac:dyDescent="0.3">
      <c r="D1255" s="141"/>
      <c r="J1255" s="114"/>
    </row>
    <row r="1256" spans="4:10" x14ac:dyDescent="0.3">
      <c r="D1256" s="141"/>
      <c r="J1256" s="114"/>
    </row>
    <row r="1257" spans="4:10" x14ac:dyDescent="0.3">
      <c r="D1257" s="141"/>
      <c r="J1257" s="114"/>
    </row>
    <row r="1258" spans="4:10" x14ac:dyDescent="0.3">
      <c r="D1258" s="141"/>
      <c r="J1258" s="114"/>
    </row>
    <row r="1259" spans="4:10" x14ac:dyDescent="0.3">
      <c r="D1259" s="141"/>
      <c r="J1259" s="114"/>
    </row>
    <row r="1260" spans="4:10" x14ac:dyDescent="0.3">
      <c r="D1260" s="141"/>
      <c r="J1260" s="114"/>
    </row>
    <row r="1261" spans="4:10" x14ac:dyDescent="0.3">
      <c r="D1261" s="141"/>
      <c r="J1261" s="114"/>
    </row>
    <row r="1262" spans="4:10" x14ac:dyDescent="0.3">
      <c r="D1262" s="141"/>
      <c r="J1262" s="114"/>
    </row>
    <row r="1263" spans="4:10" x14ac:dyDescent="0.3">
      <c r="D1263" s="141"/>
      <c r="J1263" s="114"/>
    </row>
    <row r="1264" spans="4:10" x14ac:dyDescent="0.3">
      <c r="D1264" s="141"/>
      <c r="J1264" s="114"/>
    </row>
    <row r="1265" spans="4:10" x14ac:dyDescent="0.3">
      <c r="D1265" s="141"/>
      <c r="J1265" s="114"/>
    </row>
    <row r="1266" spans="4:10" x14ac:dyDescent="0.3">
      <c r="D1266" s="141"/>
      <c r="J1266" s="114"/>
    </row>
    <row r="1267" spans="4:10" x14ac:dyDescent="0.3">
      <c r="D1267" s="141"/>
      <c r="J1267" s="114"/>
    </row>
    <row r="1268" spans="4:10" x14ac:dyDescent="0.3">
      <c r="D1268" s="141"/>
      <c r="J1268" s="114"/>
    </row>
    <row r="1269" spans="4:10" x14ac:dyDescent="0.3">
      <c r="D1269" s="141"/>
      <c r="J1269" s="114"/>
    </row>
    <row r="1270" spans="4:10" x14ac:dyDescent="0.3">
      <c r="D1270" s="141"/>
      <c r="J1270" s="114"/>
    </row>
    <row r="1271" spans="4:10" x14ac:dyDescent="0.3">
      <c r="D1271" s="141"/>
      <c r="J1271" s="114"/>
    </row>
    <row r="1272" spans="4:10" x14ac:dyDescent="0.3">
      <c r="D1272" s="141"/>
      <c r="J1272" s="114"/>
    </row>
    <row r="1273" spans="4:10" x14ac:dyDescent="0.3">
      <c r="D1273" s="141"/>
      <c r="J1273" s="114"/>
    </row>
    <row r="1274" spans="4:10" x14ac:dyDescent="0.3">
      <c r="D1274" s="141"/>
      <c r="J1274" s="114"/>
    </row>
    <row r="1275" spans="4:10" x14ac:dyDescent="0.3">
      <c r="D1275" s="141"/>
      <c r="J1275" s="114"/>
    </row>
    <row r="1276" spans="4:10" x14ac:dyDescent="0.3">
      <c r="D1276" s="141"/>
      <c r="J1276" s="114"/>
    </row>
    <row r="1277" spans="4:10" x14ac:dyDescent="0.3">
      <c r="D1277" s="141"/>
      <c r="J1277" s="114"/>
    </row>
    <row r="1278" spans="4:10" x14ac:dyDescent="0.3">
      <c r="D1278" s="141"/>
      <c r="J1278" s="114"/>
    </row>
    <row r="1279" spans="4:10" x14ac:dyDescent="0.3">
      <c r="D1279" s="141"/>
      <c r="J1279" s="114"/>
    </row>
    <row r="1280" spans="4:10" x14ac:dyDescent="0.3">
      <c r="D1280" s="141"/>
      <c r="J1280" s="114"/>
    </row>
    <row r="1281" spans="4:10" x14ac:dyDescent="0.3">
      <c r="D1281" s="141"/>
      <c r="J1281" s="114"/>
    </row>
    <row r="1282" spans="4:10" x14ac:dyDescent="0.3">
      <c r="D1282" s="141"/>
      <c r="J1282" s="114"/>
    </row>
    <row r="1283" spans="4:10" x14ac:dyDescent="0.3">
      <c r="D1283" s="141"/>
      <c r="J1283" s="114"/>
    </row>
    <row r="1284" spans="4:10" x14ac:dyDescent="0.3">
      <c r="D1284" s="141"/>
      <c r="J1284" s="114"/>
    </row>
    <row r="1285" spans="4:10" x14ac:dyDescent="0.3">
      <c r="D1285" s="141"/>
      <c r="J1285" s="114"/>
    </row>
    <row r="1286" spans="4:10" x14ac:dyDescent="0.3">
      <c r="D1286" s="141"/>
      <c r="J1286" s="114"/>
    </row>
    <row r="1287" spans="4:10" x14ac:dyDescent="0.3">
      <c r="D1287" s="141"/>
      <c r="J1287" s="114"/>
    </row>
    <row r="1288" spans="4:10" x14ac:dyDescent="0.3">
      <c r="D1288" s="141"/>
      <c r="J1288" s="114"/>
    </row>
    <row r="1289" spans="4:10" x14ac:dyDescent="0.3">
      <c r="D1289" s="141"/>
      <c r="J1289" s="114"/>
    </row>
    <row r="1290" spans="4:10" x14ac:dyDescent="0.3">
      <c r="D1290" s="141"/>
      <c r="J1290" s="114"/>
    </row>
    <row r="1291" spans="4:10" x14ac:dyDescent="0.3">
      <c r="D1291" s="141"/>
      <c r="J1291" s="114"/>
    </row>
    <row r="1292" spans="4:10" x14ac:dyDescent="0.3">
      <c r="D1292" s="141"/>
      <c r="J1292" s="114"/>
    </row>
    <row r="1293" spans="4:10" x14ac:dyDescent="0.3">
      <c r="D1293" s="141"/>
      <c r="J1293" s="114"/>
    </row>
    <row r="1294" spans="4:10" x14ac:dyDescent="0.3">
      <c r="D1294" s="141"/>
      <c r="J1294" s="114"/>
    </row>
    <row r="1295" spans="4:10" x14ac:dyDescent="0.3">
      <c r="D1295" s="141"/>
      <c r="J1295" s="114"/>
    </row>
    <row r="1296" spans="4:10" x14ac:dyDescent="0.3">
      <c r="D1296" s="141"/>
      <c r="J1296" s="114"/>
    </row>
    <row r="1297" spans="4:10" x14ac:dyDescent="0.3">
      <c r="D1297" s="141"/>
      <c r="J1297" s="114"/>
    </row>
    <row r="1298" spans="4:10" x14ac:dyDescent="0.3">
      <c r="D1298" s="141"/>
      <c r="J1298" s="114"/>
    </row>
    <row r="1299" spans="4:10" x14ac:dyDescent="0.3">
      <c r="D1299" s="141"/>
      <c r="J1299" s="114"/>
    </row>
    <row r="1300" spans="4:10" x14ac:dyDescent="0.3">
      <c r="D1300" s="141"/>
      <c r="J1300" s="114"/>
    </row>
    <row r="1301" spans="4:10" x14ac:dyDescent="0.3">
      <c r="D1301" s="141"/>
      <c r="J1301" s="114"/>
    </row>
    <row r="1302" spans="4:10" x14ac:dyDescent="0.3">
      <c r="D1302" s="141"/>
      <c r="J1302" s="114"/>
    </row>
    <row r="1303" spans="4:10" x14ac:dyDescent="0.3">
      <c r="D1303" s="141"/>
      <c r="J1303" s="114"/>
    </row>
    <row r="1304" spans="4:10" x14ac:dyDescent="0.3">
      <c r="D1304" s="141"/>
      <c r="J1304" s="114"/>
    </row>
    <row r="1305" spans="4:10" x14ac:dyDescent="0.3">
      <c r="D1305" s="141"/>
      <c r="J1305" s="114"/>
    </row>
    <row r="1306" spans="4:10" x14ac:dyDescent="0.3">
      <c r="D1306" s="141"/>
      <c r="J1306" s="114"/>
    </row>
    <row r="1307" spans="4:10" x14ac:dyDescent="0.3">
      <c r="D1307" s="141"/>
      <c r="J1307" s="114"/>
    </row>
    <row r="1308" spans="4:10" x14ac:dyDescent="0.3">
      <c r="D1308" s="141"/>
      <c r="J1308" s="114"/>
    </row>
    <row r="1309" spans="4:10" x14ac:dyDescent="0.3">
      <c r="D1309" s="141"/>
      <c r="J1309" s="114"/>
    </row>
    <row r="1310" spans="4:10" x14ac:dyDescent="0.3">
      <c r="D1310" s="141"/>
      <c r="J1310" s="114"/>
    </row>
    <row r="1311" spans="4:10" x14ac:dyDescent="0.3">
      <c r="D1311" s="141"/>
      <c r="J1311" s="114"/>
    </row>
    <row r="1312" spans="4:10" x14ac:dyDescent="0.3">
      <c r="D1312" s="141"/>
      <c r="J1312" s="114"/>
    </row>
    <row r="1313" spans="4:10" x14ac:dyDescent="0.3">
      <c r="D1313" s="141"/>
      <c r="J1313" s="114"/>
    </row>
    <row r="1314" spans="4:10" x14ac:dyDescent="0.3">
      <c r="D1314" s="141"/>
      <c r="J1314" s="114"/>
    </row>
    <row r="1315" spans="4:10" x14ac:dyDescent="0.3">
      <c r="D1315" s="141"/>
      <c r="J1315" s="114"/>
    </row>
    <row r="1316" spans="4:10" x14ac:dyDescent="0.3">
      <c r="D1316" s="141"/>
      <c r="J1316" s="114"/>
    </row>
    <row r="1317" spans="4:10" x14ac:dyDescent="0.3">
      <c r="D1317" s="141"/>
      <c r="J1317" s="114"/>
    </row>
    <row r="1318" spans="4:10" x14ac:dyDescent="0.3">
      <c r="D1318" s="141"/>
      <c r="J1318" s="114"/>
    </row>
    <row r="1319" spans="4:10" x14ac:dyDescent="0.3">
      <c r="D1319" s="141"/>
      <c r="J1319" s="114"/>
    </row>
    <row r="1320" spans="4:10" x14ac:dyDescent="0.3">
      <c r="D1320" s="141"/>
      <c r="J1320" s="114"/>
    </row>
    <row r="1321" spans="4:10" x14ac:dyDescent="0.3">
      <c r="D1321" s="141"/>
      <c r="J1321" s="114"/>
    </row>
    <row r="1322" spans="4:10" x14ac:dyDescent="0.3">
      <c r="D1322" s="141"/>
      <c r="J1322" s="114"/>
    </row>
    <row r="1323" spans="4:10" x14ac:dyDescent="0.3">
      <c r="D1323" s="141"/>
      <c r="J1323" s="114"/>
    </row>
    <row r="1324" spans="4:10" x14ac:dyDescent="0.3">
      <c r="D1324" s="141"/>
      <c r="J1324" s="114"/>
    </row>
    <row r="1325" spans="4:10" x14ac:dyDescent="0.3">
      <c r="D1325" s="141"/>
      <c r="J1325" s="114"/>
    </row>
    <row r="1326" spans="4:10" x14ac:dyDescent="0.3">
      <c r="D1326" s="141"/>
      <c r="J1326" s="114"/>
    </row>
    <row r="1327" spans="4:10" x14ac:dyDescent="0.3">
      <c r="D1327" s="141"/>
      <c r="J1327" s="114"/>
    </row>
    <row r="1328" spans="4:10" x14ac:dyDescent="0.3">
      <c r="D1328" s="141"/>
      <c r="J1328" s="114"/>
    </row>
    <row r="1329" spans="4:10" x14ac:dyDescent="0.3">
      <c r="D1329" s="141"/>
      <c r="J1329" s="114"/>
    </row>
    <row r="1330" spans="4:10" x14ac:dyDescent="0.3">
      <c r="D1330" s="141"/>
      <c r="J1330" s="114"/>
    </row>
    <row r="1331" spans="4:10" x14ac:dyDescent="0.3">
      <c r="D1331" s="141"/>
      <c r="J1331" s="114"/>
    </row>
    <row r="1332" spans="4:10" x14ac:dyDescent="0.3">
      <c r="D1332" s="141"/>
      <c r="J1332" s="114"/>
    </row>
    <row r="1333" spans="4:10" x14ac:dyDescent="0.3">
      <c r="D1333" s="141"/>
      <c r="J1333" s="114"/>
    </row>
    <row r="1334" spans="4:10" x14ac:dyDescent="0.3">
      <c r="D1334" s="141"/>
      <c r="J1334" s="114"/>
    </row>
    <row r="1335" spans="4:10" x14ac:dyDescent="0.3">
      <c r="D1335" s="141"/>
      <c r="J1335" s="114"/>
    </row>
    <row r="1336" spans="4:10" x14ac:dyDescent="0.3">
      <c r="D1336" s="141"/>
      <c r="J1336" s="114"/>
    </row>
    <row r="1337" spans="4:10" x14ac:dyDescent="0.3">
      <c r="D1337" s="141"/>
      <c r="J1337" s="114"/>
    </row>
    <row r="1338" spans="4:10" x14ac:dyDescent="0.3">
      <c r="D1338" s="141"/>
      <c r="J1338" s="114"/>
    </row>
    <row r="1339" spans="4:10" x14ac:dyDescent="0.3">
      <c r="D1339" s="141"/>
      <c r="J1339" s="114"/>
    </row>
    <row r="1340" spans="4:10" x14ac:dyDescent="0.3">
      <c r="D1340" s="141"/>
      <c r="J1340" s="114"/>
    </row>
    <row r="1341" spans="4:10" x14ac:dyDescent="0.3">
      <c r="D1341" s="141"/>
      <c r="J1341" s="114"/>
    </row>
    <row r="1342" spans="4:10" x14ac:dyDescent="0.3">
      <c r="D1342" s="141"/>
      <c r="J1342" s="114"/>
    </row>
    <row r="1343" spans="4:10" x14ac:dyDescent="0.3">
      <c r="D1343" s="141"/>
      <c r="J1343" s="114"/>
    </row>
    <row r="1344" spans="4:10" x14ac:dyDescent="0.3">
      <c r="D1344" s="141"/>
      <c r="J1344" s="114"/>
    </row>
    <row r="1345" spans="4:10" x14ac:dyDescent="0.3">
      <c r="D1345" s="141"/>
      <c r="J1345" s="114"/>
    </row>
    <row r="1346" spans="4:10" x14ac:dyDescent="0.3">
      <c r="D1346" s="141"/>
      <c r="J1346" s="114"/>
    </row>
    <row r="1347" spans="4:10" x14ac:dyDescent="0.3">
      <c r="D1347" s="141"/>
      <c r="J1347" s="114"/>
    </row>
    <row r="1348" spans="4:10" x14ac:dyDescent="0.3">
      <c r="D1348" s="141"/>
      <c r="J1348" s="114"/>
    </row>
    <row r="1349" spans="4:10" x14ac:dyDescent="0.3">
      <c r="D1349" s="141"/>
      <c r="J1349" s="114"/>
    </row>
    <row r="1350" spans="4:10" x14ac:dyDescent="0.3">
      <c r="D1350" s="141"/>
      <c r="J1350" s="114"/>
    </row>
    <row r="1351" spans="4:10" x14ac:dyDescent="0.3">
      <c r="D1351" s="141"/>
      <c r="J1351" s="114"/>
    </row>
    <row r="1352" spans="4:10" x14ac:dyDescent="0.3">
      <c r="D1352" s="141"/>
      <c r="J1352" s="114"/>
    </row>
    <row r="1353" spans="4:10" x14ac:dyDescent="0.3">
      <c r="D1353" s="141"/>
      <c r="J1353" s="114"/>
    </row>
    <row r="1354" spans="4:10" x14ac:dyDescent="0.3">
      <c r="D1354" s="141"/>
      <c r="J1354" s="114"/>
    </row>
    <row r="1355" spans="4:10" x14ac:dyDescent="0.3">
      <c r="D1355" s="141"/>
      <c r="J1355" s="114"/>
    </row>
    <row r="1356" spans="4:10" x14ac:dyDescent="0.3">
      <c r="D1356" s="141"/>
      <c r="J1356" s="114"/>
    </row>
    <row r="1357" spans="4:10" x14ac:dyDescent="0.3">
      <c r="D1357" s="141"/>
      <c r="J1357" s="114"/>
    </row>
    <row r="1358" spans="4:10" x14ac:dyDescent="0.3">
      <c r="D1358" s="141"/>
      <c r="J1358" s="114"/>
    </row>
    <row r="1359" spans="4:10" x14ac:dyDescent="0.3">
      <c r="D1359" s="141"/>
      <c r="J1359" s="114"/>
    </row>
    <row r="1360" spans="4:10" x14ac:dyDescent="0.3">
      <c r="D1360" s="141"/>
      <c r="J1360" s="114"/>
    </row>
    <row r="1361" spans="4:10" x14ac:dyDescent="0.3">
      <c r="D1361" s="141"/>
      <c r="J1361" s="114"/>
    </row>
    <row r="1362" spans="4:10" x14ac:dyDescent="0.3">
      <c r="D1362" s="141"/>
      <c r="J1362" s="114"/>
    </row>
    <row r="1363" spans="4:10" x14ac:dyDescent="0.3">
      <c r="D1363" s="141"/>
      <c r="J1363" s="114"/>
    </row>
    <row r="1364" spans="4:10" x14ac:dyDescent="0.3">
      <c r="D1364" s="141"/>
      <c r="J1364" s="114"/>
    </row>
    <row r="1365" spans="4:10" x14ac:dyDescent="0.3">
      <c r="D1365" s="141"/>
      <c r="J1365" s="114"/>
    </row>
    <row r="1366" spans="4:10" x14ac:dyDescent="0.3">
      <c r="D1366" s="141"/>
      <c r="J1366" s="114"/>
    </row>
    <row r="1367" spans="4:10" x14ac:dyDescent="0.3">
      <c r="D1367" s="141"/>
      <c r="J1367" s="114"/>
    </row>
    <row r="1368" spans="4:10" x14ac:dyDescent="0.3">
      <c r="D1368" s="141"/>
      <c r="J1368" s="114"/>
    </row>
    <row r="1369" spans="4:10" x14ac:dyDescent="0.3">
      <c r="D1369" s="141"/>
      <c r="J1369" s="114"/>
    </row>
    <row r="1370" spans="4:10" x14ac:dyDescent="0.3">
      <c r="D1370" s="141"/>
      <c r="J1370" s="114"/>
    </row>
    <row r="1371" spans="4:10" x14ac:dyDescent="0.3">
      <c r="D1371" s="141"/>
      <c r="J1371" s="114"/>
    </row>
    <row r="1372" spans="4:10" x14ac:dyDescent="0.3">
      <c r="D1372" s="141"/>
      <c r="J1372" s="114"/>
    </row>
    <row r="1373" spans="4:10" x14ac:dyDescent="0.3">
      <c r="D1373" s="141"/>
      <c r="J1373" s="114"/>
    </row>
    <row r="1374" spans="4:10" x14ac:dyDescent="0.3">
      <c r="D1374" s="141"/>
      <c r="J1374" s="114"/>
    </row>
    <row r="1375" spans="4:10" x14ac:dyDescent="0.3">
      <c r="D1375" s="141"/>
      <c r="J1375" s="114"/>
    </row>
    <row r="1376" spans="4:10" x14ac:dyDescent="0.3">
      <c r="D1376" s="141"/>
      <c r="J1376" s="114"/>
    </row>
    <row r="1377" spans="4:10" x14ac:dyDescent="0.3">
      <c r="D1377" s="141"/>
      <c r="J1377" s="114"/>
    </row>
    <row r="1378" spans="4:10" x14ac:dyDescent="0.3">
      <c r="D1378" s="141"/>
      <c r="J1378" s="114"/>
    </row>
    <row r="1379" spans="4:10" x14ac:dyDescent="0.3">
      <c r="D1379" s="141"/>
      <c r="J1379" s="114"/>
    </row>
    <row r="1380" spans="4:10" x14ac:dyDescent="0.3">
      <c r="D1380" s="141"/>
      <c r="J1380" s="114"/>
    </row>
    <row r="1381" spans="4:10" x14ac:dyDescent="0.3">
      <c r="D1381" s="141"/>
      <c r="J1381" s="114"/>
    </row>
    <row r="1382" spans="4:10" x14ac:dyDescent="0.3">
      <c r="D1382" s="141"/>
      <c r="J1382" s="114"/>
    </row>
    <row r="1383" spans="4:10" x14ac:dyDescent="0.3">
      <c r="D1383" s="141"/>
      <c r="J1383" s="114"/>
    </row>
    <row r="1384" spans="4:10" x14ac:dyDescent="0.3">
      <c r="D1384" s="141"/>
      <c r="J1384" s="114"/>
    </row>
    <row r="1385" spans="4:10" x14ac:dyDescent="0.3">
      <c r="D1385" s="141"/>
      <c r="J1385" s="114"/>
    </row>
    <row r="1386" spans="4:10" x14ac:dyDescent="0.3">
      <c r="D1386" s="141"/>
      <c r="J1386" s="114"/>
    </row>
    <row r="1387" spans="4:10" x14ac:dyDescent="0.3">
      <c r="D1387" s="141"/>
      <c r="J1387" s="114"/>
    </row>
    <row r="1388" spans="4:10" x14ac:dyDescent="0.3">
      <c r="D1388" s="141"/>
      <c r="J1388" s="114"/>
    </row>
    <row r="1389" spans="4:10" x14ac:dyDescent="0.3">
      <c r="D1389" s="141"/>
      <c r="J1389" s="114"/>
    </row>
    <row r="1390" spans="4:10" x14ac:dyDescent="0.3">
      <c r="D1390" s="141"/>
      <c r="J1390" s="114"/>
    </row>
    <row r="1391" spans="4:10" x14ac:dyDescent="0.3">
      <c r="D1391" s="141"/>
      <c r="J1391" s="114"/>
    </row>
    <row r="1392" spans="4:10" x14ac:dyDescent="0.3">
      <c r="D1392" s="141"/>
      <c r="J1392" s="114"/>
    </row>
    <row r="1393" spans="4:10" x14ac:dyDescent="0.3">
      <c r="D1393" s="141"/>
      <c r="J1393" s="114"/>
    </row>
    <row r="1394" spans="4:10" x14ac:dyDescent="0.3">
      <c r="D1394" s="141"/>
      <c r="J1394" s="114"/>
    </row>
    <row r="1395" spans="4:10" x14ac:dyDescent="0.3">
      <c r="D1395" s="141"/>
      <c r="J1395" s="114"/>
    </row>
    <row r="1396" spans="4:10" x14ac:dyDescent="0.3">
      <c r="D1396" s="141"/>
      <c r="J1396" s="114"/>
    </row>
    <row r="1397" spans="4:10" x14ac:dyDescent="0.3">
      <c r="D1397" s="141"/>
      <c r="J1397" s="114"/>
    </row>
    <row r="1398" spans="4:10" x14ac:dyDescent="0.3">
      <c r="D1398" s="141"/>
      <c r="J1398" s="114"/>
    </row>
    <row r="1399" spans="4:10" x14ac:dyDescent="0.3">
      <c r="D1399" s="141"/>
      <c r="J1399" s="114"/>
    </row>
    <row r="1400" spans="4:10" x14ac:dyDescent="0.3">
      <c r="D1400" s="141"/>
      <c r="J1400" s="114"/>
    </row>
    <row r="1401" spans="4:10" x14ac:dyDescent="0.3">
      <c r="D1401" s="141"/>
      <c r="J1401" s="114"/>
    </row>
    <row r="1402" spans="4:10" x14ac:dyDescent="0.3">
      <c r="D1402" s="141"/>
      <c r="J1402" s="114"/>
    </row>
    <row r="1403" spans="4:10" x14ac:dyDescent="0.3">
      <c r="D1403" s="141"/>
      <c r="J1403" s="114"/>
    </row>
    <row r="1404" spans="4:10" x14ac:dyDescent="0.3">
      <c r="D1404" s="141"/>
      <c r="J1404" s="114"/>
    </row>
    <row r="1405" spans="4:10" x14ac:dyDescent="0.3">
      <c r="D1405" s="141"/>
      <c r="J1405" s="114"/>
    </row>
    <row r="1406" spans="4:10" x14ac:dyDescent="0.3">
      <c r="D1406" s="141"/>
      <c r="J1406" s="114"/>
    </row>
    <row r="1407" spans="4:10" x14ac:dyDescent="0.3">
      <c r="D1407" s="141"/>
      <c r="J1407" s="114"/>
    </row>
    <row r="1408" spans="4:10" x14ac:dyDescent="0.3">
      <c r="D1408" s="141"/>
      <c r="J1408" s="114"/>
    </row>
    <row r="1409" spans="4:10" x14ac:dyDescent="0.3">
      <c r="D1409" s="141"/>
      <c r="J1409" s="114"/>
    </row>
    <row r="1410" spans="4:10" x14ac:dyDescent="0.3">
      <c r="D1410" s="141"/>
      <c r="J1410" s="114"/>
    </row>
    <row r="1411" spans="4:10" x14ac:dyDescent="0.3">
      <c r="D1411" s="141"/>
      <c r="J1411" s="114"/>
    </row>
    <row r="1412" spans="4:10" x14ac:dyDescent="0.3">
      <c r="D1412" s="141"/>
      <c r="J1412" s="114"/>
    </row>
    <row r="1413" spans="4:10" x14ac:dyDescent="0.3">
      <c r="D1413" s="141"/>
      <c r="J1413" s="114"/>
    </row>
    <row r="1414" spans="4:10" x14ac:dyDescent="0.3">
      <c r="D1414" s="141"/>
      <c r="J1414" s="114"/>
    </row>
    <row r="1415" spans="4:10" x14ac:dyDescent="0.3">
      <c r="D1415" s="141"/>
      <c r="J1415" s="114"/>
    </row>
    <row r="1416" spans="4:10" x14ac:dyDescent="0.3">
      <c r="D1416" s="141"/>
      <c r="J1416" s="114"/>
    </row>
    <row r="1417" spans="4:10" x14ac:dyDescent="0.3">
      <c r="D1417" s="141"/>
      <c r="J1417" s="114"/>
    </row>
    <row r="1418" spans="4:10" x14ac:dyDescent="0.3">
      <c r="D1418" s="141"/>
      <c r="J1418" s="114"/>
    </row>
    <row r="1419" spans="4:10" x14ac:dyDescent="0.3">
      <c r="D1419" s="141"/>
      <c r="J1419" s="114"/>
    </row>
    <row r="1420" spans="4:10" x14ac:dyDescent="0.3">
      <c r="D1420" s="141"/>
      <c r="J1420" s="114"/>
    </row>
    <row r="1421" spans="4:10" x14ac:dyDescent="0.3">
      <c r="D1421" s="141"/>
      <c r="J1421" s="114"/>
    </row>
    <row r="1422" spans="4:10" x14ac:dyDescent="0.3">
      <c r="D1422" s="141"/>
      <c r="J1422" s="114"/>
    </row>
    <row r="1423" spans="4:10" x14ac:dyDescent="0.3">
      <c r="D1423" s="141"/>
      <c r="J1423" s="114"/>
    </row>
    <row r="1424" spans="4:10" x14ac:dyDescent="0.3">
      <c r="D1424" s="141"/>
      <c r="J1424" s="114"/>
    </row>
    <row r="1425" spans="4:10" x14ac:dyDescent="0.3">
      <c r="D1425" s="141"/>
      <c r="J1425" s="114"/>
    </row>
    <row r="1426" spans="4:10" x14ac:dyDescent="0.3">
      <c r="D1426" s="141"/>
      <c r="J1426" s="114"/>
    </row>
    <row r="1427" spans="4:10" x14ac:dyDescent="0.3">
      <c r="D1427" s="141"/>
      <c r="J1427" s="114"/>
    </row>
    <row r="1428" spans="4:10" x14ac:dyDescent="0.3">
      <c r="D1428" s="141"/>
      <c r="J1428" s="114"/>
    </row>
    <row r="1429" spans="4:10" x14ac:dyDescent="0.3">
      <c r="D1429" s="141"/>
      <c r="J1429" s="114"/>
    </row>
    <row r="1430" spans="4:10" x14ac:dyDescent="0.3">
      <c r="D1430" s="141"/>
      <c r="J1430" s="114"/>
    </row>
    <row r="1431" spans="4:10" x14ac:dyDescent="0.3">
      <c r="D1431" s="141"/>
      <c r="J1431" s="114"/>
    </row>
    <row r="1432" spans="4:10" x14ac:dyDescent="0.3">
      <c r="D1432" s="141"/>
      <c r="J1432" s="114"/>
    </row>
    <row r="1433" spans="4:10" x14ac:dyDescent="0.3">
      <c r="D1433" s="141"/>
      <c r="J1433" s="114"/>
    </row>
    <row r="1434" spans="4:10" x14ac:dyDescent="0.3">
      <c r="D1434" s="141"/>
      <c r="J1434" s="114"/>
    </row>
    <row r="1435" spans="4:10" x14ac:dyDescent="0.3">
      <c r="D1435" s="141"/>
      <c r="J1435" s="114"/>
    </row>
    <row r="1436" spans="4:10" x14ac:dyDescent="0.3">
      <c r="D1436" s="141"/>
      <c r="J1436" s="114"/>
    </row>
    <row r="1437" spans="4:10" x14ac:dyDescent="0.3">
      <c r="D1437" s="141"/>
      <c r="J1437" s="114"/>
    </row>
    <row r="1438" spans="4:10" x14ac:dyDescent="0.3">
      <c r="D1438" s="141"/>
      <c r="J1438" s="114"/>
    </row>
    <row r="1439" spans="4:10" x14ac:dyDescent="0.3">
      <c r="D1439" s="141"/>
      <c r="J1439" s="114"/>
    </row>
    <row r="1440" spans="4:10" x14ac:dyDescent="0.3">
      <c r="D1440" s="141"/>
      <c r="J1440" s="114"/>
    </row>
    <row r="1441" spans="4:10" x14ac:dyDescent="0.3">
      <c r="D1441" s="141"/>
      <c r="J1441" s="114"/>
    </row>
    <row r="1442" spans="4:10" x14ac:dyDescent="0.3">
      <c r="D1442" s="141"/>
      <c r="J1442" s="114"/>
    </row>
    <row r="1443" spans="4:10" x14ac:dyDescent="0.3">
      <c r="D1443" s="141"/>
      <c r="J1443" s="114"/>
    </row>
    <row r="1444" spans="4:10" x14ac:dyDescent="0.3">
      <c r="D1444" s="141"/>
      <c r="J1444" s="114"/>
    </row>
    <row r="1445" spans="4:10" x14ac:dyDescent="0.3">
      <c r="D1445" s="141"/>
      <c r="J1445" s="114"/>
    </row>
    <row r="1446" spans="4:10" x14ac:dyDescent="0.3">
      <c r="D1446" s="141"/>
      <c r="J1446" s="114"/>
    </row>
    <row r="1447" spans="4:10" x14ac:dyDescent="0.3">
      <c r="D1447" s="141"/>
      <c r="J1447" s="114"/>
    </row>
    <row r="1448" spans="4:10" x14ac:dyDescent="0.3">
      <c r="D1448" s="141"/>
      <c r="J1448" s="114"/>
    </row>
    <row r="1449" spans="4:10" x14ac:dyDescent="0.3">
      <c r="D1449" s="141"/>
      <c r="J1449" s="114"/>
    </row>
    <row r="1450" spans="4:10" x14ac:dyDescent="0.3">
      <c r="D1450" s="141"/>
      <c r="J1450" s="114"/>
    </row>
    <row r="1451" spans="4:10" x14ac:dyDescent="0.3">
      <c r="D1451" s="141"/>
      <c r="J1451" s="114"/>
    </row>
    <row r="1452" spans="4:10" x14ac:dyDescent="0.3">
      <c r="D1452" s="141"/>
      <c r="J1452" s="114"/>
    </row>
    <row r="1453" spans="4:10" x14ac:dyDescent="0.3">
      <c r="D1453" s="141"/>
      <c r="J1453" s="114"/>
    </row>
    <row r="1454" spans="4:10" x14ac:dyDescent="0.3">
      <c r="D1454" s="141"/>
      <c r="J1454" s="114"/>
    </row>
    <row r="1455" spans="4:10" x14ac:dyDescent="0.3">
      <c r="D1455" s="141"/>
      <c r="J1455" s="114"/>
    </row>
    <row r="1456" spans="4:10" x14ac:dyDescent="0.3">
      <c r="D1456" s="141"/>
      <c r="J1456" s="114"/>
    </row>
    <row r="1457" spans="4:10" x14ac:dyDescent="0.3">
      <c r="D1457" s="141"/>
      <c r="J1457" s="114"/>
    </row>
    <row r="1458" spans="4:10" x14ac:dyDescent="0.3">
      <c r="D1458" s="141"/>
      <c r="J1458" s="114"/>
    </row>
    <row r="1459" spans="4:10" x14ac:dyDescent="0.3">
      <c r="D1459" s="141"/>
      <c r="J1459" s="114"/>
    </row>
    <row r="1460" spans="4:10" x14ac:dyDescent="0.3">
      <c r="D1460" s="141"/>
      <c r="J1460" s="114"/>
    </row>
    <row r="1461" spans="4:10" x14ac:dyDescent="0.3">
      <c r="D1461" s="141"/>
      <c r="J1461" s="114"/>
    </row>
    <row r="1462" spans="4:10" x14ac:dyDescent="0.3">
      <c r="D1462" s="141"/>
      <c r="J1462" s="114"/>
    </row>
    <row r="1463" spans="4:10" x14ac:dyDescent="0.3">
      <c r="D1463" s="141"/>
      <c r="J1463" s="114"/>
    </row>
    <row r="1464" spans="4:10" x14ac:dyDescent="0.3">
      <c r="D1464" s="141"/>
      <c r="J1464" s="114"/>
    </row>
    <row r="1465" spans="4:10" x14ac:dyDescent="0.3">
      <c r="D1465" s="141"/>
      <c r="J1465" s="114"/>
    </row>
    <row r="1466" spans="4:10" x14ac:dyDescent="0.3">
      <c r="D1466" s="141"/>
      <c r="J1466" s="114"/>
    </row>
    <row r="1467" spans="4:10" x14ac:dyDescent="0.3">
      <c r="D1467" s="141"/>
      <c r="J1467" s="114"/>
    </row>
    <row r="1468" spans="4:10" x14ac:dyDescent="0.3">
      <c r="D1468" s="141"/>
      <c r="J1468" s="114"/>
    </row>
    <row r="1469" spans="4:10" x14ac:dyDescent="0.3">
      <c r="D1469" s="141"/>
      <c r="J1469" s="114"/>
    </row>
    <row r="1470" spans="4:10" x14ac:dyDescent="0.3">
      <c r="D1470" s="141"/>
      <c r="J1470" s="114"/>
    </row>
    <row r="1471" spans="4:10" x14ac:dyDescent="0.3">
      <c r="D1471" s="141"/>
      <c r="J1471" s="114"/>
    </row>
    <row r="1472" spans="4:10" x14ac:dyDescent="0.3">
      <c r="D1472" s="141"/>
      <c r="J1472" s="114"/>
    </row>
    <row r="1473" spans="4:10" x14ac:dyDescent="0.3">
      <c r="D1473" s="141"/>
      <c r="J1473" s="114"/>
    </row>
    <row r="1474" spans="4:10" x14ac:dyDescent="0.3">
      <c r="D1474" s="141"/>
      <c r="J1474" s="114"/>
    </row>
    <row r="1475" spans="4:10" x14ac:dyDescent="0.3">
      <c r="D1475" s="141"/>
      <c r="J1475" s="114"/>
    </row>
    <row r="1476" spans="4:10" x14ac:dyDescent="0.3">
      <c r="D1476" s="141"/>
      <c r="J1476" s="114"/>
    </row>
    <row r="1477" spans="4:10" x14ac:dyDescent="0.3">
      <c r="D1477" s="40"/>
      <c r="J1477" s="134"/>
    </row>
    <row r="1478" spans="4:10" x14ac:dyDescent="0.3">
      <c r="D1478" s="40"/>
      <c r="J1478" s="134"/>
    </row>
    <row r="1479" spans="4:10" x14ac:dyDescent="0.3">
      <c r="D1479" s="40"/>
      <c r="J1479" s="134"/>
    </row>
    <row r="1480" spans="4:10" x14ac:dyDescent="0.3">
      <c r="D1480" s="40"/>
      <c r="J1480" s="134"/>
    </row>
    <row r="1481" spans="4:10" x14ac:dyDescent="0.3">
      <c r="D1481" s="40"/>
      <c r="J1481" s="134"/>
    </row>
    <row r="1482" spans="4:10" x14ac:dyDescent="0.3">
      <c r="D1482" s="40"/>
      <c r="J1482" s="134"/>
    </row>
    <row r="1483" spans="4:10" x14ac:dyDescent="0.3">
      <c r="D1483" s="40"/>
      <c r="J1483" s="134"/>
    </row>
    <row r="1484" spans="4:10" x14ac:dyDescent="0.3">
      <c r="D1484" s="40"/>
      <c r="J1484" s="134"/>
    </row>
    <row r="1485" spans="4:10" x14ac:dyDescent="0.3">
      <c r="D1485" s="40"/>
      <c r="J1485" s="134"/>
    </row>
    <row r="1486" spans="4:10" x14ac:dyDescent="0.3">
      <c r="D1486" s="40"/>
      <c r="J1486" s="134"/>
    </row>
    <row r="1487" spans="4:10" x14ac:dyDescent="0.3">
      <c r="D1487" s="40"/>
      <c r="J1487" s="134"/>
    </row>
    <row r="1488" spans="4:10" x14ac:dyDescent="0.3">
      <c r="D1488" s="40"/>
      <c r="J1488" s="134"/>
    </row>
    <row r="1489" spans="4:10" x14ac:dyDescent="0.3">
      <c r="D1489" s="40"/>
      <c r="J1489" s="134"/>
    </row>
    <row r="1490" spans="4:10" x14ac:dyDescent="0.3">
      <c r="D1490" s="40"/>
      <c r="J1490" s="134"/>
    </row>
    <row r="1491" spans="4:10" x14ac:dyDescent="0.3">
      <c r="D1491" s="40"/>
      <c r="J1491" s="134"/>
    </row>
    <row r="1492" spans="4:10" x14ac:dyDescent="0.3">
      <c r="D1492" s="40"/>
      <c r="J1492" s="134"/>
    </row>
    <row r="1493" spans="4:10" x14ac:dyDescent="0.3">
      <c r="D1493" s="40"/>
      <c r="J1493" s="134"/>
    </row>
    <row r="1494" spans="4:10" x14ac:dyDescent="0.3">
      <c r="D1494" s="40"/>
      <c r="J1494" s="134"/>
    </row>
    <row r="1495" spans="4:10" x14ac:dyDescent="0.3">
      <c r="D1495" s="40"/>
      <c r="J1495" s="134"/>
    </row>
    <row r="1496" spans="4:10" x14ac:dyDescent="0.3">
      <c r="D1496" s="40"/>
      <c r="J1496" s="134"/>
    </row>
    <row r="1497" spans="4:10" x14ac:dyDescent="0.3">
      <c r="D1497" s="40"/>
      <c r="J1497" s="134"/>
    </row>
    <row r="1498" spans="4:10" x14ac:dyDescent="0.3">
      <c r="D1498" s="40"/>
      <c r="J1498" s="134"/>
    </row>
    <row r="1499" spans="4:10" x14ac:dyDescent="0.3">
      <c r="D1499" s="40"/>
      <c r="J1499" s="134"/>
    </row>
    <row r="1500" spans="4:10" x14ac:dyDescent="0.3">
      <c r="D1500" s="40"/>
      <c r="J1500" s="134"/>
    </row>
    <row r="1501" spans="4:10" x14ac:dyDescent="0.3">
      <c r="D1501" s="40"/>
      <c r="J1501" s="134"/>
    </row>
    <row r="1502" spans="4:10" x14ac:dyDescent="0.3">
      <c r="D1502" s="40"/>
      <c r="J1502" s="134"/>
    </row>
    <row r="1503" spans="4:10" x14ac:dyDescent="0.3">
      <c r="D1503" s="40"/>
      <c r="J1503" s="134"/>
    </row>
    <row r="1504" spans="4:10" x14ac:dyDescent="0.3">
      <c r="D1504" s="40"/>
      <c r="J1504" s="134"/>
    </row>
    <row r="1505" spans="4:10" x14ac:dyDescent="0.3">
      <c r="D1505" s="40"/>
      <c r="J1505" s="134"/>
    </row>
    <row r="1506" spans="4:10" x14ac:dyDescent="0.3">
      <c r="D1506" s="40"/>
      <c r="J1506" s="134"/>
    </row>
    <row r="1507" spans="4:10" x14ac:dyDescent="0.3">
      <c r="D1507" s="40"/>
      <c r="J1507" s="134"/>
    </row>
    <row r="1508" spans="4:10" x14ac:dyDescent="0.3">
      <c r="D1508" s="40"/>
      <c r="J1508" s="134"/>
    </row>
    <row r="1509" spans="4:10" x14ac:dyDescent="0.3">
      <c r="D1509" s="40"/>
      <c r="J1509" s="134"/>
    </row>
    <row r="1510" spans="4:10" x14ac:dyDescent="0.3">
      <c r="D1510" s="40"/>
      <c r="J1510" s="134"/>
    </row>
    <row r="1511" spans="4:10" x14ac:dyDescent="0.3">
      <c r="D1511" s="40"/>
      <c r="J1511" s="134"/>
    </row>
    <row r="1512" spans="4:10" x14ac:dyDescent="0.3">
      <c r="D1512" s="40"/>
      <c r="J1512" s="134"/>
    </row>
    <row r="1513" spans="4:10" x14ac:dyDescent="0.3">
      <c r="D1513" s="40"/>
      <c r="J1513" s="134"/>
    </row>
    <row r="1514" spans="4:10" x14ac:dyDescent="0.3">
      <c r="D1514" s="40"/>
      <c r="J1514" s="134"/>
    </row>
    <row r="1515" spans="4:10" x14ac:dyDescent="0.3">
      <c r="D1515" s="40"/>
      <c r="J1515" s="134"/>
    </row>
    <row r="1516" spans="4:10" x14ac:dyDescent="0.3">
      <c r="D1516" s="40"/>
      <c r="J1516" s="134"/>
    </row>
    <row r="1517" spans="4:10" x14ac:dyDescent="0.3">
      <c r="D1517" s="40"/>
      <c r="J1517" s="134"/>
    </row>
    <row r="1518" spans="4:10" x14ac:dyDescent="0.3">
      <c r="D1518" s="40"/>
      <c r="J1518" s="134"/>
    </row>
    <row r="1519" spans="4:10" x14ac:dyDescent="0.3">
      <c r="D1519" s="40"/>
      <c r="J1519" s="134"/>
    </row>
    <row r="1520" spans="4:10" x14ac:dyDescent="0.3">
      <c r="D1520" s="40"/>
      <c r="J1520" s="134"/>
    </row>
    <row r="1521" spans="4:10" x14ac:dyDescent="0.3">
      <c r="D1521" s="40"/>
      <c r="J1521" s="134"/>
    </row>
    <row r="1522" spans="4:10" x14ac:dyDescent="0.3">
      <c r="D1522" s="40"/>
      <c r="J1522" s="134"/>
    </row>
    <row r="1523" spans="4:10" x14ac:dyDescent="0.3">
      <c r="D1523" s="40"/>
      <c r="J1523" s="134"/>
    </row>
    <row r="1524" spans="4:10" x14ac:dyDescent="0.3">
      <c r="D1524" s="40"/>
      <c r="J1524" s="134"/>
    </row>
    <row r="1525" spans="4:10" x14ac:dyDescent="0.3">
      <c r="D1525" s="40"/>
      <c r="J1525" s="134"/>
    </row>
    <row r="1526" spans="4:10" x14ac:dyDescent="0.3">
      <c r="D1526" s="40"/>
      <c r="J1526" s="134"/>
    </row>
    <row r="1527" spans="4:10" x14ac:dyDescent="0.3">
      <c r="D1527" s="40"/>
      <c r="J1527" s="134"/>
    </row>
    <row r="1528" spans="4:10" x14ac:dyDescent="0.3">
      <c r="D1528" s="40"/>
      <c r="J1528" s="134"/>
    </row>
    <row r="1529" spans="4:10" x14ac:dyDescent="0.3">
      <c r="D1529" s="40"/>
      <c r="J1529" s="134"/>
    </row>
    <row r="1530" spans="4:10" x14ac:dyDescent="0.3">
      <c r="D1530" s="40"/>
      <c r="J1530" s="134"/>
    </row>
    <row r="1531" spans="4:10" x14ac:dyDescent="0.3">
      <c r="D1531" s="40"/>
      <c r="J1531" s="134"/>
    </row>
    <row r="1532" spans="4:10" x14ac:dyDescent="0.3">
      <c r="D1532" s="40"/>
      <c r="J1532" s="134"/>
    </row>
    <row r="1533" spans="4:10" x14ac:dyDescent="0.3">
      <c r="D1533" s="40"/>
      <c r="J1533" s="134"/>
    </row>
    <row r="1534" spans="4:10" x14ac:dyDescent="0.3">
      <c r="D1534" s="40"/>
      <c r="J1534" s="134"/>
    </row>
    <row r="1535" spans="4:10" x14ac:dyDescent="0.3">
      <c r="D1535" s="40"/>
      <c r="J1535" s="134"/>
    </row>
    <row r="1536" spans="4:10" x14ac:dyDescent="0.3">
      <c r="D1536" s="40"/>
      <c r="J1536" s="134"/>
    </row>
    <row r="1537" spans="4:10" x14ac:dyDescent="0.3">
      <c r="D1537" s="40"/>
      <c r="J1537" s="134"/>
    </row>
    <row r="1538" spans="4:10" x14ac:dyDescent="0.3">
      <c r="D1538" s="40"/>
      <c r="J1538" s="134"/>
    </row>
    <row r="1539" spans="4:10" x14ac:dyDescent="0.3">
      <c r="D1539" s="40"/>
      <c r="J1539" s="134"/>
    </row>
    <row r="1540" spans="4:10" x14ac:dyDescent="0.3">
      <c r="D1540" s="40"/>
      <c r="J1540" s="134"/>
    </row>
    <row r="1541" spans="4:10" x14ac:dyDescent="0.3">
      <c r="D1541" s="40"/>
      <c r="J1541" s="134"/>
    </row>
    <row r="1542" spans="4:10" x14ac:dyDescent="0.3">
      <c r="D1542" s="40"/>
      <c r="J1542" s="134"/>
    </row>
    <row r="1543" spans="4:10" x14ac:dyDescent="0.3">
      <c r="D1543" s="40"/>
      <c r="J1543" s="134"/>
    </row>
    <row r="1544" spans="4:10" x14ac:dyDescent="0.3">
      <c r="D1544" s="40"/>
      <c r="J1544" s="134"/>
    </row>
    <row r="1545" spans="4:10" x14ac:dyDescent="0.3">
      <c r="D1545" s="40"/>
      <c r="J1545" s="134"/>
    </row>
    <row r="1546" spans="4:10" x14ac:dyDescent="0.3">
      <c r="D1546" s="40"/>
      <c r="J1546" s="134"/>
    </row>
    <row r="1547" spans="4:10" x14ac:dyDescent="0.3">
      <c r="D1547" s="40"/>
      <c r="J1547" s="134"/>
    </row>
    <row r="1548" spans="4:10" x14ac:dyDescent="0.3">
      <c r="D1548" s="40"/>
      <c r="J1548" s="134"/>
    </row>
    <row r="1549" spans="4:10" x14ac:dyDescent="0.3">
      <c r="D1549" s="40"/>
      <c r="J1549" s="134"/>
    </row>
    <row r="1550" spans="4:10" x14ac:dyDescent="0.3">
      <c r="D1550" s="40"/>
      <c r="J1550" s="134"/>
    </row>
    <row r="1551" spans="4:10" x14ac:dyDescent="0.3">
      <c r="D1551" s="40"/>
      <c r="J1551" s="134"/>
    </row>
    <row r="1552" spans="4:10" x14ac:dyDescent="0.3">
      <c r="D1552" s="40"/>
      <c r="J1552" s="134"/>
    </row>
    <row r="1553" spans="4:10" x14ac:dyDescent="0.3">
      <c r="D1553" s="40"/>
      <c r="J1553" s="134"/>
    </row>
    <row r="1554" spans="4:10" x14ac:dyDescent="0.3">
      <c r="D1554" s="40"/>
      <c r="J1554" s="134"/>
    </row>
    <row r="1555" spans="4:10" x14ac:dyDescent="0.3">
      <c r="D1555" s="40"/>
      <c r="J1555" s="134"/>
    </row>
    <row r="1556" spans="4:10" x14ac:dyDescent="0.3">
      <c r="D1556" s="40"/>
      <c r="J1556" s="134"/>
    </row>
    <row r="1557" spans="4:10" x14ac:dyDescent="0.3">
      <c r="D1557" s="40"/>
      <c r="J1557" s="134"/>
    </row>
    <row r="1558" spans="4:10" x14ac:dyDescent="0.3">
      <c r="D1558" s="40"/>
      <c r="J1558" s="134"/>
    </row>
    <row r="1559" spans="4:10" x14ac:dyDescent="0.3">
      <c r="D1559" s="40"/>
      <c r="J1559" s="134"/>
    </row>
    <row r="1560" spans="4:10" x14ac:dyDescent="0.3">
      <c r="D1560" s="40"/>
      <c r="J1560" s="134"/>
    </row>
    <row r="1561" spans="4:10" x14ac:dyDescent="0.3">
      <c r="D1561" s="40"/>
      <c r="J1561" s="134"/>
    </row>
    <row r="1562" spans="4:10" x14ac:dyDescent="0.3">
      <c r="D1562" s="40"/>
      <c r="J1562" s="134"/>
    </row>
    <row r="1563" spans="4:10" x14ac:dyDescent="0.3">
      <c r="D1563" s="40"/>
      <c r="J1563" s="134"/>
    </row>
    <row r="1564" spans="4:10" x14ac:dyDescent="0.3">
      <c r="D1564" s="40"/>
      <c r="J1564" s="134"/>
    </row>
    <row r="1565" spans="4:10" x14ac:dyDescent="0.3">
      <c r="D1565" s="40"/>
      <c r="J1565" s="134"/>
    </row>
    <row r="1566" spans="4:10" x14ac:dyDescent="0.3">
      <c r="D1566" s="40"/>
      <c r="J1566" s="134"/>
    </row>
    <row r="1567" spans="4:10" x14ac:dyDescent="0.3">
      <c r="D1567" s="40"/>
      <c r="J1567" s="134"/>
    </row>
    <row r="1568" spans="4:10" x14ac:dyDescent="0.3">
      <c r="D1568" s="40"/>
      <c r="J1568" s="134"/>
    </row>
    <row r="1569" spans="4:10" x14ac:dyDescent="0.3">
      <c r="D1569" s="40"/>
      <c r="J1569" s="134"/>
    </row>
    <row r="1570" spans="4:10" x14ac:dyDescent="0.3">
      <c r="D1570" s="40"/>
      <c r="J1570" s="134"/>
    </row>
    <row r="1571" spans="4:10" x14ac:dyDescent="0.3">
      <c r="D1571" s="40"/>
      <c r="J1571" s="134"/>
    </row>
    <row r="1572" spans="4:10" x14ac:dyDescent="0.3">
      <c r="D1572" s="40"/>
      <c r="J1572" s="134"/>
    </row>
    <row r="1573" spans="4:10" x14ac:dyDescent="0.3">
      <c r="D1573" s="40"/>
      <c r="J1573" s="134"/>
    </row>
    <row r="1574" spans="4:10" x14ac:dyDescent="0.3">
      <c r="D1574" s="40"/>
      <c r="J1574" s="134"/>
    </row>
    <row r="1575" spans="4:10" x14ac:dyDescent="0.3">
      <c r="D1575" s="40"/>
      <c r="J1575" s="134"/>
    </row>
    <row r="1576" spans="4:10" x14ac:dyDescent="0.3">
      <c r="D1576" s="40"/>
      <c r="J1576" s="134"/>
    </row>
    <row r="1577" spans="4:10" x14ac:dyDescent="0.3">
      <c r="D1577" s="40"/>
      <c r="J1577" s="134"/>
    </row>
    <row r="1578" spans="4:10" x14ac:dyDescent="0.3">
      <c r="D1578" s="40"/>
      <c r="J1578" s="134"/>
    </row>
    <row r="1579" spans="4:10" x14ac:dyDescent="0.3">
      <c r="D1579" s="40"/>
      <c r="J1579" s="134"/>
    </row>
    <row r="1580" spans="4:10" x14ac:dyDescent="0.3">
      <c r="D1580" s="40"/>
      <c r="J1580" s="134"/>
    </row>
    <row r="1581" spans="4:10" x14ac:dyDescent="0.3">
      <c r="D1581" s="40"/>
      <c r="J1581" s="134"/>
    </row>
    <row r="1582" spans="4:10" x14ac:dyDescent="0.3">
      <c r="D1582" s="40"/>
      <c r="J1582" s="134"/>
    </row>
    <row r="1583" spans="4:10" x14ac:dyDescent="0.3">
      <c r="D1583" s="40"/>
      <c r="J1583" s="134"/>
    </row>
    <row r="1584" spans="4:10" x14ac:dyDescent="0.3">
      <c r="D1584" s="40"/>
      <c r="J1584" s="134"/>
    </row>
    <row r="1585" spans="4:10" x14ac:dyDescent="0.3">
      <c r="D1585" s="40"/>
      <c r="J1585" s="134"/>
    </row>
    <row r="1586" spans="4:10" x14ac:dyDescent="0.3">
      <c r="D1586" s="40"/>
      <c r="J1586" s="134"/>
    </row>
    <row r="1587" spans="4:10" x14ac:dyDescent="0.3">
      <c r="D1587" s="40"/>
      <c r="J1587" s="134"/>
    </row>
    <row r="1588" spans="4:10" x14ac:dyDescent="0.3">
      <c r="D1588" s="40"/>
      <c r="J1588" s="134"/>
    </row>
    <row r="1589" spans="4:10" x14ac:dyDescent="0.3">
      <c r="D1589" s="40"/>
      <c r="J1589" s="134"/>
    </row>
    <row r="1590" spans="4:10" x14ac:dyDescent="0.3">
      <c r="D1590" s="40"/>
      <c r="J1590" s="134"/>
    </row>
    <row r="1591" spans="4:10" x14ac:dyDescent="0.3">
      <c r="D1591" s="40"/>
      <c r="J1591" s="134"/>
    </row>
    <row r="1592" spans="4:10" x14ac:dyDescent="0.3">
      <c r="D1592" s="40"/>
      <c r="J1592" s="134"/>
    </row>
    <row r="1593" spans="4:10" x14ac:dyDescent="0.3">
      <c r="D1593" s="40"/>
      <c r="J1593" s="134"/>
    </row>
    <row r="1594" spans="4:10" x14ac:dyDescent="0.3">
      <c r="D1594" s="40"/>
      <c r="J1594" s="134"/>
    </row>
    <row r="1595" spans="4:10" x14ac:dyDescent="0.3">
      <c r="D1595" s="40"/>
      <c r="J1595" s="134"/>
    </row>
    <row r="1596" spans="4:10" x14ac:dyDescent="0.3">
      <c r="D1596" s="40"/>
      <c r="J1596" s="134"/>
    </row>
    <row r="1597" spans="4:10" x14ac:dyDescent="0.3">
      <c r="D1597" s="40"/>
      <c r="J1597" s="134"/>
    </row>
    <row r="1598" spans="4:10" x14ac:dyDescent="0.3">
      <c r="D1598" s="40"/>
      <c r="J1598" s="134"/>
    </row>
    <row r="1599" spans="4:10" x14ac:dyDescent="0.3">
      <c r="D1599" s="40"/>
      <c r="J1599" s="134"/>
    </row>
    <row r="1600" spans="4:10" x14ac:dyDescent="0.3">
      <c r="D1600" s="40"/>
      <c r="J1600" s="134"/>
    </row>
    <row r="1601" spans="4:10" x14ac:dyDescent="0.3">
      <c r="D1601" s="40"/>
      <c r="J1601" s="134"/>
    </row>
    <row r="1602" spans="4:10" x14ac:dyDescent="0.3">
      <c r="D1602" s="40"/>
      <c r="J1602" s="134"/>
    </row>
    <row r="1603" spans="4:10" x14ac:dyDescent="0.3">
      <c r="D1603" s="40"/>
      <c r="J1603" s="134"/>
    </row>
    <row r="1604" spans="4:10" x14ac:dyDescent="0.3">
      <c r="D1604" s="40"/>
      <c r="J1604" s="134"/>
    </row>
    <row r="1605" spans="4:10" x14ac:dyDescent="0.3">
      <c r="D1605" s="40"/>
      <c r="J1605" s="134"/>
    </row>
    <row r="1606" spans="4:10" x14ac:dyDescent="0.3">
      <c r="D1606" s="40"/>
      <c r="J1606" s="134"/>
    </row>
    <row r="1607" spans="4:10" x14ac:dyDescent="0.3">
      <c r="D1607" s="40"/>
      <c r="J1607" s="134"/>
    </row>
    <row r="1608" spans="4:10" x14ac:dyDescent="0.3">
      <c r="D1608" s="40"/>
      <c r="J1608" s="134"/>
    </row>
    <row r="1609" spans="4:10" x14ac:dyDescent="0.3">
      <c r="D1609" s="40"/>
      <c r="J1609" s="134"/>
    </row>
    <row r="1610" spans="4:10" x14ac:dyDescent="0.3">
      <c r="D1610" s="40"/>
      <c r="J1610" s="134"/>
    </row>
    <row r="1611" spans="4:10" x14ac:dyDescent="0.3">
      <c r="D1611" s="40"/>
      <c r="J1611" s="134"/>
    </row>
    <row r="1612" spans="4:10" x14ac:dyDescent="0.3">
      <c r="D1612" s="40"/>
      <c r="J1612" s="134"/>
    </row>
    <row r="1613" spans="4:10" x14ac:dyDescent="0.3">
      <c r="D1613" s="40"/>
      <c r="J1613" s="134"/>
    </row>
    <row r="1614" spans="4:10" x14ac:dyDescent="0.3">
      <c r="D1614" s="40"/>
      <c r="J1614" s="134"/>
    </row>
    <row r="1615" spans="4:10" x14ac:dyDescent="0.3">
      <c r="D1615" s="40"/>
      <c r="J1615" s="134"/>
    </row>
    <row r="1616" spans="4:10" x14ac:dyDescent="0.3">
      <c r="D1616" s="40"/>
      <c r="J1616" s="134"/>
    </row>
    <row r="1617" spans="4:10" x14ac:dyDescent="0.3">
      <c r="D1617" s="40"/>
      <c r="J1617" s="134"/>
    </row>
    <row r="1618" spans="4:10" x14ac:dyDescent="0.3">
      <c r="D1618" s="40"/>
      <c r="J1618" s="134"/>
    </row>
    <row r="1619" spans="4:10" x14ac:dyDescent="0.3">
      <c r="D1619" s="40"/>
      <c r="J1619" s="134"/>
    </row>
    <row r="1620" spans="4:10" x14ac:dyDescent="0.3">
      <c r="D1620" s="40"/>
      <c r="J1620" s="134"/>
    </row>
    <row r="1621" spans="4:10" x14ac:dyDescent="0.3">
      <c r="D1621" s="40"/>
      <c r="J1621" s="134"/>
    </row>
    <row r="1622" spans="4:10" x14ac:dyDescent="0.3">
      <c r="D1622" s="40"/>
      <c r="J1622" s="134"/>
    </row>
    <row r="1623" spans="4:10" x14ac:dyDescent="0.3">
      <c r="D1623" s="40"/>
      <c r="J1623" s="134"/>
    </row>
    <row r="1624" spans="4:10" x14ac:dyDescent="0.3">
      <c r="D1624" s="40"/>
      <c r="J1624" s="134"/>
    </row>
    <row r="1625" spans="4:10" x14ac:dyDescent="0.3">
      <c r="D1625" s="40"/>
      <c r="J1625" s="134"/>
    </row>
    <row r="1626" spans="4:10" x14ac:dyDescent="0.3">
      <c r="D1626" s="40"/>
      <c r="J1626" s="134"/>
    </row>
    <row r="1627" spans="4:10" x14ac:dyDescent="0.3">
      <c r="D1627" s="40"/>
      <c r="J1627" s="134"/>
    </row>
    <row r="1628" spans="4:10" x14ac:dyDescent="0.3">
      <c r="D1628" s="40"/>
      <c r="J1628" s="134"/>
    </row>
    <row r="1629" spans="4:10" x14ac:dyDescent="0.3">
      <c r="D1629" s="40"/>
      <c r="J1629" s="134"/>
    </row>
    <row r="1630" spans="4:10" x14ac:dyDescent="0.3">
      <c r="D1630" s="40"/>
      <c r="J1630" s="134"/>
    </row>
    <row r="1631" spans="4:10" x14ac:dyDescent="0.3">
      <c r="D1631" s="40"/>
      <c r="J1631" s="134"/>
    </row>
    <row r="1632" spans="4:10" x14ac:dyDescent="0.3">
      <c r="D1632" s="40"/>
      <c r="J1632" s="134"/>
    </row>
    <row r="1633" spans="4:10" x14ac:dyDescent="0.3">
      <c r="D1633" s="40"/>
      <c r="J1633" s="134"/>
    </row>
    <row r="1634" spans="4:10" x14ac:dyDescent="0.3">
      <c r="D1634" s="40"/>
      <c r="J1634" s="134"/>
    </row>
    <row r="1635" spans="4:10" x14ac:dyDescent="0.3">
      <c r="D1635" s="40"/>
      <c r="J1635" s="134"/>
    </row>
    <row r="1636" spans="4:10" x14ac:dyDescent="0.3">
      <c r="D1636" s="40"/>
      <c r="J1636" s="134"/>
    </row>
    <row r="1637" spans="4:10" x14ac:dyDescent="0.3">
      <c r="D1637" s="40"/>
      <c r="J1637" s="134"/>
    </row>
    <row r="1638" spans="4:10" x14ac:dyDescent="0.3">
      <c r="D1638" s="40"/>
      <c r="J1638" s="134"/>
    </row>
    <row r="1639" spans="4:10" x14ac:dyDescent="0.3">
      <c r="D1639" s="40"/>
      <c r="J1639" s="134"/>
    </row>
    <row r="1640" spans="4:10" x14ac:dyDescent="0.3">
      <c r="D1640" s="40"/>
      <c r="J1640" s="134"/>
    </row>
    <row r="1641" spans="4:10" x14ac:dyDescent="0.3">
      <c r="D1641" s="40"/>
      <c r="J1641" s="134"/>
    </row>
    <row r="1642" spans="4:10" x14ac:dyDescent="0.3">
      <c r="D1642" s="40"/>
      <c r="J1642" s="134"/>
    </row>
    <row r="1643" spans="4:10" x14ac:dyDescent="0.3">
      <c r="D1643" s="40"/>
      <c r="J1643" s="134"/>
    </row>
    <row r="1644" spans="4:10" x14ac:dyDescent="0.3">
      <c r="D1644" s="40"/>
      <c r="J1644" s="134"/>
    </row>
    <row r="1645" spans="4:10" x14ac:dyDescent="0.3">
      <c r="D1645" s="40"/>
      <c r="J1645" s="134"/>
    </row>
    <row r="1646" spans="4:10" x14ac:dyDescent="0.3">
      <c r="D1646" s="40"/>
      <c r="J1646" s="134"/>
    </row>
    <row r="1647" spans="4:10" x14ac:dyDescent="0.3">
      <c r="D1647" s="40"/>
      <c r="J1647" s="134"/>
    </row>
    <row r="1648" spans="4:10" x14ac:dyDescent="0.3">
      <c r="D1648" s="40"/>
      <c r="J1648" s="134"/>
    </row>
    <row r="1649" spans="4:10" x14ac:dyDescent="0.3">
      <c r="D1649" s="40"/>
      <c r="J1649" s="134"/>
    </row>
    <row r="1650" spans="4:10" x14ac:dyDescent="0.3">
      <c r="D1650" s="40"/>
      <c r="J1650" s="134"/>
    </row>
    <row r="1651" spans="4:10" x14ac:dyDescent="0.3">
      <c r="D1651" s="40"/>
      <c r="J1651" s="134"/>
    </row>
    <row r="1652" spans="4:10" x14ac:dyDescent="0.3">
      <c r="D1652" s="40"/>
      <c r="J1652" s="134"/>
    </row>
    <row r="1653" spans="4:10" x14ac:dyDescent="0.3">
      <c r="D1653" s="40"/>
      <c r="J1653" s="134"/>
    </row>
    <row r="1654" spans="4:10" x14ac:dyDescent="0.3">
      <c r="D1654" s="40"/>
      <c r="J1654" s="134"/>
    </row>
    <row r="1655" spans="4:10" x14ac:dyDescent="0.3">
      <c r="D1655" s="40"/>
      <c r="J1655" s="134"/>
    </row>
    <row r="1656" spans="4:10" x14ac:dyDescent="0.3">
      <c r="D1656" s="40"/>
      <c r="J1656" s="134"/>
    </row>
    <row r="1657" spans="4:10" x14ac:dyDescent="0.3">
      <c r="D1657" s="40"/>
      <c r="J1657" s="134"/>
    </row>
    <row r="1658" spans="4:10" x14ac:dyDescent="0.3">
      <c r="D1658" s="40"/>
      <c r="J1658" s="134"/>
    </row>
    <row r="1659" spans="4:10" x14ac:dyDescent="0.3">
      <c r="D1659" s="40"/>
      <c r="J1659" s="134"/>
    </row>
    <row r="1660" spans="4:10" x14ac:dyDescent="0.3">
      <c r="D1660" s="40"/>
      <c r="J1660" s="134"/>
    </row>
    <row r="1661" spans="4:10" x14ac:dyDescent="0.3">
      <c r="D1661" s="40"/>
      <c r="J1661" s="134"/>
    </row>
    <row r="1662" spans="4:10" x14ac:dyDescent="0.3">
      <c r="D1662" s="40"/>
      <c r="J1662" s="134"/>
    </row>
    <row r="1663" spans="4:10" x14ac:dyDescent="0.3">
      <c r="D1663" s="40"/>
      <c r="J1663" s="134"/>
    </row>
    <row r="1664" spans="4:10" x14ac:dyDescent="0.3">
      <c r="D1664" s="40"/>
      <c r="J1664" s="134"/>
    </row>
    <row r="1665" spans="4:10" x14ac:dyDescent="0.3">
      <c r="D1665" s="40"/>
      <c r="J1665" s="134"/>
    </row>
    <row r="1666" spans="4:10" x14ac:dyDescent="0.3">
      <c r="D1666" s="40"/>
      <c r="J1666" s="134"/>
    </row>
    <row r="1667" spans="4:10" x14ac:dyDescent="0.3">
      <c r="D1667" s="40"/>
      <c r="J1667" s="134"/>
    </row>
    <row r="1668" spans="4:10" x14ac:dyDescent="0.3">
      <c r="D1668" s="40"/>
      <c r="J1668" s="134"/>
    </row>
    <row r="1669" spans="4:10" x14ac:dyDescent="0.3">
      <c r="D1669" s="40"/>
      <c r="J1669" s="134"/>
    </row>
    <row r="1670" spans="4:10" x14ac:dyDescent="0.3">
      <c r="D1670" s="40"/>
      <c r="J1670" s="134"/>
    </row>
    <row r="1671" spans="4:10" x14ac:dyDescent="0.3">
      <c r="D1671" s="40"/>
      <c r="J1671" s="134"/>
    </row>
    <row r="1672" spans="4:10" x14ac:dyDescent="0.3">
      <c r="D1672" s="40"/>
      <c r="J1672" s="134"/>
    </row>
    <row r="1673" spans="4:10" x14ac:dyDescent="0.3">
      <c r="D1673" s="40"/>
      <c r="J1673" s="134"/>
    </row>
    <row r="1674" spans="4:10" x14ac:dyDescent="0.3">
      <c r="D1674" s="40"/>
      <c r="J1674" s="134"/>
    </row>
    <row r="1675" spans="4:10" x14ac:dyDescent="0.3">
      <c r="D1675" s="40"/>
      <c r="J1675" s="134"/>
    </row>
    <row r="1676" spans="4:10" x14ac:dyDescent="0.3">
      <c r="D1676" s="40"/>
      <c r="J1676" s="134"/>
    </row>
    <row r="1677" spans="4:10" x14ac:dyDescent="0.3">
      <c r="D1677" s="40"/>
      <c r="J1677" s="134"/>
    </row>
    <row r="1678" spans="4:10" x14ac:dyDescent="0.3">
      <c r="D1678" s="40"/>
      <c r="J1678" s="134"/>
    </row>
    <row r="1679" spans="4:10" x14ac:dyDescent="0.3">
      <c r="D1679" s="40"/>
      <c r="J1679" s="134"/>
    </row>
    <row r="1680" spans="4:10" x14ac:dyDescent="0.3">
      <c r="D1680" s="40"/>
      <c r="J1680" s="134"/>
    </row>
    <row r="1681" spans="4:10" x14ac:dyDescent="0.3">
      <c r="D1681" s="40"/>
      <c r="J1681" s="134"/>
    </row>
    <row r="1682" spans="4:10" x14ac:dyDescent="0.3">
      <c r="D1682" s="40"/>
      <c r="J1682" s="134"/>
    </row>
    <row r="1683" spans="4:10" x14ac:dyDescent="0.3">
      <c r="D1683" s="40"/>
      <c r="J1683" s="134"/>
    </row>
    <row r="1684" spans="4:10" x14ac:dyDescent="0.3">
      <c r="D1684" s="40"/>
      <c r="J1684" s="134"/>
    </row>
    <row r="1685" spans="4:10" x14ac:dyDescent="0.3">
      <c r="D1685" s="40"/>
      <c r="J1685" s="134"/>
    </row>
    <row r="1686" spans="4:10" x14ac:dyDescent="0.3">
      <c r="D1686" s="40"/>
      <c r="J1686" s="134"/>
    </row>
    <row r="1687" spans="4:10" x14ac:dyDescent="0.3">
      <c r="D1687" s="40"/>
      <c r="J1687" s="134"/>
    </row>
    <row r="1688" spans="4:10" x14ac:dyDescent="0.3">
      <c r="D1688" s="40"/>
      <c r="J1688" s="134"/>
    </row>
    <row r="1689" spans="4:10" x14ac:dyDescent="0.3">
      <c r="D1689" s="40"/>
      <c r="J1689" s="134"/>
    </row>
    <row r="1690" spans="4:10" x14ac:dyDescent="0.3">
      <c r="D1690" s="40"/>
      <c r="J1690" s="134"/>
    </row>
    <row r="1691" spans="4:10" x14ac:dyDescent="0.3">
      <c r="D1691" s="40"/>
      <c r="J1691" s="134"/>
    </row>
    <row r="1692" spans="4:10" x14ac:dyDescent="0.3">
      <c r="D1692" s="40"/>
      <c r="J1692" s="134"/>
    </row>
    <row r="1693" spans="4:10" x14ac:dyDescent="0.3">
      <c r="D1693" s="40"/>
      <c r="J1693" s="134"/>
    </row>
    <row r="1694" spans="4:10" x14ac:dyDescent="0.3">
      <c r="D1694" s="40"/>
      <c r="J1694" s="134"/>
    </row>
    <row r="1695" spans="4:10" x14ac:dyDescent="0.3">
      <c r="D1695" s="40"/>
      <c r="J1695" s="134"/>
    </row>
    <row r="1696" spans="4:10" x14ac:dyDescent="0.3">
      <c r="D1696" s="40"/>
      <c r="J1696" s="134"/>
    </row>
    <row r="1697" spans="4:10" x14ac:dyDescent="0.3">
      <c r="D1697" s="40"/>
      <c r="J1697" s="134"/>
    </row>
    <row r="1698" spans="4:10" x14ac:dyDescent="0.3">
      <c r="D1698" s="40"/>
      <c r="J1698" s="134"/>
    </row>
    <row r="1699" spans="4:10" x14ac:dyDescent="0.3">
      <c r="D1699" s="40"/>
      <c r="J1699" s="134"/>
    </row>
    <row r="1700" spans="4:10" x14ac:dyDescent="0.3">
      <c r="D1700" s="40"/>
      <c r="J1700" s="134"/>
    </row>
    <row r="1701" spans="4:10" x14ac:dyDescent="0.3">
      <c r="D1701" s="40"/>
      <c r="J1701" s="134"/>
    </row>
    <row r="1702" spans="4:10" x14ac:dyDescent="0.3">
      <c r="D1702" s="40"/>
      <c r="J1702" s="134"/>
    </row>
    <row r="1703" spans="4:10" x14ac:dyDescent="0.3">
      <c r="D1703" s="40"/>
      <c r="J1703" s="134"/>
    </row>
    <row r="1704" spans="4:10" x14ac:dyDescent="0.3">
      <c r="D1704" s="40"/>
      <c r="J1704" s="134"/>
    </row>
    <row r="1705" spans="4:10" x14ac:dyDescent="0.3">
      <c r="D1705" s="40"/>
      <c r="J1705" s="134"/>
    </row>
    <row r="1706" spans="4:10" x14ac:dyDescent="0.3">
      <c r="D1706" s="40"/>
      <c r="J1706" s="134"/>
    </row>
    <row r="1707" spans="4:10" x14ac:dyDescent="0.3">
      <c r="D1707" s="40"/>
      <c r="J1707" s="134"/>
    </row>
    <row r="1708" spans="4:10" x14ac:dyDescent="0.3">
      <c r="D1708" s="40"/>
      <c r="J1708" s="134"/>
    </row>
    <row r="1709" spans="4:10" x14ac:dyDescent="0.3">
      <c r="D1709" s="40"/>
      <c r="J1709" s="134"/>
    </row>
    <row r="1710" spans="4:10" x14ac:dyDescent="0.3">
      <c r="D1710" s="40"/>
      <c r="J1710" s="134"/>
    </row>
    <row r="1711" spans="4:10" x14ac:dyDescent="0.3">
      <c r="D1711" s="40"/>
      <c r="J1711" s="134"/>
    </row>
    <row r="1712" spans="4:10" x14ac:dyDescent="0.3">
      <c r="D1712" s="40"/>
      <c r="J1712" s="134"/>
    </row>
    <row r="1713" spans="4:10" x14ac:dyDescent="0.3">
      <c r="D1713" s="40"/>
      <c r="J1713" s="134"/>
    </row>
    <row r="1714" spans="4:10" x14ac:dyDescent="0.3">
      <c r="D1714" s="40"/>
      <c r="J1714" s="134"/>
    </row>
    <row r="1715" spans="4:10" x14ac:dyDescent="0.3">
      <c r="D1715" s="40"/>
      <c r="J1715" s="134"/>
    </row>
    <row r="1716" spans="4:10" x14ac:dyDescent="0.3">
      <c r="D1716" s="40"/>
      <c r="J1716" s="134"/>
    </row>
    <row r="1717" spans="4:10" x14ac:dyDescent="0.3">
      <c r="D1717" s="40"/>
      <c r="J1717" s="134"/>
    </row>
    <row r="1718" spans="4:10" x14ac:dyDescent="0.3">
      <c r="D1718" s="40"/>
      <c r="J1718" s="134"/>
    </row>
    <row r="1719" spans="4:10" x14ac:dyDescent="0.3">
      <c r="D1719" s="40"/>
      <c r="J1719" s="134"/>
    </row>
    <row r="1720" spans="4:10" x14ac:dyDescent="0.3">
      <c r="D1720" s="40"/>
      <c r="J1720" s="134"/>
    </row>
    <row r="1721" spans="4:10" x14ac:dyDescent="0.3">
      <c r="D1721" s="40"/>
      <c r="J1721" s="134"/>
    </row>
    <row r="1722" spans="4:10" x14ac:dyDescent="0.3">
      <c r="D1722" s="40"/>
      <c r="J1722" s="134"/>
    </row>
    <row r="1723" spans="4:10" x14ac:dyDescent="0.3">
      <c r="D1723" s="40"/>
      <c r="J1723" s="134"/>
    </row>
    <row r="1724" spans="4:10" x14ac:dyDescent="0.3">
      <c r="D1724" s="40"/>
      <c r="J1724" s="134"/>
    </row>
    <row r="1725" spans="4:10" x14ac:dyDescent="0.3">
      <c r="D1725" s="40"/>
      <c r="J1725" s="134"/>
    </row>
    <row r="1726" spans="4:10" x14ac:dyDescent="0.3">
      <c r="D1726" s="40"/>
      <c r="J1726" s="134"/>
    </row>
    <row r="1727" spans="4:10" x14ac:dyDescent="0.3">
      <c r="D1727" s="40"/>
      <c r="J1727" s="134"/>
    </row>
    <row r="1728" spans="4:10" x14ac:dyDescent="0.3">
      <c r="D1728" s="40"/>
      <c r="J1728" s="134"/>
    </row>
    <row r="1729" spans="4:10" x14ac:dyDescent="0.3">
      <c r="D1729" s="40"/>
      <c r="J1729" s="134"/>
    </row>
    <row r="1730" spans="4:10" x14ac:dyDescent="0.3">
      <c r="D1730" s="40"/>
      <c r="J1730" s="134"/>
    </row>
    <row r="1731" spans="4:10" x14ac:dyDescent="0.3">
      <c r="D1731" s="40"/>
      <c r="J1731" s="134"/>
    </row>
    <row r="1732" spans="4:10" x14ac:dyDescent="0.3">
      <c r="D1732" s="40"/>
      <c r="J1732" s="134"/>
    </row>
    <row r="1733" spans="4:10" x14ac:dyDescent="0.3">
      <c r="D1733" s="40"/>
      <c r="J1733" s="134"/>
    </row>
    <row r="1734" spans="4:10" x14ac:dyDescent="0.3">
      <c r="D1734" s="40"/>
      <c r="J1734" s="134"/>
    </row>
    <row r="1735" spans="4:10" x14ac:dyDescent="0.3">
      <c r="D1735" s="40"/>
      <c r="J1735" s="134"/>
    </row>
    <row r="1736" spans="4:10" x14ac:dyDescent="0.3">
      <c r="D1736" s="40"/>
      <c r="J1736" s="134"/>
    </row>
    <row r="1737" spans="4:10" x14ac:dyDescent="0.3">
      <c r="D1737" s="40"/>
      <c r="J1737" s="134"/>
    </row>
    <row r="1738" spans="4:10" x14ac:dyDescent="0.3">
      <c r="D1738" s="40"/>
      <c r="J1738" s="134"/>
    </row>
    <row r="1739" spans="4:10" x14ac:dyDescent="0.3">
      <c r="D1739" s="40"/>
      <c r="J1739" s="134"/>
    </row>
    <row r="1740" spans="4:10" x14ac:dyDescent="0.3">
      <c r="D1740" s="40"/>
      <c r="J1740" s="134"/>
    </row>
    <row r="1741" spans="4:10" x14ac:dyDescent="0.3">
      <c r="D1741" s="40"/>
      <c r="J1741" s="134"/>
    </row>
    <row r="1742" spans="4:10" x14ac:dyDescent="0.3">
      <c r="D1742" s="40"/>
      <c r="J1742" s="134"/>
    </row>
    <row r="1743" spans="4:10" x14ac:dyDescent="0.3">
      <c r="D1743" s="40"/>
      <c r="J1743" s="134"/>
    </row>
    <row r="1744" spans="4:10" x14ac:dyDescent="0.3">
      <c r="D1744" s="40"/>
      <c r="J1744" s="134"/>
    </row>
    <row r="1745" spans="4:10" x14ac:dyDescent="0.3">
      <c r="D1745" s="40"/>
      <c r="J1745" s="134"/>
    </row>
    <row r="1746" spans="4:10" x14ac:dyDescent="0.3">
      <c r="D1746" s="40"/>
      <c r="J1746" s="134"/>
    </row>
    <row r="1747" spans="4:10" x14ac:dyDescent="0.3">
      <c r="D1747" s="40"/>
      <c r="J1747" s="134"/>
    </row>
    <row r="1748" spans="4:10" x14ac:dyDescent="0.3">
      <c r="D1748" s="40"/>
      <c r="J1748" s="134"/>
    </row>
    <row r="1749" spans="4:10" x14ac:dyDescent="0.3">
      <c r="D1749" s="40"/>
      <c r="J1749" s="134"/>
    </row>
    <row r="1750" spans="4:10" x14ac:dyDescent="0.3">
      <c r="D1750" s="40"/>
      <c r="J1750" s="134"/>
    </row>
    <row r="1751" spans="4:10" x14ac:dyDescent="0.3">
      <c r="D1751" s="40"/>
      <c r="J1751" s="134"/>
    </row>
    <row r="1752" spans="4:10" x14ac:dyDescent="0.3">
      <c r="D1752" s="40"/>
      <c r="J1752" s="134"/>
    </row>
    <row r="1753" spans="4:10" x14ac:dyDescent="0.3">
      <c r="D1753" s="40"/>
      <c r="J1753" s="134"/>
    </row>
    <row r="1754" spans="4:10" x14ac:dyDescent="0.3">
      <c r="D1754" s="40"/>
      <c r="J1754" s="134"/>
    </row>
    <row r="1755" spans="4:10" x14ac:dyDescent="0.3">
      <c r="D1755" s="40"/>
      <c r="J1755" s="134"/>
    </row>
    <row r="1756" spans="4:10" x14ac:dyDescent="0.3">
      <c r="D1756" s="40"/>
      <c r="J1756" s="134"/>
    </row>
    <row r="1757" spans="4:10" x14ac:dyDescent="0.3">
      <c r="D1757" s="40"/>
      <c r="J1757" s="134"/>
    </row>
    <row r="1758" spans="4:10" x14ac:dyDescent="0.3">
      <c r="D1758" s="40"/>
      <c r="J1758" s="134"/>
    </row>
    <row r="1759" spans="4:10" x14ac:dyDescent="0.3">
      <c r="D1759" s="40"/>
      <c r="J1759" s="134"/>
    </row>
    <row r="1760" spans="4:10" x14ac:dyDescent="0.3">
      <c r="D1760" s="40"/>
      <c r="J1760" s="134"/>
    </row>
    <row r="1761" spans="4:10" x14ac:dyDescent="0.3">
      <c r="D1761" s="40"/>
      <c r="J1761" s="134"/>
    </row>
    <row r="1762" spans="4:10" x14ac:dyDescent="0.3">
      <c r="D1762" s="40"/>
      <c r="J1762" s="134"/>
    </row>
    <row r="1763" spans="4:10" x14ac:dyDescent="0.3">
      <c r="D1763" s="40"/>
      <c r="J1763" s="134"/>
    </row>
    <row r="1764" spans="4:10" x14ac:dyDescent="0.3">
      <c r="D1764" s="40"/>
      <c r="J1764" s="134"/>
    </row>
    <row r="1765" spans="4:10" x14ac:dyDescent="0.3">
      <c r="D1765" s="40"/>
      <c r="J1765" s="134"/>
    </row>
    <row r="1766" spans="4:10" x14ac:dyDescent="0.3">
      <c r="D1766" s="40"/>
      <c r="J1766" s="134"/>
    </row>
    <row r="1767" spans="4:10" x14ac:dyDescent="0.3">
      <c r="D1767" s="40"/>
      <c r="J1767" s="134"/>
    </row>
    <row r="1768" spans="4:10" x14ac:dyDescent="0.3">
      <c r="D1768" s="40"/>
      <c r="J1768" s="134"/>
    </row>
    <row r="1769" spans="4:10" x14ac:dyDescent="0.3">
      <c r="D1769" s="40"/>
      <c r="J1769" s="134"/>
    </row>
    <row r="1770" spans="4:10" x14ac:dyDescent="0.3">
      <c r="D1770" s="40"/>
      <c r="J1770" s="134"/>
    </row>
    <row r="1771" spans="4:10" x14ac:dyDescent="0.3">
      <c r="D1771" s="40"/>
      <c r="J1771" s="134"/>
    </row>
    <row r="1772" spans="4:10" x14ac:dyDescent="0.3">
      <c r="D1772" s="40"/>
      <c r="J1772" s="134"/>
    </row>
    <row r="1773" spans="4:10" x14ac:dyDescent="0.3">
      <c r="D1773" s="40"/>
      <c r="J1773" s="134"/>
    </row>
    <row r="1774" spans="4:10" x14ac:dyDescent="0.3">
      <c r="D1774" s="40"/>
      <c r="J1774" s="134"/>
    </row>
    <row r="1775" spans="4:10" x14ac:dyDescent="0.3">
      <c r="D1775" s="40"/>
      <c r="J1775" s="134"/>
    </row>
    <row r="1776" spans="4:10" x14ac:dyDescent="0.3">
      <c r="D1776" s="40"/>
      <c r="J1776" s="134"/>
    </row>
    <row r="1777" spans="4:10" x14ac:dyDescent="0.3">
      <c r="D1777" s="40"/>
      <c r="J1777" s="134"/>
    </row>
    <row r="1778" spans="4:10" x14ac:dyDescent="0.3">
      <c r="D1778" s="40"/>
      <c r="J1778" s="134"/>
    </row>
    <row r="1779" spans="4:10" x14ac:dyDescent="0.3">
      <c r="D1779" s="40"/>
      <c r="J1779" s="134"/>
    </row>
    <row r="1780" spans="4:10" x14ac:dyDescent="0.3">
      <c r="D1780" s="40"/>
      <c r="J1780" s="134"/>
    </row>
    <row r="1781" spans="4:10" x14ac:dyDescent="0.3">
      <c r="D1781" s="40"/>
      <c r="J1781" s="134"/>
    </row>
    <row r="1782" spans="4:10" x14ac:dyDescent="0.3">
      <c r="D1782" s="40"/>
      <c r="J1782" s="134"/>
    </row>
    <row r="1783" spans="4:10" x14ac:dyDescent="0.3">
      <c r="D1783" s="40"/>
      <c r="J1783" s="134"/>
    </row>
    <row r="1784" spans="4:10" x14ac:dyDescent="0.3">
      <c r="D1784" s="40"/>
      <c r="J1784" s="134"/>
    </row>
    <row r="1785" spans="4:10" x14ac:dyDescent="0.3">
      <c r="D1785" s="40"/>
      <c r="J1785" s="134"/>
    </row>
    <row r="1786" spans="4:10" x14ac:dyDescent="0.3">
      <c r="D1786" s="40"/>
      <c r="J1786" s="134"/>
    </row>
    <row r="1787" spans="4:10" x14ac:dyDescent="0.3">
      <c r="D1787" s="40"/>
      <c r="J1787" s="134"/>
    </row>
    <row r="1788" spans="4:10" x14ac:dyDescent="0.3">
      <c r="D1788" s="40"/>
      <c r="J1788" s="134"/>
    </row>
    <row r="1789" spans="4:10" x14ac:dyDescent="0.3">
      <c r="D1789" s="40"/>
      <c r="J1789" s="134"/>
    </row>
    <row r="1790" spans="4:10" x14ac:dyDescent="0.3">
      <c r="D1790" s="40"/>
      <c r="J1790" s="134"/>
    </row>
    <row r="1791" spans="4:10" x14ac:dyDescent="0.3">
      <c r="D1791" s="40"/>
      <c r="J1791" s="134"/>
    </row>
    <row r="1792" spans="4:10" x14ac:dyDescent="0.3">
      <c r="D1792" s="40"/>
      <c r="J1792" s="134"/>
    </row>
    <row r="1793" spans="4:10" x14ac:dyDescent="0.3">
      <c r="D1793" s="40"/>
      <c r="J1793" s="134"/>
    </row>
    <row r="1794" spans="4:10" x14ac:dyDescent="0.3">
      <c r="D1794" s="40"/>
      <c r="J1794" s="134"/>
    </row>
    <row r="1795" spans="4:10" x14ac:dyDescent="0.3">
      <c r="D1795" s="40"/>
      <c r="J1795" s="134"/>
    </row>
    <row r="1796" spans="4:10" x14ac:dyDescent="0.3">
      <c r="D1796" s="40"/>
      <c r="J1796" s="134"/>
    </row>
    <row r="1797" spans="4:10" x14ac:dyDescent="0.3">
      <c r="D1797" s="40"/>
      <c r="J1797" s="134"/>
    </row>
    <row r="1798" spans="4:10" x14ac:dyDescent="0.3">
      <c r="D1798" s="40"/>
      <c r="J1798" s="134"/>
    </row>
    <row r="1799" spans="4:10" x14ac:dyDescent="0.3">
      <c r="D1799" s="40"/>
      <c r="J1799" s="134"/>
    </row>
    <row r="1800" spans="4:10" x14ac:dyDescent="0.3">
      <c r="D1800" s="40"/>
      <c r="J1800" s="134"/>
    </row>
    <row r="1801" spans="4:10" x14ac:dyDescent="0.3">
      <c r="D1801" s="40"/>
      <c r="J1801" s="134"/>
    </row>
    <row r="1802" spans="4:10" x14ac:dyDescent="0.3">
      <c r="D1802" s="40"/>
      <c r="J1802" s="134"/>
    </row>
    <row r="1803" spans="4:10" x14ac:dyDescent="0.3">
      <c r="D1803" s="40"/>
      <c r="J1803" s="134"/>
    </row>
    <row r="1804" spans="4:10" x14ac:dyDescent="0.3">
      <c r="D1804" s="40"/>
      <c r="J1804" s="134"/>
    </row>
    <row r="1805" spans="4:10" x14ac:dyDescent="0.3">
      <c r="D1805" s="40"/>
      <c r="J1805" s="134"/>
    </row>
    <row r="1806" spans="4:10" x14ac:dyDescent="0.3">
      <c r="D1806" s="40"/>
      <c r="J1806" s="134"/>
    </row>
    <row r="1807" spans="4:10" x14ac:dyDescent="0.3">
      <c r="D1807" s="40"/>
      <c r="J1807" s="134"/>
    </row>
    <row r="1808" spans="4:10" x14ac:dyDescent="0.3">
      <c r="D1808" s="40"/>
      <c r="J1808" s="134"/>
    </row>
    <row r="1809" spans="4:10" x14ac:dyDescent="0.3">
      <c r="D1809" s="40"/>
      <c r="J1809" s="134"/>
    </row>
    <row r="1810" spans="4:10" x14ac:dyDescent="0.3">
      <c r="D1810" s="40"/>
      <c r="J1810" s="134"/>
    </row>
    <row r="1811" spans="4:10" x14ac:dyDescent="0.3">
      <c r="D1811" s="40"/>
      <c r="J1811" s="134"/>
    </row>
    <row r="1812" spans="4:10" x14ac:dyDescent="0.3">
      <c r="D1812" s="40"/>
      <c r="J1812" s="134"/>
    </row>
    <row r="1813" spans="4:10" x14ac:dyDescent="0.3">
      <c r="D1813" s="40"/>
      <c r="J1813" s="134"/>
    </row>
    <row r="1814" spans="4:10" x14ac:dyDescent="0.3">
      <c r="D1814" s="40"/>
      <c r="J1814" s="134"/>
    </row>
    <row r="1815" spans="4:10" x14ac:dyDescent="0.3">
      <c r="D1815" s="40"/>
      <c r="J1815" s="134"/>
    </row>
    <row r="1816" spans="4:10" x14ac:dyDescent="0.3">
      <c r="D1816" s="40"/>
      <c r="J1816" s="134"/>
    </row>
    <row r="1817" spans="4:10" x14ac:dyDescent="0.3">
      <c r="D1817" s="40"/>
      <c r="J1817" s="134"/>
    </row>
    <row r="1818" spans="4:10" x14ac:dyDescent="0.3">
      <c r="D1818" s="40"/>
      <c r="J1818" s="134"/>
    </row>
    <row r="1819" spans="4:10" x14ac:dyDescent="0.3">
      <c r="D1819" s="40"/>
      <c r="J1819" s="134"/>
    </row>
    <row r="1820" spans="4:10" x14ac:dyDescent="0.3">
      <c r="D1820" s="40"/>
      <c r="J1820" s="134"/>
    </row>
    <row r="1821" spans="4:10" x14ac:dyDescent="0.3">
      <c r="D1821" s="40"/>
      <c r="J1821" s="134"/>
    </row>
    <row r="1822" spans="4:10" x14ac:dyDescent="0.3">
      <c r="D1822" s="40"/>
      <c r="J1822" s="134"/>
    </row>
    <row r="1823" spans="4:10" x14ac:dyDescent="0.3">
      <c r="D1823" s="40"/>
      <c r="J1823" s="134"/>
    </row>
    <row r="1824" spans="4:10" x14ac:dyDescent="0.3">
      <c r="D1824" s="40"/>
      <c r="J1824" s="134"/>
    </row>
    <row r="1825" spans="4:10" x14ac:dyDescent="0.3">
      <c r="D1825" s="40"/>
      <c r="J1825" s="134"/>
    </row>
    <row r="1826" spans="4:10" x14ac:dyDescent="0.3">
      <c r="D1826" s="40"/>
      <c r="J1826" s="134"/>
    </row>
    <row r="1827" spans="4:10" x14ac:dyDescent="0.3">
      <c r="D1827" s="40"/>
      <c r="J1827" s="134"/>
    </row>
    <row r="1828" spans="4:10" x14ac:dyDescent="0.3">
      <c r="D1828" s="40"/>
      <c r="J1828" s="134"/>
    </row>
    <row r="1829" spans="4:10" x14ac:dyDescent="0.3">
      <c r="D1829" s="40"/>
      <c r="J1829" s="134"/>
    </row>
    <row r="1830" spans="4:10" x14ac:dyDescent="0.3">
      <c r="D1830" s="40"/>
      <c r="J1830" s="134"/>
    </row>
    <row r="1831" spans="4:10" x14ac:dyDescent="0.3">
      <c r="D1831" s="40"/>
      <c r="J1831" s="134"/>
    </row>
    <row r="1832" spans="4:10" x14ac:dyDescent="0.3">
      <c r="D1832" s="40"/>
      <c r="J1832" s="134"/>
    </row>
    <row r="1833" spans="4:10" x14ac:dyDescent="0.3">
      <c r="D1833" s="40"/>
      <c r="J1833" s="134"/>
    </row>
    <row r="1834" spans="4:10" x14ac:dyDescent="0.3">
      <c r="D1834" s="40"/>
      <c r="J1834" s="134"/>
    </row>
    <row r="1835" spans="4:10" x14ac:dyDescent="0.3">
      <c r="D1835" s="40"/>
      <c r="J1835" s="134"/>
    </row>
    <row r="1836" spans="4:10" x14ac:dyDescent="0.3">
      <c r="D1836" s="40"/>
      <c r="J1836" s="134"/>
    </row>
    <row r="1837" spans="4:10" x14ac:dyDescent="0.3">
      <c r="D1837" s="40"/>
      <c r="J1837" s="134"/>
    </row>
    <row r="1838" spans="4:10" x14ac:dyDescent="0.3">
      <c r="D1838" s="40"/>
      <c r="J1838" s="134"/>
    </row>
    <row r="1839" spans="4:10" x14ac:dyDescent="0.3">
      <c r="D1839" s="40"/>
      <c r="J1839" s="134"/>
    </row>
    <row r="1840" spans="4:10" x14ac:dyDescent="0.3">
      <c r="D1840" s="40"/>
      <c r="J1840" s="134"/>
    </row>
    <row r="1841" spans="4:10" x14ac:dyDescent="0.3">
      <c r="D1841" s="40"/>
      <c r="J1841" s="134"/>
    </row>
    <row r="1842" spans="4:10" x14ac:dyDescent="0.3">
      <c r="D1842" s="40"/>
      <c r="J1842" s="134"/>
    </row>
    <row r="1843" spans="4:10" x14ac:dyDescent="0.3">
      <c r="D1843" s="40"/>
      <c r="J1843" s="134"/>
    </row>
    <row r="1844" spans="4:10" x14ac:dyDescent="0.3">
      <c r="D1844" s="40"/>
      <c r="J1844" s="134"/>
    </row>
    <row r="1845" spans="4:10" x14ac:dyDescent="0.3">
      <c r="D1845" s="40"/>
      <c r="J1845" s="134"/>
    </row>
    <row r="1846" spans="4:10" x14ac:dyDescent="0.3">
      <c r="D1846" s="40"/>
      <c r="J1846" s="134"/>
    </row>
    <row r="1847" spans="4:10" x14ac:dyDescent="0.3">
      <c r="D1847" s="40"/>
      <c r="J1847" s="134"/>
    </row>
    <row r="1848" spans="4:10" x14ac:dyDescent="0.3">
      <c r="D1848" s="40"/>
      <c r="J1848" s="134"/>
    </row>
    <row r="1849" spans="4:10" x14ac:dyDescent="0.3">
      <c r="D1849" s="40"/>
      <c r="J1849" s="134"/>
    </row>
    <row r="1850" spans="4:10" x14ac:dyDescent="0.3">
      <c r="D1850" s="40"/>
      <c r="J1850" s="134"/>
    </row>
    <row r="1851" spans="4:10" x14ac:dyDescent="0.3">
      <c r="D1851" s="40"/>
      <c r="J1851" s="134"/>
    </row>
    <row r="1852" spans="4:10" x14ac:dyDescent="0.3">
      <c r="D1852" s="40"/>
      <c r="J1852" s="134"/>
    </row>
    <row r="1853" spans="4:10" x14ac:dyDescent="0.3">
      <c r="D1853" s="40"/>
      <c r="J1853" s="134"/>
    </row>
    <row r="1854" spans="4:10" x14ac:dyDescent="0.3">
      <c r="D1854" s="40"/>
      <c r="J1854" s="134"/>
    </row>
    <row r="1855" spans="4:10" x14ac:dyDescent="0.3">
      <c r="D1855" s="40"/>
      <c r="J1855" s="134"/>
    </row>
    <row r="1856" spans="4:10" x14ac:dyDescent="0.3">
      <c r="D1856" s="40"/>
      <c r="J1856" s="134"/>
    </row>
    <row r="1857" spans="4:10" x14ac:dyDescent="0.3">
      <c r="D1857" s="40"/>
      <c r="J1857" s="134"/>
    </row>
    <row r="1858" spans="4:10" x14ac:dyDescent="0.3">
      <c r="D1858" s="40"/>
      <c r="J1858" s="134"/>
    </row>
    <row r="1859" spans="4:10" x14ac:dyDescent="0.3">
      <c r="D1859" s="40"/>
      <c r="J1859" s="134"/>
    </row>
    <row r="1860" spans="4:10" x14ac:dyDescent="0.3">
      <c r="D1860" s="40"/>
      <c r="J1860" s="134"/>
    </row>
    <row r="1861" spans="4:10" x14ac:dyDescent="0.3">
      <c r="D1861" s="40"/>
      <c r="J1861" s="134"/>
    </row>
    <row r="1862" spans="4:10" x14ac:dyDescent="0.3">
      <c r="D1862" s="40"/>
      <c r="J1862" s="134"/>
    </row>
    <row r="1863" spans="4:10" x14ac:dyDescent="0.3">
      <c r="D1863" s="40"/>
      <c r="J1863" s="134"/>
    </row>
    <row r="1864" spans="4:10" x14ac:dyDescent="0.3">
      <c r="D1864" s="40"/>
      <c r="J1864" s="134"/>
    </row>
    <row r="1865" spans="4:10" x14ac:dyDescent="0.3">
      <c r="D1865" s="40"/>
      <c r="J1865" s="134"/>
    </row>
    <row r="1866" spans="4:10" x14ac:dyDescent="0.3">
      <c r="D1866" s="40"/>
      <c r="J1866" s="134"/>
    </row>
    <row r="1867" spans="4:10" x14ac:dyDescent="0.3">
      <c r="D1867" s="40"/>
      <c r="J1867" s="134"/>
    </row>
    <row r="1868" spans="4:10" x14ac:dyDescent="0.3">
      <c r="D1868" s="40"/>
      <c r="J1868" s="134"/>
    </row>
    <row r="1869" spans="4:10" x14ac:dyDescent="0.3">
      <c r="D1869" s="40"/>
      <c r="J1869" s="134"/>
    </row>
    <row r="1870" spans="4:10" x14ac:dyDescent="0.3">
      <c r="D1870" s="40"/>
      <c r="J1870" s="134"/>
    </row>
    <row r="1871" spans="4:10" x14ac:dyDescent="0.3">
      <c r="D1871" s="40"/>
      <c r="J1871" s="134"/>
    </row>
    <row r="1872" spans="4:10" x14ac:dyDescent="0.3">
      <c r="D1872" s="40"/>
      <c r="J1872" s="134"/>
    </row>
    <row r="1873" spans="4:10" x14ac:dyDescent="0.3">
      <c r="D1873" s="40"/>
      <c r="J1873" s="134"/>
    </row>
    <row r="1874" spans="4:10" x14ac:dyDescent="0.3">
      <c r="D1874" s="40"/>
      <c r="J1874" s="134"/>
    </row>
    <row r="1875" spans="4:10" x14ac:dyDescent="0.3">
      <c r="D1875" s="40"/>
      <c r="J1875" s="134"/>
    </row>
    <row r="1876" spans="4:10" x14ac:dyDescent="0.3">
      <c r="D1876" s="40"/>
      <c r="J1876" s="134"/>
    </row>
    <row r="1877" spans="4:10" x14ac:dyDescent="0.3">
      <c r="D1877" s="40"/>
      <c r="J1877" s="134"/>
    </row>
    <row r="1878" spans="4:10" x14ac:dyDescent="0.3">
      <c r="D1878" s="40"/>
      <c r="J1878" s="134"/>
    </row>
    <row r="1879" spans="4:10" x14ac:dyDescent="0.3">
      <c r="D1879" s="40"/>
      <c r="J1879" s="134"/>
    </row>
    <row r="1880" spans="4:10" x14ac:dyDescent="0.3">
      <c r="D1880" s="40"/>
      <c r="J1880" s="134"/>
    </row>
    <row r="1881" spans="4:10" x14ac:dyDescent="0.3">
      <c r="D1881" s="40"/>
      <c r="J1881" s="134"/>
    </row>
    <row r="1882" spans="4:10" x14ac:dyDescent="0.3">
      <c r="D1882" s="40"/>
      <c r="J1882" s="134"/>
    </row>
    <row r="1883" spans="4:10" x14ac:dyDescent="0.3">
      <c r="D1883" s="40"/>
      <c r="J1883" s="134"/>
    </row>
    <row r="1884" spans="4:10" x14ac:dyDescent="0.3">
      <c r="D1884" s="40"/>
      <c r="J1884" s="134"/>
    </row>
    <row r="1885" spans="4:10" x14ac:dyDescent="0.3">
      <c r="D1885" s="40"/>
      <c r="J1885" s="134"/>
    </row>
    <row r="1886" spans="4:10" x14ac:dyDescent="0.3">
      <c r="D1886" s="40"/>
      <c r="J1886" s="134"/>
    </row>
    <row r="1887" spans="4:10" x14ac:dyDescent="0.3">
      <c r="D1887" s="40"/>
      <c r="J1887" s="134"/>
    </row>
    <row r="1888" spans="4:10" x14ac:dyDescent="0.3">
      <c r="D1888" s="40"/>
      <c r="J1888" s="134"/>
    </row>
    <row r="1889" spans="4:10" x14ac:dyDescent="0.3">
      <c r="D1889" s="40"/>
      <c r="J1889" s="134"/>
    </row>
    <row r="1890" spans="4:10" x14ac:dyDescent="0.3">
      <c r="D1890" s="40"/>
      <c r="J1890" s="134"/>
    </row>
    <row r="1891" spans="4:10" x14ac:dyDescent="0.3">
      <c r="D1891" s="40"/>
      <c r="J1891" s="134"/>
    </row>
    <row r="1892" spans="4:10" x14ac:dyDescent="0.3">
      <c r="D1892" s="40"/>
      <c r="J1892" s="134"/>
    </row>
    <row r="1893" spans="4:10" x14ac:dyDescent="0.3">
      <c r="D1893" s="40"/>
      <c r="J1893" s="134"/>
    </row>
    <row r="1894" spans="4:10" x14ac:dyDescent="0.3">
      <c r="D1894" s="40"/>
      <c r="J1894" s="134"/>
    </row>
    <row r="1895" spans="4:10" x14ac:dyDescent="0.3">
      <c r="D1895" s="40"/>
      <c r="J1895" s="134"/>
    </row>
    <row r="1896" spans="4:10" x14ac:dyDescent="0.3">
      <c r="D1896" s="40"/>
      <c r="J1896" s="134"/>
    </row>
    <row r="1897" spans="4:10" x14ac:dyDescent="0.3">
      <c r="D1897" s="40"/>
      <c r="J1897" s="134"/>
    </row>
    <row r="1898" spans="4:10" x14ac:dyDescent="0.3">
      <c r="D1898" s="40"/>
      <c r="J1898" s="134"/>
    </row>
    <row r="1899" spans="4:10" x14ac:dyDescent="0.3">
      <c r="D1899" s="40"/>
      <c r="J1899" s="134"/>
    </row>
    <row r="1900" spans="4:10" x14ac:dyDescent="0.3">
      <c r="D1900" s="40"/>
      <c r="J1900" s="134"/>
    </row>
    <row r="1901" spans="4:10" x14ac:dyDescent="0.3">
      <c r="D1901" s="40"/>
      <c r="J1901" s="134"/>
    </row>
    <row r="1902" spans="4:10" x14ac:dyDescent="0.3">
      <c r="D1902" s="40"/>
      <c r="J1902" s="134"/>
    </row>
    <row r="1903" spans="4:10" x14ac:dyDescent="0.3">
      <c r="D1903" s="40"/>
      <c r="J1903" s="134"/>
    </row>
    <row r="1904" spans="4:10" x14ac:dyDescent="0.3">
      <c r="D1904" s="40"/>
      <c r="J1904" s="134"/>
    </row>
    <row r="1905" spans="4:10" x14ac:dyDescent="0.3">
      <c r="D1905" s="40"/>
      <c r="J1905" s="134"/>
    </row>
    <row r="1906" spans="4:10" x14ac:dyDescent="0.3">
      <c r="D1906" s="40"/>
      <c r="J1906" s="134"/>
    </row>
    <row r="1907" spans="4:10" x14ac:dyDescent="0.3">
      <c r="D1907" s="40"/>
      <c r="J1907" s="134"/>
    </row>
    <row r="1908" spans="4:10" x14ac:dyDescent="0.3">
      <c r="D1908" s="40"/>
      <c r="J1908" s="134"/>
    </row>
    <row r="1909" spans="4:10" x14ac:dyDescent="0.3">
      <c r="D1909" s="40"/>
      <c r="J1909" s="134"/>
    </row>
    <row r="1910" spans="4:10" x14ac:dyDescent="0.3">
      <c r="D1910" s="40"/>
      <c r="J1910" s="134"/>
    </row>
    <row r="1911" spans="4:10" x14ac:dyDescent="0.3">
      <c r="D1911" s="40"/>
      <c r="J1911" s="134"/>
    </row>
    <row r="1912" spans="4:10" x14ac:dyDescent="0.3">
      <c r="D1912" s="40"/>
      <c r="J1912" s="134"/>
    </row>
    <row r="1913" spans="4:10" x14ac:dyDescent="0.3">
      <c r="D1913" s="40"/>
      <c r="J1913" s="134"/>
    </row>
    <row r="1914" spans="4:10" x14ac:dyDescent="0.3">
      <c r="D1914" s="40"/>
      <c r="J1914" s="134"/>
    </row>
    <row r="1915" spans="4:10" x14ac:dyDescent="0.3">
      <c r="D1915" s="40"/>
      <c r="J1915" s="134"/>
    </row>
    <row r="1916" spans="4:10" x14ac:dyDescent="0.3">
      <c r="D1916" s="40"/>
      <c r="J1916" s="134"/>
    </row>
    <row r="1917" spans="4:10" x14ac:dyDescent="0.3">
      <c r="D1917" s="40"/>
      <c r="J1917" s="134"/>
    </row>
    <row r="1918" spans="4:10" x14ac:dyDescent="0.3">
      <c r="D1918" s="40"/>
      <c r="J1918" s="134"/>
    </row>
    <row r="1919" spans="4:10" x14ac:dyDescent="0.3">
      <c r="D1919" s="40"/>
      <c r="J1919" s="134"/>
    </row>
    <row r="1920" spans="4:10" x14ac:dyDescent="0.3">
      <c r="D1920" s="40"/>
      <c r="J1920" s="134"/>
    </row>
    <row r="1921" spans="4:10" x14ac:dyDescent="0.3">
      <c r="D1921" s="40"/>
      <c r="J1921" s="134"/>
    </row>
    <row r="1922" spans="4:10" x14ac:dyDescent="0.3">
      <c r="D1922" s="40"/>
      <c r="J1922" s="134"/>
    </row>
    <row r="1923" spans="4:10" x14ac:dyDescent="0.3">
      <c r="D1923" s="40"/>
      <c r="J1923" s="134"/>
    </row>
    <row r="1924" spans="4:10" x14ac:dyDescent="0.3">
      <c r="D1924" s="40"/>
      <c r="J1924" s="134"/>
    </row>
    <row r="1925" spans="4:10" x14ac:dyDescent="0.3">
      <c r="D1925" s="40"/>
      <c r="J1925" s="134"/>
    </row>
    <row r="1926" spans="4:10" x14ac:dyDescent="0.3">
      <c r="D1926" s="40"/>
      <c r="J1926" s="134"/>
    </row>
    <row r="1927" spans="4:10" x14ac:dyDescent="0.3">
      <c r="D1927" s="40"/>
      <c r="J1927" s="134"/>
    </row>
    <row r="1928" spans="4:10" x14ac:dyDescent="0.3">
      <c r="D1928" s="40"/>
      <c r="J1928" s="134"/>
    </row>
    <row r="1929" spans="4:10" x14ac:dyDescent="0.3">
      <c r="D1929" s="40"/>
      <c r="J1929" s="134"/>
    </row>
    <row r="1930" spans="4:10" x14ac:dyDescent="0.3">
      <c r="D1930" s="40"/>
      <c r="J1930" s="134"/>
    </row>
    <row r="1931" spans="4:10" x14ac:dyDescent="0.3">
      <c r="D1931" s="40"/>
      <c r="J1931" s="134"/>
    </row>
    <row r="1932" spans="4:10" x14ac:dyDescent="0.3">
      <c r="D1932" s="40"/>
      <c r="J1932" s="134"/>
    </row>
    <row r="1933" spans="4:10" x14ac:dyDescent="0.3">
      <c r="D1933" s="40"/>
      <c r="J1933" s="134"/>
    </row>
    <row r="1934" spans="4:10" x14ac:dyDescent="0.3">
      <c r="D1934" s="40"/>
      <c r="J1934" s="134"/>
    </row>
    <row r="1935" spans="4:10" x14ac:dyDescent="0.3">
      <c r="D1935" s="40"/>
      <c r="J1935" s="134"/>
    </row>
    <row r="1936" spans="4:10" x14ac:dyDescent="0.3">
      <c r="D1936" s="40"/>
      <c r="J1936" s="134"/>
    </row>
    <row r="1937" spans="4:10" x14ac:dyDescent="0.3">
      <c r="D1937" s="40"/>
      <c r="J1937" s="134"/>
    </row>
    <row r="1938" spans="4:10" x14ac:dyDescent="0.3">
      <c r="D1938" s="40"/>
      <c r="J1938" s="134"/>
    </row>
    <row r="1939" spans="4:10" x14ac:dyDescent="0.3">
      <c r="D1939" s="40"/>
      <c r="J1939" s="134"/>
    </row>
    <row r="1940" spans="4:10" x14ac:dyDescent="0.3">
      <c r="D1940" s="40"/>
      <c r="J1940" s="134"/>
    </row>
    <row r="1941" spans="4:10" x14ac:dyDescent="0.3">
      <c r="D1941" s="40"/>
      <c r="J1941" s="134"/>
    </row>
    <row r="1942" spans="4:10" x14ac:dyDescent="0.3">
      <c r="D1942" s="40"/>
      <c r="J1942" s="134"/>
    </row>
    <row r="1943" spans="4:10" x14ac:dyDescent="0.3">
      <c r="D1943" s="40"/>
      <c r="J1943" s="134"/>
    </row>
    <row r="1944" spans="4:10" x14ac:dyDescent="0.3">
      <c r="D1944" s="40"/>
      <c r="J1944" s="134"/>
    </row>
    <row r="1945" spans="4:10" x14ac:dyDescent="0.3">
      <c r="D1945" s="40"/>
      <c r="J1945" s="134"/>
    </row>
    <row r="1946" spans="4:10" x14ac:dyDescent="0.3">
      <c r="D1946" s="40"/>
      <c r="J1946" s="134"/>
    </row>
    <row r="1947" spans="4:10" x14ac:dyDescent="0.3">
      <c r="D1947" s="40"/>
      <c r="J1947" s="134"/>
    </row>
    <row r="1948" spans="4:10" x14ac:dyDescent="0.3">
      <c r="D1948" s="40"/>
      <c r="J1948" s="134"/>
    </row>
    <row r="1949" spans="4:10" x14ac:dyDescent="0.3">
      <c r="D1949" s="40"/>
      <c r="J1949" s="134"/>
    </row>
    <row r="1950" spans="4:10" x14ac:dyDescent="0.3">
      <c r="D1950" s="40"/>
      <c r="J1950" s="134"/>
    </row>
    <row r="1951" spans="4:10" x14ac:dyDescent="0.3">
      <c r="D1951" s="40"/>
      <c r="J1951" s="134"/>
    </row>
    <row r="1952" spans="4:10" x14ac:dyDescent="0.3">
      <c r="D1952" s="40"/>
      <c r="J1952" s="134"/>
    </row>
    <row r="1953" spans="4:10" x14ac:dyDescent="0.3">
      <c r="D1953" s="40"/>
      <c r="J1953" s="134"/>
    </row>
    <row r="1954" spans="4:10" x14ac:dyDescent="0.3">
      <c r="D1954" s="40"/>
      <c r="J1954" s="134"/>
    </row>
    <row r="1955" spans="4:10" x14ac:dyDescent="0.3">
      <c r="D1955" s="40"/>
      <c r="J1955" s="134"/>
    </row>
    <row r="1956" spans="4:10" x14ac:dyDescent="0.3">
      <c r="D1956" s="40"/>
      <c r="J1956" s="134"/>
    </row>
    <row r="1957" spans="4:10" x14ac:dyDescent="0.3">
      <c r="D1957" s="40"/>
      <c r="J1957" s="134"/>
    </row>
    <row r="1958" spans="4:10" x14ac:dyDescent="0.3">
      <c r="D1958" s="40"/>
      <c r="J1958" s="134"/>
    </row>
    <row r="1959" spans="4:10" x14ac:dyDescent="0.3">
      <c r="D1959" s="40"/>
      <c r="J1959" s="134"/>
    </row>
    <row r="1960" spans="4:10" x14ac:dyDescent="0.3">
      <c r="D1960" s="40"/>
      <c r="J1960" s="134"/>
    </row>
    <row r="1961" spans="4:10" x14ac:dyDescent="0.3">
      <c r="D1961" s="40"/>
      <c r="J1961" s="134"/>
    </row>
    <row r="1962" spans="4:10" x14ac:dyDescent="0.3">
      <c r="D1962" s="40"/>
      <c r="J1962" s="134"/>
    </row>
    <row r="1963" spans="4:10" x14ac:dyDescent="0.3">
      <c r="D1963" s="40"/>
      <c r="J1963" s="134"/>
    </row>
    <row r="1964" spans="4:10" x14ac:dyDescent="0.3">
      <c r="D1964" s="40"/>
      <c r="J1964" s="134"/>
    </row>
    <row r="1965" spans="4:10" x14ac:dyDescent="0.3">
      <c r="D1965" s="40"/>
      <c r="J1965" s="134"/>
    </row>
    <row r="1966" spans="4:10" x14ac:dyDescent="0.3">
      <c r="D1966" s="40"/>
      <c r="J1966" s="134"/>
    </row>
    <row r="1967" spans="4:10" x14ac:dyDescent="0.3">
      <c r="D1967" s="40"/>
      <c r="J1967" s="134"/>
    </row>
    <row r="1968" spans="4:10" x14ac:dyDescent="0.3">
      <c r="D1968" s="40"/>
      <c r="J1968" s="134"/>
    </row>
    <row r="1969" spans="4:10" x14ac:dyDescent="0.3">
      <c r="D1969" s="40"/>
      <c r="J1969" s="134"/>
    </row>
    <row r="1970" spans="4:10" x14ac:dyDescent="0.3">
      <c r="D1970" s="40"/>
      <c r="J1970" s="134"/>
    </row>
    <row r="1971" spans="4:10" x14ac:dyDescent="0.3">
      <c r="D1971" s="40"/>
      <c r="J1971" s="134"/>
    </row>
    <row r="1972" spans="4:10" x14ac:dyDescent="0.3">
      <c r="D1972" s="40"/>
      <c r="J1972" s="134"/>
    </row>
    <row r="1973" spans="4:10" x14ac:dyDescent="0.3">
      <c r="D1973" s="40"/>
      <c r="J1973" s="134"/>
    </row>
    <row r="1974" spans="4:10" x14ac:dyDescent="0.3">
      <c r="D1974" s="40"/>
      <c r="J1974" s="134"/>
    </row>
    <row r="1975" spans="4:10" x14ac:dyDescent="0.3">
      <c r="D1975" s="40"/>
      <c r="J1975" s="134"/>
    </row>
    <row r="1976" spans="4:10" x14ac:dyDescent="0.3">
      <c r="D1976" s="40"/>
      <c r="J1976" s="134"/>
    </row>
    <row r="1977" spans="4:10" x14ac:dyDescent="0.3">
      <c r="D1977" s="40"/>
      <c r="J1977" s="134"/>
    </row>
    <row r="1978" spans="4:10" x14ac:dyDescent="0.3">
      <c r="D1978" s="40"/>
      <c r="J1978" s="134"/>
    </row>
    <row r="1979" spans="4:10" x14ac:dyDescent="0.3">
      <c r="D1979" s="40"/>
      <c r="J1979" s="134"/>
    </row>
    <row r="1980" spans="4:10" x14ac:dyDescent="0.3">
      <c r="D1980" s="40"/>
      <c r="J1980" s="134"/>
    </row>
    <row r="1981" spans="4:10" x14ac:dyDescent="0.3">
      <c r="D1981" s="40"/>
      <c r="J1981" s="134"/>
    </row>
    <row r="1982" spans="4:10" x14ac:dyDescent="0.3">
      <c r="D1982" s="40"/>
      <c r="J1982" s="134"/>
    </row>
    <row r="1983" spans="4:10" x14ac:dyDescent="0.3">
      <c r="D1983" s="40"/>
      <c r="J1983" s="134"/>
    </row>
    <row r="1984" spans="4:10" x14ac:dyDescent="0.3">
      <c r="D1984" s="40"/>
      <c r="J1984" s="134"/>
    </row>
    <row r="1985" spans="4:10" x14ac:dyDescent="0.3">
      <c r="D1985" s="40"/>
      <c r="J1985" s="134"/>
    </row>
    <row r="1986" spans="4:10" x14ac:dyDescent="0.3">
      <c r="D1986" s="40"/>
      <c r="J1986" s="134"/>
    </row>
    <row r="1987" spans="4:10" x14ac:dyDescent="0.3">
      <c r="D1987" s="40"/>
      <c r="J1987" s="134"/>
    </row>
    <row r="1988" spans="4:10" x14ac:dyDescent="0.3">
      <c r="D1988" s="40"/>
      <c r="J1988" s="134"/>
    </row>
    <row r="1989" spans="4:10" x14ac:dyDescent="0.3">
      <c r="D1989" s="40"/>
      <c r="J1989" s="134"/>
    </row>
    <row r="1990" spans="4:10" x14ac:dyDescent="0.3">
      <c r="D1990" s="40"/>
      <c r="J1990" s="134"/>
    </row>
    <row r="1991" spans="4:10" x14ac:dyDescent="0.3">
      <c r="D1991" s="40"/>
      <c r="J1991" s="134"/>
    </row>
    <row r="1992" spans="4:10" x14ac:dyDescent="0.3">
      <c r="D1992" s="40"/>
      <c r="J1992" s="134"/>
    </row>
    <row r="1993" spans="4:10" x14ac:dyDescent="0.3">
      <c r="D1993" s="40"/>
      <c r="J1993" s="134"/>
    </row>
    <row r="1994" spans="4:10" x14ac:dyDescent="0.3">
      <c r="D1994" s="40"/>
      <c r="J1994" s="134"/>
    </row>
    <row r="1995" spans="4:10" x14ac:dyDescent="0.3">
      <c r="D1995" s="40"/>
      <c r="J1995" s="134"/>
    </row>
    <row r="1996" spans="4:10" x14ac:dyDescent="0.3">
      <c r="D1996" s="40"/>
      <c r="J1996" s="134"/>
    </row>
    <row r="1997" spans="4:10" x14ac:dyDescent="0.3">
      <c r="D1997" s="40"/>
      <c r="J1997" s="134"/>
    </row>
    <row r="1998" spans="4:10" x14ac:dyDescent="0.3">
      <c r="D1998" s="40"/>
      <c r="J1998" s="134"/>
    </row>
    <row r="1999" spans="4:10" x14ac:dyDescent="0.3">
      <c r="D1999" s="40"/>
      <c r="J1999" s="134"/>
    </row>
    <row r="2000" spans="4:10" x14ac:dyDescent="0.3">
      <c r="D2000" s="40"/>
      <c r="J2000" s="134"/>
    </row>
    <row r="2001" spans="4:10" x14ac:dyDescent="0.3">
      <c r="D2001" s="40"/>
      <c r="J2001" s="134"/>
    </row>
    <row r="2002" spans="4:10" x14ac:dyDescent="0.3">
      <c r="D2002" s="40"/>
      <c r="J2002" s="134"/>
    </row>
    <row r="2003" spans="4:10" x14ac:dyDescent="0.3">
      <c r="D2003" s="40"/>
      <c r="J2003" s="134"/>
    </row>
    <row r="2004" spans="4:10" x14ac:dyDescent="0.3">
      <c r="D2004" s="40"/>
      <c r="J2004" s="134"/>
    </row>
    <row r="2005" spans="4:10" x14ac:dyDescent="0.3">
      <c r="D2005" s="40"/>
      <c r="J2005" s="134"/>
    </row>
    <row r="2006" spans="4:10" x14ac:dyDescent="0.3">
      <c r="D2006" s="40"/>
      <c r="J2006" s="134"/>
    </row>
    <row r="2007" spans="4:10" x14ac:dyDescent="0.3">
      <c r="D2007" s="40"/>
      <c r="J2007" s="134"/>
    </row>
    <row r="2008" spans="4:10" x14ac:dyDescent="0.3">
      <c r="D2008" s="40"/>
      <c r="J2008" s="134"/>
    </row>
    <row r="2009" spans="4:10" x14ac:dyDescent="0.3">
      <c r="D2009" s="40"/>
      <c r="J2009" s="134"/>
    </row>
    <row r="2010" spans="4:10" x14ac:dyDescent="0.3">
      <c r="D2010" s="40"/>
      <c r="J2010" s="134"/>
    </row>
    <row r="2011" spans="4:10" x14ac:dyDescent="0.3">
      <c r="D2011" s="40"/>
      <c r="J2011" s="134"/>
    </row>
    <row r="2012" spans="4:10" x14ac:dyDescent="0.3">
      <c r="D2012" s="40"/>
      <c r="J2012" s="134"/>
    </row>
    <row r="2013" spans="4:10" x14ac:dyDescent="0.3">
      <c r="D2013" s="40"/>
      <c r="J2013" s="134"/>
    </row>
    <row r="2014" spans="4:10" x14ac:dyDescent="0.3">
      <c r="D2014" s="40"/>
      <c r="J2014" s="134"/>
    </row>
    <row r="2015" spans="4:10" x14ac:dyDescent="0.3">
      <c r="D2015" s="40"/>
      <c r="J2015" s="134"/>
    </row>
    <row r="2016" spans="4:10" x14ac:dyDescent="0.3">
      <c r="D2016" s="40"/>
      <c r="J2016" s="134"/>
    </row>
    <row r="2017" spans="4:10" x14ac:dyDescent="0.3">
      <c r="D2017" s="40"/>
      <c r="J2017" s="134"/>
    </row>
    <row r="2018" spans="4:10" x14ac:dyDescent="0.3">
      <c r="D2018" s="40"/>
      <c r="J2018" s="134"/>
    </row>
    <row r="2019" spans="4:10" x14ac:dyDescent="0.3">
      <c r="D2019" s="40"/>
      <c r="J2019" s="134"/>
    </row>
    <row r="2020" spans="4:10" x14ac:dyDescent="0.3">
      <c r="D2020" s="40"/>
      <c r="J2020" s="134"/>
    </row>
    <row r="2021" spans="4:10" x14ac:dyDescent="0.3">
      <c r="D2021" s="40"/>
      <c r="J2021" s="134"/>
    </row>
    <row r="2022" spans="4:10" x14ac:dyDescent="0.3">
      <c r="D2022" s="40"/>
      <c r="J2022" s="134"/>
    </row>
    <row r="2023" spans="4:10" x14ac:dyDescent="0.3">
      <c r="D2023" s="40"/>
      <c r="J2023" s="134"/>
    </row>
    <row r="2024" spans="4:10" x14ac:dyDescent="0.3">
      <c r="D2024" s="40"/>
      <c r="J2024" s="134"/>
    </row>
    <row r="2025" spans="4:10" x14ac:dyDescent="0.3">
      <c r="D2025" s="40"/>
      <c r="J2025" s="134"/>
    </row>
    <row r="2026" spans="4:10" x14ac:dyDescent="0.3">
      <c r="D2026" s="40"/>
      <c r="J2026" s="134"/>
    </row>
    <row r="2027" spans="4:10" x14ac:dyDescent="0.3">
      <c r="D2027" s="40"/>
      <c r="J2027" s="134"/>
    </row>
    <row r="2028" spans="4:10" x14ac:dyDescent="0.3">
      <c r="D2028" s="40"/>
      <c r="J2028" s="134"/>
    </row>
    <row r="2029" spans="4:10" x14ac:dyDescent="0.3">
      <c r="D2029" s="40"/>
      <c r="J2029" s="134"/>
    </row>
    <row r="2030" spans="4:10" x14ac:dyDescent="0.3">
      <c r="D2030" s="40"/>
      <c r="J2030" s="134"/>
    </row>
    <row r="2031" spans="4:10" x14ac:dyDescent="0.3">
      <c r="D2031" s="40"/>
      <c r="J2031" s="134"/>
    </row>
    <row r="2032" spans="4:10" x14ac:dyDescent="0.3">
      <c r="D2032" s="40"/>
      <c r="J2032" s="134"/>
    </row>
    <row r="2033" spans="4:10" x14ac:dyDescent="0.3">
      <c r="D2033" s="40"/>
      <c r="J2033" s="134"/>
    </row>
    <row r="2034" spans="4:10" x14ac:dyDescent="0.3">
      <c r="D2034" s="40"/>
      <c r="J2034" s="134"/>
    </row>
    <row r="2035" spans="4:10" x14ac:dyDescent="0.3">
      <c r="D2035" s="40"/>
      <c r="J2035" s="134"/>
    </row>
    <row r="2036" spans="4:10" x14ac:dyDescent="0.3">
      <c r="D2036" s="40"/>
      <c r="J2036" s="134"/>
    </row>
    <row r="2037" spans="4:10" x14ac:dyDescent="0.3">
      <c r="D2037" s="40"/>
      <c r="J2037" s="134"/>
    </row>
    <row r="2038" spans="4:10" x14ac:dyDescent="0.3">
      <c r="D2038" s="40"/>
      <c r="J2038" s="134"/>
    </row>
    <row r="2039" spans="4:10" x14ac:dyDescent="0.3">
      <c r="D2039" s="40"/>
      <c r="J2039" s="134"/>
    </row>
    <row r="2040" spans="4:10" x14ac:dyDescent="0.3">
      <c r="D2040" s="40"/>
      <c r="J2040" s="134"/>
    </row>
    <row r="2041" spans="4:10" x14ac:dyDescent="0.3">
      <c r="D2041" s="40"/>
      <c r="J2041" s="134"/>
    </row>
    <row r="2042" spans="4:10" x14ac:dyDescent="0.3">
      <c r="D2042" s="40"/>
      <c r="J2042" s="134"/>
    </row>
    <row r="2043" spans="4:10" x14ac:dyDescent="0.3">
      <c r="D2043" s="40"/>
      <c r="J2043" s="134"/>
    </row>
    <row r="2044" spans="4:10" x14ac:dyDescent="0.3">
      <c r="D2044" s="40"/>
      <c r="J2044" s="134"/>
    </row>
    <row r="2045" spans="4:10" x14ac:dyDescent="0.3">
      <c r="D2045" s="40"/>
      <c r="J2045" s="134"/>
    </row>
    <row r="2046" spans="4:10" x14ac:dyDescent="0.3">
      <c r="D2046" s="40"/>
      <c r="J2046" s="134"/>
    </row>
    <row r="2047" spans="4:10" x14ac:dyDescent="0.3">
      <c r="D2047" s="40"/>
      <c r="J2047" s="134"/>
    </row>
    <row r="2048" spans="4:10" x14ac:dyDescent="0.3">
      <c r="D2048" s="40"/>
      <c r="J2048" s="134"/>
    </row>
    <row r="2049" spans="4:10" x14ac:dyDescent="0.3">
      <c r="D2049" s="40"/>
      <c r="J2049" s="134"/>
    </row>
    <row r="2050" spans="4:10" x14ac:dyDescent="0.3">
      <c r="D2050" s="40"/>
      <c r="J2050" s="134"/>
    </row>
    <row r="2051" spans="4:10" x14ac:dyDescent="0.3">
      <c r="D2051" s="40"/>
      <c r="J2051" s="134"/>
    </row>
    <row r="2052" spans="4:10" x14ac:dyDescent="0.3">
      <c r="D2052" s="40"/>
      <c r="J2052" s="134"/>
    </row>
    <row r="2053" spans="4:10" x14ac:dyDescent="0.3">
      <c r="D2053" s="40"/>
      <c r="J2053" s="134"/>
    </row>
    <row r="2054" spans="4:10" x14ac:dyDescent="0.3">
      <c r="D2054" s="40"/>
      <c r="J2054" s="134"/>
    </row>
    <row r="2055" spans="4:10" x14ac:dyDescent="0.3">
      <c r="D2055" s="40"/>
      <c r="J2055" s="134"/>
    </row>
    <row r="2056" spans="4:10" x14ac:dyDescent="0.3">
      <c r="D2056" s="40"/>
      <c r="J2056" s="134"/>
    </row>
    <row r="2057" spans="4:10" x14ac:dyDescent="0.3">
      <c r="D2057" s="40"/>
      <c r="J2057" s="134"/>
    </row>
    <row r="2058" spans="4:10" x14ac:dyDescent="0.3">
      <c r="D2058" s="40"/>
      <c r="J2058" s="134"/>
    </row>
    <row r="2059" spans="4:10" x14ac:dyDescent="0.3">
      <c r="D2059" s="40"/>
      <c r="J2059" s="134"/>
    </row>
    <row r="2060" spans="4:10" x14ac:dyDescent="0.3">
      <c r="D2060" s="40"/>
      <c r="J2060" s="134"/>
    </row>
    <row r="2061" spans="4:10" x14ac:dyDescent="0.3">
      <c r="D2061" s="40"/>
      <c r="J2061" s="134"/>
    </row>
    <row r="2062" spans="4:10" x14ac:dyDescent="0.3">
      <c r="D2062" s="40"/>
      <c r="J2062" s="134"/>
    </row>
    <row r="2063" spans="4:10" x14ac:dyDescent="0.3">
      <c r="D2063" s="40"/>
      <c r="J2063" s="134"/>
    </row>
    <row r="2064" spans="4:10" x14ac:dyDescent="0.3">
      <c r="D2064" s="40"/>
      <c r="J2064" s="134"/>
    </row>
    <row r="2065" spans="4:10" x14ac:dyDescent="0.3">
      <c r="D2065" s="40"/>
      <c r="J2065" s="134"/>
    </row>
    <row r="2066" spans="4:10" x14ac:dyDescent="0.3">
      <c r="D2066" s="40"/>
      <c r="J2066" s="134"/>
    </row>
    <row r="2067" spans="4:10" x14ac:dyDescent="0.3">
      <c r="D2067" s="40"/>
      <c r="J2067" s="134"/>
    </row>
    <row r="2068" spans="4:10" x14ac:dyDescent="0.3">
      <c r="D2068" s="40"/>
      <c r="J2068" s="134"/>
    </row>
    <row r="2069" spans="4:10" x14ac:dyDescent="0.3">
      <c r="D2069" s="40"/>
      <c r="J2069" s="134"/>
    </row>
    <row r="2070" spans="4:10" x14ac:dyDescent="0.3">
      <c r="D2070" s="40"/>
      <c r="J2070" s="134"/>
    </row>
    <row r="2071" spans="4:10" x14ac:dyDescent="0.3">
      <c r="D2071" s="40"/>
      <c r="J2071" s="134"/>
    </row>
    <row r="2072" spans="4:10" x14ac:dyDescent="0.3">
      <c r="D2072" s="40"/>
      <c r="J2072" s="134"/>
    </row>
    <row r="2073" spans="4:10" x14ac:dyDescent="0.3">
      <c r="D2073" s="40"/>
      <c r="J2073" s="134"/>
    </row>
    <row r="2074" spans="4:10" x14ac:dyDescent="0.3">
      <c r="D2074" s="40"/>
      <c r="J2074" s="134"/>
    </row>
    <row r="2075" spans="4:10" x14ac:dyDescent="0.3">
      <c r="D2075" s="40"/>
      <c r="J2075" s="134"/>
    </row>
    <row r="2076" spans="4:10" x14ac:dyDescent="0.3">
      <c r="D2076" s="40"/>
      <c r="J2076" s="134"/>
    </row>
    <row r="2077" spans="4:10" x14ac:dyDescent="0.3">
      <c r="D2077" s="40"/>
      <c r="J2077" s="134"/>
    </row>
    <row r="2078" spans="4:10" x14ac:dyDescent="0.3">
      <c r="D2078" s="40"/>
      <c r="J2078" s="134"/>
    </row>
    <row r="2079" spans="4:10" x14ac:dyDescent="0.3">
      <c r="D2079" s="40"/>
      <c r="J2079" s="134"/>
    </row>
    <row r="2080" spans="4:10" x14ac:dyDescent="0.3">
      <c r="D2080" s="40"/>
      <c r="J2080" s="134"/>
    </row>
    <row r="2081" spans="4:10" x14ac:dyDescent="0.3">
      <c r="D2081" s="40"/>
      <c r="J2081" s="134"/>
    </row>
    <row r="2082" spans="4:10" x14ac:dyDescent="0.3">
      <c r="D2082" s="40"/>
      <c r="J2082" s="134"/>
    </row>
    <row r="2083" spans="4:10" x14ac:dyDescent="0.3">
      <c r="D2083" s="40"/>
      <c r="J2083" s="134"/>
    </row>
    <row r="2084" spans="4:10" x14ac:dyDescent="0.3">
      <c r="D2084" s="40"/>
      <c r="J2084" s="134"/>
    </row>
    <row r="2085" spans="4:10" x14ac:dyDescent="0.3">
      <c r="D2085" s="40"/>
      <c r="J2085" s="134"/>
    </row>
    <row r="2086" spans="4:10" x14ac:dyDescent="0.3">
      <c r="D2086" s="40"/>
      <c r="J2086" s="134"/>
    </row>
    <row r="2087" spans="4:10" x14ac:dyDescent="0.3">
      <c r="D2087" s="40"/>
      <c r="J2087" s="134"/>
    </row>
    <row r="2088" spans="4:10" x14ac:dyDescent="0.3">
      <c r="D2088" s="40"/>
      <c r="J2088" s="134"/>
    </row>
    <row r="2089" spans="4:10" x14ac:dyDescent="0.3">
      <c r="D2089" s="40"/>
      <c r="J2089" s="134"/>
    </row>
    <row r="2090" spans="4:10" x14ac:dyDescent="0.3">
      <c r="D2090" s="40"/>
      <c r="J2090" s="134"/>
    </row>
    <row r="2091" spans="4:10" x14ac:dyDescent="0.3">
      <c r="D2091" s="40"/>
      <c r="J2091" s="134"/>
    </row>
    <row r="2092" spans="4:10" x14ac:dyDescent="0.3">
      <c r="D2092" s="40"/>
      <c r="J2092" s="134"/>
    </row>
    <row r="2093" spans="4:10" x14ac:dyDescent="0.3">
      <c r="D2093" s="40"/>
      <c r="J2093" s="134"/>
    </row>
    <row r="2094" spans="4:10" x14ac:dyDescent="0.3">
      <c r="D2094" s="40"/>
      <c r="J2094" s="134"/>
    </row>
    <row r="2095" spans="4:10" x14ac:dyDescent="0.3">
      <c r="D2095" s="40"/>
      <c r="J2095" s="134"/>
    </row>
    <row r="2096" spans="4:10" x14ac:dyDescent="0.3">
      <c r="D2096" s="40"/>
      <c r="J2096" s="134"/>
    </row>
    <row r="2097" spans="4:10" x14ac:dyDescent="0.3">
      <c r="D2097" s="40"/>
      <c r="J2097" s="134"/>
    </row>
    <row r="2098" spans="4:10" x14ac:dyDescent="0.3">
      <c r="D2098" s="40"/>
      <c r="J2098" s="134"/>
    </row>
    <row r="2099" spans="4:10" x14ac:dyDescent="0.3">
      <c r="D2099" s="40"/>
      <c r="J2099" s="134"/>
    </row>
    <row r="2100" spans="4:10" x14ac:dyDescent="0.3">
      <c r="D2100" s="40"/>
      <c r="J2100" s="134"/>
    </row>
    <row r="2101" spans="4:10" x14ac:dyDescent="0.3">
      <c r="D2101" s="40"/>
      <c r="J2101" s="134"/>
    </row>
    <row r="2102" spans="4:10" x14ac:dyDescent="0.3">
      <c r="D2102" s="40"/>
      <c r="J2102" s="134"/>
    </row>
    <row r="2103" spans="4:10" x14ac:dyDescent="0.3">
      <c r="D2103" s="40"/>
      <c r="J2103" s="134"/>
    </row>
    <row r="2104" spans="4:10" x14ac:dyDescent="0.3">
      <c r="D2104" s="40"/>
      <c r="J2104" s="134"/>
    </row>
    <row r="2105" spans="4:10" x14ac:dyDescent="0.3">
      <c r="D2105" s="40"/>
      <c r="J2105" s="134"/>
    </row>
    <row r="2106" spans="4:10" x14ac:dyDescent="0.3">
      <c r="D2106" s="40"/>
      <c r="J2106" s="134"/>
    </row>
    <row r="2107" spans="4:10" x14ac:dyDescent="0.3">
      <c r="D2107" s="40"/>
      <c r="J2107" s="134"/>
    </row>
    <row r="2108" spans="4:10" x14ac:dyDescent="0.3">
      <c r="D2108" s="40"/>
      <c r="J2108" s="134"/>
    </row>
    <row r="2109" spans="4:10" x14ac:dyDescent="0.3">
      <c r="D2109" s="40"/>
      <c r="J2109" s="134"/>
    </row>
    <row r="2110" spans="4:10" x14ac:dyDescent="0.3">
      <c r="D2110" s="40"/>
      <c r="J2110" s="134"/>
    </row>
    <row r="2111" spans="4:10" x14ac:dyDescent="0.3">
      <c r="D2111" s="40"/>
      <c r="J2111" s="134"/>
    </row>
    <row r="2112" spans="4:10" x14ac:dyDescent="0.3">
      <c r="D2112" s="40"/>
      <c r="J2112" s="134"/>
    </row>
    <row r="2113" spans="4:10" x14ac:dyDescent="0.3">
      <c r="D2113" s="40"/>
      <c r="J2113" s="134"/>
    </row>
    <row r="2114" spans="4:10" x14ac:dyDescent="0.3">
      <c r="D2114" s="40"/>
      <c r="J2114" s="134"/>
    </row>
    <row r="2115" spans="4:10" x14ac:dyDescent="0.3">
      <c r="D2115" s="40"/>
      <c r="J2115" s="134"/>
    </row>
    <row r="2116" spans="4:10" x14ac:dyDescent="0.3">
      <c r="D2116" s="40"/>
      <c r="J2116" s="134"/>
    </row>
    <row r="2117" spans="4:10" x14ac:dyDescent="0.3">
      <c r="D2117" s="40"/>
      <c r="J2117" s="134"/>
    </row>
    <row r="2118" spans="4:10" x14ac:dyDescent="0.3">
      <c r="D2118" s="40"/>
      <c r="J2118" s="134"/>
    </row>
    <row r="2119" spans="4:10" x14ac:dyDescent="0.3">
      <c r="D2119" s="40"/>
      <c r="J2119" s="134"/>
    </row>
    <row r="2120" spans="4:10" x14ac:dyDescent="0.3">
      <c r="D2120" s="40"/>
      <c r="J2120" s="134"/>
    </row>
    <row r="2121" spans="4:10" x14ac:dyDescent="0.3">
      <c r="D2121" s="40"/>
      <c r="J2121" s="134"/>
    </row>
    <row r="2122" spans="4:10" x14ac:dyDescent="0.3">
      <c r="D2122" s="40"/>
      <c r="J2122" s="134"/>
    </row>
    <row r="2123" spans="4:10" x14ac:dyDescent="0.3">
      <c r="D2123" s="40"/>
      <c r="J2123" s="134"/>
    </row>
    <row r="2124" spans="4:10" x14ac:dyDescent="0.3">
      <c r="D2124" s="40"/>
      <c r="J2124" s="134"/>
    </row>
    <row r="2125" spans="4:10" x14ac:dyDescent="0.3">
      <c r="D2125" s="40"/>
      <c r="J2125" s="134"/>
    </row>
    <row r="2126" spans="4:10" x14ac:dyDescent="0.3">
      <c r="D2126" s="40"/>
      <c r="J2126" s="134"/>
    </row>
    <row r="2127" spans="4:10" x14ac:dyDescent="0.3">
      <c r="D2127" s="40"/>
      <c r="J2127" s="134"/>
    </row>
    <row r="2128" spans="4:10" x14ac:dyDescent="0.3">
      <c r="D2128" s="40"/>
      <c r="J2128" s="134"/>
    </row>
    <row r="2129" spans="4:10" x14ac:dyDescent="0.3">
      <c r="D2129" s="40"/>
      <c r="J2129" s="134"/>
    </row>
    <row r="2130" spans="4:10" x14ac:dyDescent="0.3">
      <c r="D2130" s="40"/>
      <c r="J2130" s="134"/>
    </row>
    <row r="2131" spans="4:10" x14ac:dyDescent="0.3">
      <c r="D2131" s="40"/>
      <c r="J2131" s="134"/>
    </row>
    <row r="2132" spans="4:10" x14ac:dyDescent="0.3">
      <c r="D2132" s="40"/>
      <c r="J2132" s="134"/>
    </row>
    <row r="2133" spans="4:10" x14ac:dyDescent="0.3">
      <c r="D2133" s="40"/>
      <c r="J2133" s="134"/>
    </row>
    <row r="2134" spans="4:10" x14ac:dyDescent="0.3">
      <c r="D2134" s="40"/>
      <c r="J2134" s="134"/>
    </row>
    <row r="2135" spans="4:10" x14ac:dyDescent="0.3">
      <c r="D2135" s="40"/>
      <c r="J2135" s="134"/>
    </row>
    <row r="2136" spans="4:10" x14ac:dyDescent="0.3">
      <c r="D2136" s="40"/>
      <c r="J2136" s="134"/>
    </row>
    <row r="2137" spans="4:10" x14ac:dyDescent="0.3">
      <c r="D2137" s="40"/>
      <c r="J2137" s="134"/>
    </row>
    <row r="2138" spans="4:10" x14ac:dyDescent="0.3">
      <c r="D2138" s="40"/>
      <c r="J2138" s="134"/>
    </row>
    <row r="2139" spans="4:10" x14ac:dyDescent="0.3">
      <c r="D2139" s="40"/>
      <c r="J2139" s="134"/>
    </row>
    <row r="2140" spans="4:10" x14ac:dyDescent="0.3">
      <c r="D2140" s="40"/>
      <c r="J2140" s="134"/>
    </row>
    <row r="2141" spans="4:10" x14ac:dyDescent="0.3">
      <c r="D2141" s="40"/>
      <c r="J2141" s="134"/>
    </row>
    <row r="2142" spans="4:10" x14ac:dyDescent="0.3">
      <c r="D2142" s="40"/>
      <c r="J2142" s="134"/>
    </row>
    <row r="2143" spans="4:10" x14ac:dyDescent="0.3">
      <c r="D2143" s="40"/>
      <c r="J2143" s="134"/>
    </row>
    <row r="2144" spans="4:10" x14ac:dyDescent="0.3">
      <c r="D2144" s="40"/>
      <c r="J2144" s="134"/>
    </row>
    <row r="2145" spans="4:10" x14ac:dyDescent="0.3">
      <c r="D2145" s="40"/>
      <c r="J2145" s="134"/>
    </row>
    <row r="2146" spans="4:10" x14ac:dyDescent="0.3">
      <c r="D2146" s="40"/>
      <c r="J2146" s="134"/>
    </row>
    <row r="2147" spans="4:10" x14ac:dyDescent="0.3">
      <c r="D2147" s="40"/>
      <c r="J2147" s="134"/>
    </row>
    <row r="2148" spans="4:10" x14ac:dyDescent="0.3">
      <c r="D2148" s="40"/>
      <c r="J2148" s="134"/>
    </row>
    <row r="2149" spans="4:10" x14ac:dyDescent="0.3">
      <c r="D2149" s="40"/>
      <c r="J2149" s="134"/>
    </row>
    <row r="2150" spans="4:10" x14ac:dyDescent="0.3">
      <c r="D2150" s="40"/>
      <c r="J2150" s="134"/>
    </row>
    <row r="2151" spans="4:10" x14ac:dyDescent="0.3">
      <c r="D2151" s="40"/>
      <c r="J2151" s="134"/>
    </row>
    <row r="2152" spans="4:10" x14ac:dyDescent="0.3">
      <c r="D2152" s="40"/>
      <c r="J2152" s="134"/>
    </row>
    <row r="2153" spans="4:10" x14ac:dyDescent="0.3">
      <c r="D2153" s="40"/>
      <c r="J2153" s="134"/>
    </row>
    <row r="2154" spans="4:10" x14ac:dyDescent="0.3">
      <c r="D2154" s="40"/>
      <c r="J2154" s="134"/>
    </row>
    <row r="2155" spans="4:10" x14ac:dyDescent="0.3">
      <c r="D2155" s="40"/>
      <c r="J2155" s="134"/>
    </row>
    <row r="2156" spans="4:10" x14ac:dyDescent="0.3">
      <c r="D2156" s="40"/>
      <c r="J2156" s="134"/>
    </row>
    <row r="2157" spans="4:10" x14ac:dyDescent="0.3">
      <c r="D2157" s="40"/>
      <c r="J2157" s="134"/>
    </row>
    <row r="2158" spans="4:10" x14ac:dyDescent="0.3">
      <c r="D2158" s="40"/>
      <c r="J2158" s="134"/>
    </row>
    <row r="2159" spans="4:10" x14ac:dyDescent="0.3">
      <c r="D2159" s="40"/>
      <c r="J2159" s="134"/>
    </row>
    <row r="2160" spans="4:10" x14ac:dyDescent="0.3">
      <c r="D2160" s="40"/>
      <c r="J2160" s="134"/>
    </row>
    <row r="2161" spans="4:10" x14ac:dyDescent="0.3">
      <c r="D2161" s="40"/>
      <c r="J2161" s="134"/>
    </row>
    <row r="2162" spans="4:10" x14ac:dyDescent="0.3">
      <c r="D2162" s="40"/>
      <c r="J2162" s="134"/>
    </row>
    <row r="2163" spans="4:10" x14ac:dyDescent="0.3">
      <c r="D2163" s="40"/>
      <c r="J2163" s="134"/>
    </row>
    <row r="2164" spans="4:10" x14ac:dyDescent="0.3">
      <c r="D2164" s="40"/>
      <c r="J2164" s="134"/>
    </row>
    <row r="2165" spans="4:10" x14ac:dyDescent="0.3">
      <c r="D2165" s="40"/>
      <c r="J2165" s="134"/>
    </row>
    <row r="2166" spans="4:10" x14ac:dyDescent="0.3">
      <c r="D2166" s="40"/>
      <c r="J2166" s="134"/>
    </row>
    <row r="2167" spans="4:10" x14ac:dyDescent="0.3">
      <c r="D2167" s="40"/>
      <c r="J2167" s="134"/>
    </row>
    <row r="2168" spans="4:10" x14ac:dyDescent="0.3">
      <c r="D2168" s="40"/>
      <c r="J2168" s="134"/>
    </row>
    <row r="2169" spans="4:10" x14ac:dyDescent="0.3">
      <c r="D2169" s="40"/>
      <c r="J2169" s="134"/>
    </row>
    <row r="2170" spans="4:10" x14ac:dyDescent="0.3">
      <c r="D2170" s="40"/>
      <c r="J2170" s="134"/>
    </row>
    <row r="2171" spans="4:10" x14ac:dyDescent="0.3">
      <c r="D2171" s="40"/>
      <c r="J2171" s="134"/>
    </row>
    <row r="2172" spans="4:10" x14ac:dyDescent="0.3">
      <c r="D2172" s="40"/>
      <c r="J2172" s="134"/>
    </row>
    <row r="2173" spans="4:10" x14ac:dyDescent="0.3">
      <c r="D2173" s="40"/>
      <c r="J2173" s="134"/>
    </row>
    <row r="2174" spans="4:10" x14ac:dyDescent="0.3">
      <c r="D2174" s="40"/>
      <c r="J2174" s="134"/>
    </row>
    <row r="2175" spans="4:10" x14ac:dyDescent="0.3">
      <c r="D2175" s="40"/>
      <c r="J2175" s="134"/>
    </row>
    <row r="2176" spans="4:10" x14ac:dyDescent="0.3">
      <c r="D2176" s="40"/>
      <c r="J2176" s="134"/>
    </row>
    <row r="2177" spans="4:10" x14ac:dyDescent="0.3">
      <c r="D2177" s="40"/>
      <c r="J2177" s="134"/>
    </row>
    <row r="2178" spans="4:10" x14ac:dyDescent="0.3">
      <c r="D2178" s="40"/>
      <c r="J2178" s="134"/>
    </row>
    <row r="2179" spans="4:10" x14ac:dyDescent="0.3">
      <c r="D2179" s="40"/>
      <c r="J2179" s="134"/>
    </row>
    <row r="2180" spans="4:10" x14ac:dyDescent="0.3">
      <c r="D2180" s="40"/>
      <c r="J2180" s="134"/>
    </row>
    <row r="2181" spans="4:10" x14ac:dyDescent="0.3">
      <c r="D2181" s="40"/>
      <c r="J2181" s="134"/>
    </row>
    <row r="2182" spans="4:10" x14ac:dyDescent="0.3">
      <c r="D2182" s="40"/>
      <c r="J2182" s="134"/>
    </row>
    <row r="2183" spans="4:10" x14ac:dyDescent="0.3">
      <c r="D2183" s="40"/>
      <c r="J2183" s="134"/>
    </row>
    <row r="2184" spans="4:10" x14ac:dyDescent="0.3">
      <c r="D2184" s="40"/>
      <c r="J2184" s="134"/>
    </row>
    <row r="2185" spans="4:10" x14ac:dyDescent="0.3">
      <c r="D2185" s="40"/>
      <c r="J2185" s="134"/>
    </row>
    <row r="2186" spans="4:10" x14ac:dyDescent="0.3">
      <c r="D2186" s="40"/>
      <c r="J2186" s="134"/>
    </row>
    <row r="2187" spans="4:10" x14ac:dyDescent="0.3">
      <c r="D2187" s="40"/>
      <c r="J2187" s="134"/>
    </row>
    <row r="2188" spans="4:10" x14ac:dyDescent="0.3">
      <c r="D2188" s="40"/>
      <c r="J2188" s="134"/>
    </row>
    <row r="2189" spans="4:10" x14ac:dyDescent="0.3">
      <c r="D2189" s="40"/>
      <c r="J2189" s="134"/>
    </row>
    <row r="2190" spans="4:10" x14ac:dyDescent="0.3">
      <c r="D2190" s="40"/>
      <c r="J2190" s="134"/>
    </row>
    <row r="2191" spans="4:10" x14ac:dyDescent="0.3">
      <c r="D2191" s="40"/>
      <c r="J2191" s="134"/>
    </row>
    <row r="2192" spans="4:10" x14ac:dyDescent="0.3">
      <c r="D2192" s="40"/>
      <c r="J2192" s="134"/>
    </row>
    <row r="2193" spans="4:10" x14ac:dyDescent="0.3">
      <c r="D2193" s="40"/>
      <c r="J2193" s="134"/>
    </row>
    <row r="2194" spans="4:10" x14ac:dyDescent="0.3">
      <c r="D2194" s="40"/>
      <c r="J2194" s="134"/>
    </row>
    <row r="2195" spans="4:10" x14ac:dyDescent="0.3">
      <c r="D2195" s="40"/>
      <c r="J2195" s="134"/>
    </row>
    <row r="2196" spans="4:10" x14ac:dyDescent="0.3">
      <c r="D2196" s="40"/>
      <c r="J2196" s="134"/>
    </row>
    <row r="2197" spans="4:10" x14ac:dyDescent="0.3">
      <c r="D2197" s="40"/>
      <c r="J2197" s="134"/>
    </row>
    <row r="2198" spans="4:10" x14ac:dyDescent="0.3">
      <c r="D2198" s="40"/>
      <c r="J2198" s="134"/>
    </row>
    <row r="2199" spans="4:10" x14ac:dyDescent="0.3">
      <c r="D2199" s="40"/>
      <c r="J2199" s="134"/>
    </row>
    <row r="2200" spans="4:10" x14ac:dyDescent="0.3">
      <c r="D2200" s="40"/>
      <c r="J2200" s="134"/>
    </row>
    <row r="2201" spans="4:10" x14ac:dyDescent="0.3">
      <c r="D2201" s="40"/>
      <c r="J2201" s="134"/>
    </row>
    <row r="2202" spans="4:10" x14ac:dyDescent="0.3">
      <c r="D2202" s="40"/>
      <c r="J2202" s="134"/>
    </row>
    <row r="2203" spans="4:10" x14ac:dyDescent="0.3">
      <c r="D2203" s="40"/>
      <c r="J2203" s="134"/>
    </row>
    <row r="2204" spans="4:10" x14ac:dyDescent="0.3">
      <c r="D2204" s="40"/>
      <c r="J2204" s="134"/>
    </row>
    <row r="2205" spans="4:10" x14ac:dyDescent="0.3">
      <c r="D2205" s="40"/>
      <c r="J2205" s="134"/>
    </row>
    <row r="2206" spans="4:10" x14ac:dyDescent="0.3">
      <c r="D2206" s="40"/>
      <c r="J2206" s="134"/>
    </row>
    <row r="2207" spans="4:10" x14ac:dyDescent="0.3">
      <c r="D2207" s="40"/>
      <c r="J2207" s="134"/>
    </row>
    <row r="2208" spans="4:10" x14ac:dyDescent="0.3">
      <c r="D2208" s="40"/>
      <c r="J2208" s="134"/>
    </row>
    <row r="2209" spans="4:10" x14ac:dyDescent="0.3">
      <c r="D2209" s="40"/>
      <c r="J2209" s="134"/>
    </row>
    <row r="2210" spans="4:10" x14ac:dyDescent="0.3">
      <c r="D2210" s="40"/>
      <c r="J2210" s="134"/>
    </row>
    <row r="2211" spans="4:10" x14ac:dyDescent="0.3">
      <c r="D2211" s="40"/>
      <c r="J2211" s="134"/>
    </row>
    <row r="2212" spans="4:10" x14ac:dyDescent="0.3">
      <c r="D2212" s="40"/>
      <c r="J2212" s="134"/>
    </row>
    <row r="2213" spans="4:10" x14ac:dyDescent="0.3">
      <c r="D2213" s="40"/>
      <c r="J2213" s="134"/>
    </row>
    <row r="2214" spans="4:10" x14ac:dyDescent="0.3">
      <c r="D2214" s="40"/>
      <c r="J2214" s="134"/>
    </row>
    <row r="2215" spans="4:10" x14ac:dyDescent="0.3">
      <c r="D2215" s="40"/>
      <c r="J2215" s="134"/>
    </row>
    <row r="2216" spans="4:10" x14ac:dyDescent="0.3">
      <c r="D2216" s="40"/>
      <c r="J2216" s="134"/>
    </row>
    <row r="2217" spans="4:10" x14ac:dyDescent="0.3">
      <c r="D2217" s="40"/>
      <c r="J2217" s="134"/>
    </row>
    <row r="2218" spans="4:10" x14ac:dyDescent="0.3">
      <c r="D2218" s="40"/>
      <c r="J2218" s="134"/>
    </row>
    <row r="2219" spans="4:10" x14ac:dyDescent="0.3">
      <c r="D2219" s="40"/>
      <c r="J2219" s="134"/>
    </row>
    <row r="2220" spans="4:10" x14ac:dyDescent="0.3">
      <c r="D2220" s="40"/>
      <c r="J2220" s="134"/>
    </row>
    <row r="2221" spans="4:10" x14ac:dyDescent="0.3">
      <c r="D2221" s="40"/>
      <c r="J2221" s="134"/>
    </row>
    <row r="2222" spans="4:10" x14ac:dyDescent="0.3">
      <c r="D2222" s="40"/>
      <c r="J2222" s="134"/>
    </row>
    <row r="2223" spans="4:10" x14ac:dyDescent="0.3">
      <c r="D2223" s="40"/>
      <c r="J2223" s="134"/>
    </row>
    <row r="2224" spans="4:10" x14ac:dyDescent="0.3">
      <c r="D2224" s="40"/>
      <c r="J2224" s="134"/>
    </row>
    <row r="2225" spans="4:10" x14ac:dyDescent="0.3">
      <c r="D2225" s="40"/>
      <c r="J2225" s="134"/>
    </row>
    <row r="2226" spans="4:10" x14ac:dyDescent="0.3">
      <c r="D2226" s="40"/>
      <c r="J2226" s="134"/>
    </row>
    <row r="2227" spans="4:10" x14ac:dyDescent="0.3">
      <c r="D2227" s="40"/>
      <c r="J2227" s="134"/>
    </row>
    <row r="2228" spans="4:10" x14ac:dyDescent="0.3">
      <c r="D2228" s="40"/>
      <c r="J2228" s="134"/>
    </row>
    <row r="2229" spans="4:10" x14ac:dyDescent="0.3">
      <c r="D2229" s="40"/>
      <c r="J2229" s="134"/>
    </row>
    <row r="2230" spans="4:10" x14ac:dyDescent="0.3">
      <c r="D2230" s="40"/>
      <c r="J2230" s="134"/>
    </row>
    <row r="2231" spans="4:10" x14ac:dyDescent="0.3">
      <c r="D2231" s="40"/>
      <c r="J2231" s="134"/>
    </row>
    <row r="2232" spans="4:10" x14ac:dyDescent="0.3">
      <c r="D2232" s="40"/>
      <c r="J2232" s="134"/>
    </row>
    <row r="2233" spans="4:10" x14ac:dyDescent="0.3">
      <c r="D2233" s="40"/>
      <c r="J2233" s="134"/>
    </row>
    <row r="2234" spans="4:10" x14ac:dyDescent="0.3">
      <c r="D2234" s="40"/>
      <c r="J2234" s="134"/>
    </row>
    <row r="2235" spans="4:10" x14ac:dyDescent="0.3">
      <c r="D2235" s="40"/>
      <c r="J2235" s="134"/>
    </row>
    <row r="2236" spans="4:10" x14ac:dyDescent="0.3">
      <c r="D2236" s="40"/>
      <c r="J2236" s="134"/>
    </row>
    <row r="2237" spans="4:10" x14ac:dyDescent="0.3">
      <c r="D2237" s="40"/>
      <c r="J2237" s="134"/>
    </row>
    <row r="2238" spans="4:10" x14ac:dyDescent="0.3">
      <c r="D2238" s="40"/>
      <c r="J2238" s="134"/>
    </row>
    <row r="2239" spans="4:10" x14ac:dyDescent="0.3">
      <c r="D2239" s="40"/>
      <c r="J2239" s="134"/>
    </row>
    <row r="2240" spans="4:10" x14ac:dyDescent="0.3">
      <c r="D2240" s="40"/>
      <c r="J2240" s="134"/>
    </row>
    <row r="2241" spans="4:10" x14ac:dyDescent="0.3">
      <c r="D2241" s="40"/>
      <c r="J2241" s="134"/>
    </row>
    <row r="2242" spans="4:10" x14ac:dyDescent="0.3">
      <c r="D2242" s="40"/>
      <c r="J2242" s="134"/>
    </row>
    <row r="2243" spans="4:10" x14ac:dyDescent="0.3">
      <c r="D2243" s="40"/>
      <c r="J2243" s="134"/>
    </row>
    <row r="2244" spans="4:10" x14ac:dyDescent="0.3">
      <c r="D2244" s="40"/>
      <c r="J2244" s="134"/>
    </row>
    <row r="2245" spans="4:10" x14ac:dyDescent="0.3">
      <c r="D2245" s="40"/>
      <c r="J2245" s="134"/>
    </row>
    <row r="2246" spans="4:10" x14ac:dyDescent="0.3">
      <c r="D2246" s="40"/>
      <c r="J2246" s="134"/>
    </row>
    <row r="2247" spans="4:10" x14ac:dyDescent="0.3">
      <c r="D2247" s="40"/>
      <c r="J2247" s="134"/>
    </row>
    <row r="2248" spans="4:10" x14ac:dyDescent="0.3">
      <c r="D2248" s="40"/>
      <c r="J2248" s="134"/>
    </row>
    <row r="2249" spans="4:10" x14ac:dyDescent="0.3">
      <c r="D2249" s="40"/>
      <c r="J2249" s="134"/>
    </row>
    <row r="2250" spans="4:10" x14ac:dyDescent="0.3">
      <c r="D2250" s="40"/>
      <c r="J2250" s="134"/>
    </row>
    <row r="2251" spans="4:10" x14ac:dyDescent="0.3">
      <c r="D2251" s="40"/>
      <c r="J2251" s="134"/>
    </row>
    <row r="2252" spans="4:10" x14ac:dyDescent="0.3">
      <c r="D2252" s="40"/>
      <c r="J2252" s="134"/>
    </row>
    <row r="2253" spans="4:10" x14ac:dyDescent="0.3">
      <c r="D2253" s="40"/>
      <c r="J2253" s="134"/>
    </row>
    <row r="2254" spans="4:10" x14ac:dyDescent="0.3">
      <c r="D2254" s="40"/>
      <c r="J2254" s="134"/>
    </row>
    <row r="2255" spans="4:10" x14ac:dyDescent="0.3">
      <c r="D2255" s="40"/>
      <c r="J2255" s="134"/>
    </row>
    <row r="2256" spans="4:10" x14ac:dyDescent="0.3">
      <c r="D2256" s="40"/>
      <c r="J2256" s="134"/>
    </row>
    <row r="2257" spans="4:10" x14ac:dyDescent="0.3">
      <c r="D2257" s="40"/>
      <c r="J2257" s="134"/>
    </row>
    <row r="2258" spans="4:10" x14ac:dyDescent="0.3">
      <c r="D2258" s="40"/>
      <c r="J2258" s="134"/>
    </row>
    <row r="2259" spans="4:10" x14ac:dyDescent="0.3">
      <c r="D2259" s="40"/>
      <c r="J2259" s="134"/>
    </row>
    <row r="2260" spans="4:10" x14ac:dyDescent="0.3">
      <c r="D2260" s="40"/>
      <c r="J2260" s="134"/>
    </row>
    <row r="2261" spans="4:10" x14ac:dyDescent="0.3">
      <c r="D2261" s="40"/>
      <c r="J2261" s="134"/>
    </row>
    <row r="2262" spans="4:10" x14ac:dyDescent="0.3">
      <c r="D2262" s="40"/>
      <c r="J2262" s="134"/>
    </row>
    <row r="2263" spans="4:10" x14ac:dyDescent="0.3">
      <c r="D2263" s="40"/>
      <c r="J2263" s="134"/>
    </row>
    <row r="2264" spans="4:10" x14ac:dyDescent="0.3">
      <c r="D2264" s="40"/>
      <c r="J2264" s="134"/>
    </row>
    <row r="2265" spans="4:10" x14ac:dyDescent="0.3">
      <c r="D2265" s="40"/>
      <c r="J2265" s="134"/>
    </row>
    <row r="2266" spans="4:10" x14ac:dyDescent="0.3">
      <c r="D2266" s="40"/>
      <c r="J2266" s="134"/>
    </row>
    <row r="2267" spans="4:10" x14ac:dyDescent="0.3">
      <c r="D2267" s="40"/>
      <c r="J2267" s="134"/>
    </row>
    <row r="2268" spans="4:10" x14ac:dyDescent="0.3">
      <c r="D2268" s="40"/>
      <c r="J2268" s="134"/>
    </row>
    <row r="2269" spans="4:10" x14ac:dyDescent="0.3">
      <c r="D2269" s="40"/>
      <c r="J2269" s="134"/>
    </row>
    <row r="2270" spans="4:10" x14ac:dyDescent="0.3">
      <c r="D2270" s="40"/>
      <c r="J2270" s="134"/>
    </row>
    <row r="2271" spans="4:10" x14ac:dyDescent="0.3">
      <c r="D2271" s="40"/>
      <c r="J2271" s="134"/>
    </row>
    <row r="2272" spans="4:10" x14ac:dyDescent="0.3">
      <c r="D2272" s="40"/>
      <c r="J2272" s="134"/>
    </row>
    <row r="2273" spans="4:10" x14ac:dyDescent="0.3">
      <c r="D2273" s="40"/>
      <c r="J2273" s="134"/>
    </row>
    <row r="2274" spans="4:10" x14ac:dyDescent="0.3">
      <c r="D2274" s="40"/>
      <c r="J2274" s="134"/>
    </row>
    <row r="2275" spans="4:10" x14ac:dyDescent="0.3">
      <c r="D2275" s="40"/>
      <c r="J2275" s="134"/>
    </row>
    <row r="2276" spans="4:10" x14ac:dyDescent="0.3">
      <c r="D2276" s="40"/>
      <c r="J2276" s="134"/>
    </row>
    <row r="2277" spans="4:10" x14ac:dyDescent="0.3">
      <c r="D2277" s="40"/>
      <c r="J2277" s="134"/>
    </row>
    <row r="2278" spans="4:10" x14ac:dyDescent="0.3">
      <c r="D2278" s="40"/>
      <c r="J2278" s="134"/>
    </row>
    <row r="2279" spans="4:10" x14ac:dyDescent="0.3">
      <c r="D2279" s="40"/>
      <c r="J2279" s="134"/>
    </row>
    <row r="2280" spans="4:10" x14ac:dyDescent="0.3">
      <c r="D2280" s="40"/>
      <c r="J2280" s="134"/>
    </row>
    <row r="2281" spans="4:10" x14ac:dyDescent="0.3">
      <c r="D2281" s="40"/>
      <c r="J2281" s="134"/>
    </row>
    <row r="2282" spans="4:10" x14ac:dyDescent="0.3">
      <c r="D2282" s="40"/>
      <c r="J2282" s="134"/>
    </row>
    <row r="2283" spans="4:10" x14ac:dyDescent="0.3">
      <c r="D2283" s="40"/>
      <c r="J2283" s="134"/>
    </row>
    <row r="2284" spans="4:10" x14ac:dyDescent="0.3">
      <c r="D2284" s="40"/>
      <c r="J2284" s="134"/>
    </row>
    <row r="2285" spans="4:10" x14ac:dyDescent="0.3">
      <c r="D2285" s="40"/>
      <c r="J2285" s="134"/>
    </row>
    <row r="2286" spans="4:10" x14ac:dyDescent="0.3">
      <c r="D2286" s="40"/>
      <c r="J2286" s="134"/>
    </row>
    <row r="2287" spans="4:10" x14ac:dyDescent="0.3">
      <c r="D2287" s="40"/>
      <c r="J2287" s="134"/>
    </row>
    <row r="2288" spans="4:10" x14ac:dyDescent="0.3">
      <c r="D2288" s="40"/>
      <c r="J2288" s="134"/>
    </row>
    <row r="2289" spans="4:10" x14ac:dyDescent="0.3">
      <c r="D2289" s="40"/>
      <c r="J2289" s="134"/>
    </row>
    <row r="2290" spans="4:10" x14ac:dyDescent="0.3">
      <c r="D2290" s="40"/>
      <c r="J2290" s="134"/>
    </row>
    <row r="2291" spans="4:10" x14ac:dyDescent="0.3">
      <c r="D2291" s="40"/>
      <c r="J2291" s="134"/>
    </row>
    <row r="2292" spans="4:10" x14ac:dyDescent="0.3">
      <c r="D2292" s="40"/>
      <c r="J2292" s="134"/>
    </row>
    <row r="2293" spans="4:10" x14ac:dyDescent="0.3">
      <c r="D2293" s="40"/>
      <c r="J2293" s="134"/>
    </row>
    <row r="2294" spans="4:10" x14ac:dyDescent="0.3">
      <c r="D2294" s="40"/>
      <c r="J2294" s="134"/>
    </row>
    <row r="2295" spans="4:10" x14ac:dyDescent="0.3">
      <c r="D2295" s="40"/>
      <c r="J2295" s="134"/>
    </row>
    <row r="2296" spans="4:10" x14ac:dyDescent="0.3">
      <c r="D2296" s="40"/>
      <c r="J2296" s="134"/>
    </row>
    <row r="2297" spans="4:10" x14ac:dyDescent="0.3">
      <c r="D2297" s="40"/>
      <c r="J2297" s="134"/>
    </row>
    <row r="2298" spans="4:10" x14ac:dyDescent="0.3">
      <c r="D2298" s="40"/>
      <c r="J2298" s="134"/>
    </row>
    <row r="2299" spans="4:10" x14ac:dyDescent="0.3">
      <c r="D2299" s="40"/>
      <c r="J2299" s="134"/>
    </row>
    <row r="2300" spans="4:10" x14ac:dyDescent="0.3">
      <c r="D2300" s="40"/>
      <c r="J2300" s="134"/>
    </row>
    <row r="2301" spans="4:10" x14ac:dyDescent="0.3">
      <c r="D2301" s="40"/>
      <c r="J2301" s="134"/>
    </row>
    <row r="2302" spans="4:10" x14ac:dyDescent="0.3">
      <c r="D2302" s="40"/>
      <c r="J2302" s="134"/>
    </row>
    <row r="2303" spans="4:10" x14ac:dyDescent="0.3">
      <c r="D2303" s="40"/>
      <c r="J2303" s="134"/>
    </row>
    <row r="2304" spans="4:10" x14ac:dyDescent="0.3">
      <c r="D2304" s="40"/>
      <c r="J2304" s="134"/>
    </row>
    <row r="2305" spans="4:10" x14ac:dyDescent="0.3">
      <c r="D2305" s="40"/>
      <c r="J2305" s="134"/>
    </row>
    <row r="2306" spans="4:10" x14ac:dyDescent="0.3">
      <c r="D2306" s="40"/>
      <c r="J2306" s="134"/>
    </row>
    <row r="2307" spans="4:10" x14ac:dyDescent="0.3">
      <c r="D2307" s="40"/>
      <c r="J2307" s="134"/>
    </row>
    <row r="2308" spans="4:10" x14ac:dyDescent="0.3">
      <c r="D2308" s="40"/>
      <c r="J2308" s="134"/>
    </row>
    <row r="2309" spans="4:10" x14ac:dyDescent="0.3">
      <c r="D2309" s="40"/>
      <c r="J2309" s="134"/>
    </row>
    <row r="2310" spans="4:10" x14ac:dyDescent="0.3">
      <c r="D2310" s="40"/>
      <c r="J2310" s="134"/>
    </row>
    <row r="2311" spans="4:10" x14ac:dyDescent="0.3">
      <c r="D2311" s="40"/>
      <c r="J2311" s="134"/>
    </row>
    <row r="2312" spans="4:10" x14ac:dyDescent="0.3">
      <c r="D2312" s="40"/>
      <c r="J2312" s="134"/>
    </row>
    <row r="2313" spans="4:10" x14ac:dyDescent="0.3">
      <c r="D2313" s="40"/>
      <c r="J2313" s="134"/>
    </row>
    <row r="2314" spans="4:10" x14ac:dyDescent="0.3">
      <c r="D2314" s="40"/>
      <c r="J2314" s="134"/>
    </row>
    <row r="2315" spans="4:10" x14ac:dyDescent="0.3">
      <c r="D2315" s="40"/>
      <c r="J2315" s="134"/>
    </row>
    <row r="2316" spans="4:10" x14ac:dyDescent="0.3">
      <c r="D2316" s="40"/>
      <c r="J2316" s="134"/>
    </row>
    <row r="2317" spans="4:10" x14ac:dyDescent="0.3">
      <c r="D2317" s="40"/>
      <c r="J2317" s="134"/>
    </row>
    <row r="2318" spans="4:10" x14ac:dyDescent="0.3">
      <c r="D2318" s="40"/>
      <c r="J2318" s="134"/>
    </row>
    <row r="2319" spans="4:10" x14ac:dyDescent="0.3">
      <c r="D2319" s="40"/>
      <c r="J2319" s="134"/>
    </row>
    <row r="2320" spans="4:10" x14ac:dyDescent="0.3">
      <c r="D2320" s="40"/>
      <c r="J2320" s="134"/>
    </row>
    <row r="2321" spans="4:10" x14ac:dyDescent="0.3">
      <c r="D2321" s="40"/>
      <c r="J2321" s="134"/>
    </row>
    <row r="2322" spans="4:10" x14ac:dyDescent="0.3">
      <c r="D2322" s="40"/>
      <c r="J2322" s="134"/>
    </row>
    <row r="2323" spans="4:10" x14ac:dyDescent="0.3">
      <c r="D2323" s="40"/>
      <c r="J2323" s="134"/>
    </row>
    <row r="2324" spans="4:10" x14ac:dyDescent="0.3">
      <c r="D2324" s="40"/>
      <c r="J2324" s="134"/>
    </row>
    <row r="2325" spans="4:10" x14ac:dyDescent="0.3">
      <c r="D2325" s="40"/>
      <c r="J2325" s="134"/>
    </row>
    <row r="2326" spans="4:10" x14ac:dyDescent="0.3">
      <c r="D2326" s="40"/>
      <c r="J2326" s="134"/>
    </row>
    <row r="2327" spans="4:10" x14ac:dyDescent="0.3">
      <c r="D2327" s="40"/>
      <c r="J2327" s="134"/>
    </row>
    <row r="2328" spans="4:10" x14ac:dyDescent="0.3">
      <c r="D2328" s="40"/>
      <c r="J2328" s="134"/>
    </row>
    <row r="2329" spans="4:10" x14ac:dyDescent="0.3">
      <c r="D2329" s="40"/>
      <c r="J2329" s="134"/>
    </row>
    <row r="2330" spans="4:10" x14ac:dyDescent="0.3">
      <c r="D2330" s="40"/>
      <c r="J2330" s="134"/>
    </row>
    <row r="2331" spans="4:10" x14ac:dyDescent="0.3">
      <c r="D2331" s="40"/>
      <c r="J2331" s="134"/>
    </row>
    <row r="2332" spans="4:10" x14ac:dyDescent="0.3">
      <c r="D2332" s="40"/>
      <c r="J2332" s="134"/>
    </row>
    <row r="2333" spans="4:10" x14ac:dyDescent="0.3">
      <c r="D2333" s="40"/>
      <c r="J2333" s="134"/>
    </row>
    <row r="2334" spans="4:10" x14ac:dyDescent="0.3">
      <c r="D2334" s="40"/>
      <c r="J2334" s="134"/>
    </row>
    <row r="2335" spans="4:10" x14ac:dyDescent="0.3">
      <c r="D2335" s="40"/>
      <c r="J2335" s="134"/>
    </row>
    <row r="2336" spans="4:10" x14ac:dyDescent="0.3">
      <c r="D2336" s="40"/>
      <c r="J2336" s="134"/>
    </row>
    <row r="2337" spans="4:10" x14ac:dyDescent="0.3">
      <c r="D2337" s="40"/>
      <c r="J2337" s="134"/>
    </row>
    <row r="2338" spans="4:10" x14ac:dyDescent="0.3">
      <c r="D2338" s="40"/>
      <c r="J2338" s="134"/>
    </row>
    <row r="2339" spans="4:10" x14ac:dyDescent="0.3">
      <c r="D2339" s="40"/>
      <c r="J2339" s="134"/>
    </row>
    <row r="2340" spans="4:10" x14ac:dyDescent="0.3">
      <c r="D2340" s="40"/>
      <c r="J2340" s="134"/>
    </row>
    <row r="2341" spans="4:10" x14ac:dyDescent="0.3">
      <c r="D2341" s="40"/>
      <c r="J2341" s="134"/>
    </row>
    <row r="2342" spans="4:10" x14ac:dyDescent="0.3">
      <c r="D2342" s="40"/>
      <c r="J2342" s="134"/>
    </row>
    <row r="2343" spans="4:10" x14ac:dyDescent="0.3">
      <c r="D2343" s="40"/>
      <c r="J2343" s="134"/>
    </row>
    <row r="2344" spans="4:10" x14ac:dyDescent="0.3">
      <c r="D2344" s="40"/>
      <c r="J2344" s="134"/>
    </row>
    <row r="2345" spans="4:10" x14ac:dyDescent="0.3">
      <c r="D2345" s="40"/>
      <c r="J2345" s="134"/>
    </row>
    <row r="2346" spans="4:10" x14ac:dyDescent="0.3">
      <c r="D2346" s="40"/>
      <c r="J2346" s="134"/>
    </row>
    <row r="2347" spans="4:10" x14ac:dyDescent="0.3">
      <c r="D2347" s="40"/>
      <c r="J2347" s="134"/>
    </row>
    <row r="2348" spans="4:10" x14ac:dyDescent="0.3">
      <c r="D2348" s="40"/>
      <c r="J2348" s="134"/>
    </row>
    <row r="2349" spans="4:10" x14ac:dyDescent="0.3">
      <c r="D2349" s="40"/>
      <c r="J2349" s="134"/>
    </row>
    <row r="2350" spans="4:10" x14ac:dyDescent="0.3">
      <c r="D2350" s="40"/>
      <c r="J2350" s="134"/>
    </row>
    <row r="2351" spans="4:10" x14ac:dyDescent="0.3">
      <c r="D2351" s="40"/>
      <c r="J2351" s="134"/>
    </row>
    <row r="2352" spans="4:10" x14ac:dyDescent="0.3">
      <c r="D2352" s="40"/>
      <c r="J2352" s="134"/>
    </row>
    <row r="2353" spans="4:10" x14ac:dyDescent="0.3">
      <c r="D2353" s="40"/>
      <c r="J2353" s="134"/>
    </row>
    <row r="2354" spans="4:10" x14ac:dyDescent="0.3">
      <c r="D2354" s="40"/>
      <c r="J2354" s="134"/>
    </row>
    <row r="2355" spans="4:10" x14ac:dyDescent="0.3">
      <c r="D2355" s="40"/>
      <c r="J2355" s="134"/>
    </row>
    <row r="2356" spans="4:10" x14ac:dyDescent="0.3">
      <c r="D2356" s="40"/>
      <c r="J2356" s="134"/>
    </row>
    <row r="2357" spans="4:10" x14ac:dyDescent="0.3">
      <c r="D2357" s="40"/>
      <c r="J2357" s="134"/>
    </row>
    <row r="2358" spans="4:10" x14ac:dyDescent="0.3">
      <c r="D2358" s="40"/>
      <c r="J2358" s="134"/>
    </row>
    <row r="2359" spans="4:10" x14ac:dyDescent="0.3">
      <c r="D2359" s="40"/>
      <c r="J2359" s="134"/>
    </row>
    <row r="2360" spans="4:10" x14ac:dyDescent="0.3">
      <c r="D2360" s="40"/>
      <c r="J2360" s="134"/>
    </row>
    <row r="2361" spans="4:10" x14ac:dyDescent="0.3">
      <c r="D2361" s="40"/>
      <c r="J2361" s="134"/>
    </row>
    <row r="2362" spans="4:10" x14ac:dyDescent="0.3">
      <c r="D2362" s="40"/>
      <c r="J2362" s="134"/>
    </row>
    <row r="2363" spans="4:10" x14ac:dyDescent="0.3">
      <c r="D2363" s="40"/>
      <c r="J2363" s="134"/>
    </row>
    <row r="2364" spans="4:10" x14ac:dyDescent="0.3">
      <c r="D2364" s="40"/>
      <c r="J2364" s="134"/>
    </row>
    <row r="2365" spans="4:10" x14ac:dyDescent="0.3">
      <c r="D2365" s="40"/>
      <c r="J2365" s="134"/>
    </row>
    <row r="2366" spans="4:10" x14ac:dyDescent="0.3">
      <c r="D2366" s="40"/>
      <c r="J2366" s="134"/>
    </row>
    <row r="2367" spans="4:10" x14ac:dyDescent="0.3">
      <c r="D2367" s="40"/>
      <c r="J2367" s="134"/>
    </row>
    <row r="2368" spans="4:10" x14ac:dyDescent="0.3">
      <c r="D2368" s="40"/>
      <c r="J2368" s="134"/>
    </row>
    <row r="2369" spans="4:10" x14ac:dyDescent="0.3">
      <c r="D2369" s="40"/>
      <c r="J2369" s="134"/>
    </row>
    <row r="2370" spans="4:10" x14ac:dyDescent="0.3">
      <c r="D2370" s="40"/>
      <c r="J2370" s="134"/>
    </row>
    <row r="2371" spans="4:10" x14ac:dyDescent="0.3">
      <c r="D2371" s="40"/>
      <c r="J2371" s="134"/>
    </row>
    <row r="2372" spans="4:10" x14ac:dyDescent="0.3">
      <c r="D2372" s="40"/>
      <c r="J2372" s="134"/>
    </row>
    <row r="2373" spans="4:10" x14ac:dyDescent="0.3">
      <c r="D2373" s="40"/>
      <c r="J2373" s="134"/>
    </row>
    <row r="2374" spans="4:10" x14ac:dyDescent="0.3">
      <c r="D2374" s="40"/>
      <c r="J2374" s="134"/>
    </row>
    <row r="2375" spans="4:10" x14ac:dyDescent="0.3">
      <c r="D2375" s="40"/>
      <c r="J2375" s="134"/>
    </row>
    <row r="2376" spans="4:10" x14ac:dyDescent="0.3">
      <c r="D2376" s="40"/>
      <c r="J2376" s="134"/>
    </row>
    <row r="2377" spans="4:10" x14ac:dyDescent="0.3">
      <c r="D2377" s="40"/>
      <c r="J2377" s="134"/>
    </row>
    <row r="2378" spans="4:10" x14ac:dyDescent="0.3">
      <c r="D2378" s="40"/>
      <c r="J2378" s="134"/>
    </row>
    <row r="2379" spans="4:10" x14ac:dyDescent="0.3">
      <c r="D2379" s="40"/>
      <c r="J2379" s="134"/>
    </row>
    <row r="2380" spans="4:10" x14ac:dyDescent="0.3">
      <c r="D2380" s="40"/>
      <c r="J2380" s="134"/>
    </row>
    <row r="2381" spans="4:10" x14ac:dyDescent="0.3">
      <c r="D2381" s="40"/>
      <c r="J2381" s="134"/>
    </row>
    <row r="2382" spans="4:10" x14ac:dyDescent="0.3">
      <c r="D2382" s="40"/>
      <c r="J2382" s="134"/>
    </row>
    <row r="2383" spans="4:10" x14ac:dyDescent="0.3">
      <c r="D2383" s="40"/>
      <c r="J2383" s="134"/>
    </row>
    <row r="2384" spans="4:10" x14ac:dyDescent="0.3">
      <c r="D2384" s="40"/>
      <c r="J2384" s="134"/>
    </row>
    <row r="2385" spans="4:10" x14ac:dyDescent="0.3">
      <c r="D2385" s="40"/>
      <c r="J2385" s="134"/>
    </row>
    <row r="2386" spans="4:10" x14ac:dyDescent="0.3">
      <c r="D2386" s="40"/>
      <c r="J2386" s="134"/>
    </row>
    <row r="2387" spans="4:10" x14ac:dyDescent="0.3">
      <c r="D2387" s="40"/>
      <c r="J2387" s="134"/>
    </row>
    <row r="2388" spans="4:10" x14ac:dyDescent="0.3">
      <c r="D2388" s="40"/>
      <c r="J2388" s="134"/>
    </row>
    <row r="2389" spans="4:10" x14ac:dyDescent="0.3">
      <c r="D2389" s="40"/>
      <c r="J2389" s="134"/>
    </row>
    <row r="2390" spans="4:10" x14ac:dyDescent="0.3">
      <c r="D2390" s="40"/>
      <c r="J2390" s="134"/>
    </row>
    <row r="2391" spans="4:10" x14ac:dyDescent="0.3">
      <c r="D2391" s="40"/>
      <c r="J2391" s="134"/>
    </row>
    <row r="2392" spans="4:10" x14ac:dyDescent="0.3">
      <c r="D2392" s="40"/>
      <c r="J2392" s="134"/>
    </row>
    <row r="2393" spans="4:10" x14ac:dyDescent="0.3">
      <c r="D2393" s="40"/>
      <c r="J2393" s="134"/>
    </row>
    <row r="2394" spans="4:10" x14ac:dyDescent="0.3">
      <c r="D2394" s="40"/>
      <c r="J2394" s="134"/>
    </row>
    <row r="2395" spans="4:10" x14ac:dyDescent="0.3">
      <c r="D2395" s="40"/>
      <c r="J2395" s="134"/>
    </row>
    <row r="2396" spans="4:10" x14ac:dyDescent="0.3">
      <c r="D2396" s="40"/>
      <c r="J2396" s="134"/>
    </row>
    <row r="2397" spans="4:10" x14ac:dyDescent="0.3">
      <c r="D2397" s="40"/>
      <c r="J2397" s="134"/>
    </row>
    <row r="2398" spans="4:10" x14ac:dyDescent="0.3">
      <c r="D2398" s="40"/>
      <c r="J2398" s="134"/>
    </row>
    <row r="2399" spans="4:10" x14ac:dyDescent="0.3">
      <c r="D2399" s="40"/>
      <c r="J2399" s="134"/>
    </row>
    <row r="2400" spans="4:10" x14ac:dyDescent="0.3">
      <c r="D2400" s="40"/>
      <c r="J2400" s="134"/>
    </row>
    <row r="2401" spans="4:10" x14ac:dyDescent="0.3">
      <c r="D2401" s="40"/>
      <c r="J2401" s="134"/>
    </row>
    <row r="2402" spans="4:10" x14ac:dyDescent="0.3">
      <c r="D2402" s="40"/>
      <c r="J2402" s="134"/>
    </row>
    <row r="2403" spans="4:10" x14ac:dyDescent="0.3">
      <c r="D2403" s="40"/>
      <c r="J2403" s="134"/>
    </row>
    <row r="2404" spans="4:10" x14ac:dyDescent="0.3">
      <c r="D2404" s="40"/>
      <c r="J2404" s="134"/>
    </row>
    <row r="2405" spans="4:10" x14ac:dyDescent="0.3">
      <c r="D2405" s="40"/>
      <c r="J2405" s="134"/>
    </row>
    <row r="2406" spans="4:10" x14ac:dyDescent="0.3">
      <c r="D2406" s="40"/>
      <c r="J2406" s="134"/>
    </row>
    <row r="2407" spans="4:10" x14ac:dyDescent="0.3">
      <c r="D2407" s="40"/>
      <c r="J2407" s="134"/>
    </row>
    <row r="2408" spans="4:10" x14ac:dyDescent="0.3">
      <c r="D2408" s="40"/>
      <c r="J2408" s="134"/>
    </row>
    <row r="2409" spans="4:10" x14ac:dyDescent="0.3">
      <c r="D2409" s="40"/>
      <c r="J2409" s="134"/>
    </row>
    <row r="2410" spans="4:10" x14ac:dyDescent="0.3">
      <c r="D2410" s="40"/>
      <c r="J2410" s="134"/>
    </row>
    <row r="2411" spans="4:10" x14ac:dyDescent="0.3">
      <c r="D2411" s="40"/>
      <c r="J2411" s="134"/>
    </row>
    <row r="2412" spans="4:10" x14ac:dyDescent="0.3">
      <c r="D2412" s="40"/>
      <c r="J2412" s="134"/>
    </row>
    <row r="2413" spans="4:10" x14ac:dyDescent="0.3">
      <c r="D2413" s="40"/>
      <c r="J2413" s="134"/>
    </row>
    <row r="2414" spans="4:10" x14ac:dyDescent="0.3">
      <c r="D2414" s="40"/>
      <c r="J2414" s="134"/>
    </row>
    <row r="2415" spans="4:10" x14ac:dyDescent="0.3">
      <c r="D2415" s="40"/>
      <c r="J2415" s="134"/>
    </row>
    <row r="2416" spans="4:10" x14ac:dyDescent="0.3">
      <c r="D2416" s="40"/>
      <c r="J2416" s="134"/>
    </row>
    <row r="2417" spans="4:10" x14ac:dyDescent="0.3">
      <c r="D2417" s="40"/>
      <c r="J2417" s="134"/>
    </row>
    <row r="2418" spans="4:10" x14ac:dyDescent="0.3">
      <c r="D2418" s="40"/>
      <c r="J2418" s="134"/>
    </row>
    <row r="2419" spans="4:10" x14ac:dyDescent="0.3">
      <c r="D2419" s="40"/>
      <c r="J2419" s="134"/>
    </row>
    <row r="2420" spans="4:10" x14ac:dyDescent="0.3">
      <c r="D2420" s="40"/>
      <c r="J2420" s="134"/>
    </row>
    <row r="2421" spans="4:10" x14ac:dyDescent="0.3">
      <c r="D2421" s="40"/>
      <c r="J2421" s="134"/>
    </row>
    <row r="2422" spans="4:10" x14ac:dyDescent="0.3">
      <c r="D2422" s="40"/>
      <c r="J2422" s="134"/>
    </row>
    <row r="2423" spans="4:10" x14ac:dyDescent="0.3">
      <c r="D2423" s="40"/>
      <c r="J2423" s="134"/>
    </row>
    <row r="2424" spans="4:10" x14ac:dyDescent="0.3">
      <c r="D2424" s="40"/>
      <c r="J2424" s="134"/>
    </row>
    <row r="2425" spans="4:10" x14ac:dyDescent="0.3">
      <c r="D2425" s="40"/>
      <c r="J2425" s="134"/>
    </row>
    <row r="2426" spans="4:10" x14ac:dyDescent="0.3">
      <c r="D2426" s="40"/>
      <c r="J2426" s="134"/>
    </row>
    <row r="2427" spans="4:10" x14ac:dyDescent="0.3">
      <c r="D2427" s="40"/>
      <c r="J2427" s="134"/>
    </row>
    <row r="2428" spans="4:10" x14ac:dyDescent="0.3">
      <c r="D2428" s="40"/>
      <c r="J2428" s="134"/>
    </row>
    <row r="2429" spans="4:10" x14ac:dyDescent="0.3">
      <c r="D2429" s="40"/>
      <c r="J2429" s="134"/>
    </row>
    <row r="2430" spans="4:10" x14ac:dyDescent="0.3">
      <c r="D2430" s="40"/>
      <c r="J2430" s="134"/>
    </row>
    <row r="2431" spans="4:10" x14ac:dyDescent="0.3">
      <c r="D2431" s="40"/>
      <c r="J2431" s="134"/>
    </row>
    <row r="2432" spans="4:10" x14ac:dyDescent="0.3">
      <c r="D2432" s="40"/>
      <c r="J2432" s="134"/>
    </row>
    <row r="2433" spans="4:10" x14ac:dyDescent="0.3">
      <c r="D2433" s="40"/>
      <c r="J2433" s="134"/>
    </row>
    <row r="2434" spans="4:10" x14ac:dyDescent="0.3">
      <c r="D2434" s="40"/>
      <c r="J2434" s="134"/>
    </row>
    <row r="2435" spans="4:10" x14ac:dyDescent="0.3">
      <c r="D2435" s="40"/>
      <c r="J2435" s="134"/>
    </row>
    <row r="2436" spans="4:10" x14ac:dyDescent="0.3">
      <c r="D2436" s="40"/>
      <c r="J2436" s="134"/>
    </row>
    <row r="2437" spans="4:10" x14ac:dyDescent="0.3">
      <c r="D2437" s="40"/>
      <c r="J2437" s="134"/>
    </row>
    <row r="2438" spans="4:10" x14ac:dyDescent="0.3">
      <c r="D2438" s="40"/>
      <c r="J2438" s="134"/>
    </row>
    <row r="2439" spans="4:10" x14ac:dyDescent="0.3">
      <c r="D2439" s="40"/>
      <c r="J2439" s="134"/>
    </row>
    <row r="2440" spans="4:10" x14ac:dyDescent="0.3">
      <c r="D2440" s="40"/>
      <c r="J2440" s="134"/>
    </row>
    <row r="2441" spans="4:10" x14ac:dyDescent="0.3">
      <c r="D2441" s="40"/>
      <c r="J2441" s="134"/>
    </row>
    <row r="2442" spans="4:10" x14ac:dyDescent="0.3">
      <c r="D2442" s="40"/>
      <c r="J2442" s="134"/>
    </row>
    <row r="2443" spans="4:10" x14ac:dyDescent="0.3">
      <c r="D2443" s="40"/>
      <c r="J2443" s="134"/>
    </row>
    <row r="2444" spans="4:10" x14ac:dyDescent="0.3">
      <c r="D2444" s="40"/>
      <c r="J2444" s="134"/>
    </row>
    <row r="2445" spans="4:10" x14ac:dyDescent="0.3">
      <c r="D2445" s="40"/>
      <c r="J2445" s="134"/>
    </row>
    <row r="2446" spans="4:10" x14ac:dyDescent="0.3">
      <c r="D2446" s="40"/>
      <c r="J2446" s="134"/>
    </row>
    <row r="2447" spans="4:10" x14ac:dyDescent="0.3">
      <c r="D2447" s="40"/>
      <c r="J2447" s="134"/>
    </row>
    <row r="2448" spans="4:10" x14ac:dyDescent="0.3">
      <c r="D2448" s="40"/>
      <c r="J2448" s="134"/>
    </row>
    <row r="2449" spans="4:10" x14ac:dyDescent="0.3">
      <c r="D2449" s="40"/>
      <c r="J2449" s="134"/>
    </row>
    <row r="2450" spans="4:10" x14ac:dyDescent="0.3">
      <c r="D2450" s="40"/>
      <c r="J2450" s="134"/>
    </row>
    <row r="2451" spans="4:10" x14ac:dyDescent="0.3">
      <c r="D2451" s="40"/>
      <c r="J2451" s="134"/>
    </row>
    <row r="2452" spans="4:10" x14ac:dyDescent="0.3">
      <c r="D2452" s="40"/>
      <c r="J2452" s="134"/>
    </row>
    <row r="2453" spans="4:10" x14ac:dyDescent="0.3">
      <c r="D2453" s="40"/>
      <c r="J2453" s="134"/>
    </row>
    <row r="2454" spans="4:10" x14ac:dyDescent="0.3">
      <c r="D2454" s="40"/>
      <c r="J2454" s="134"/>
    </row>
    <row r="2455" spans="4:10" x14ac:dyDescent="0.3">
      <c r="D2455" s="40"/>
      <c r="J2455" s="134"/>
    </row>
    <row r="2456" spans="4:10" x14ac:dyDescent="0.3">
      <c r="D2456" s="40"/>
      <c r="J2456" s="134"/>
    </row>
    <row r="2457" spans="4:10" x14ac:dyDescent="0.3">
      <c r="D2457" s="40"/>
      <c r="J2457" s="134"/>
    </row>
    <row r="2458" spans="4:10" x14ac:dyDescent="0.3">
      <c r="D2458" s="40"/>
      <c r="J2458" s="134"/>
    </row>
    <row r="2459" spans="4:10" x14ac:dyDescent="0.3">
      <c r="D2459" s="40"/>
      <c r="J2459" s="134"/>
    </row>
    <row r="2460" spans="4:10" x14ac:dyDescent="0.3">
      <c r="D2460" s="40"/>
      <c r="J2460" s="134"/>
    </row>
    <row r="2461" spans="4:10" x14ac:dyDescent="0.3">
      <c r="D2461" s="40"/>
      <c r="J2461" s="134"/>
    </row>
    <row r="2462" spans="4:10" x14ac:dyDescent="0.3">
      <c r="D2462" s="40"/>
      <c r="J2462" s="134"/>
    </row>
    <row r="2463" spans="4:10" x14ac:dyDescent="0.3">
      <c r="D2463" s="40"/>
      <c r="J2463" s="134"/>
    </row>
    <row r="2464" spans="4:10" x14ac:dyDescent="0.3">
      <c r="D2464" s="40"/>
      <c r="J2464" s="134"/>
    </row>
    <row r="2465" spans="4:10" x14ac:dyDescent="0.3">
      <c r="D2465" s="40"/>
      <c r="J2465" s="134"/>
    </row>
    <row r="2466" spans="4:10" x14ac:dyDescent="0.3">
      <c r="D2466" s="40"/>
      <c r="J2466" s="134"/>
    </row>
    <row r="2467" spans="4:10" x14ac:dyDescent="0.3">
      <c r="D2467" s="40"/>
      <c r="J2467" s="134"/>
    </row>
    <row r="2468" spans="4:10" x14ac:dyDescent="0.3">
      <c r="D2468" s="40"/>
      <c r="J2468" s="134"/>
    </row>
    <row r="2469" spans="4:10" x14ac:dyDescent="0.3">
      <c r="D2469" s="40"/>
      <c r="J2469" s="134"/>
    </row>
    <row r="2470" spans="4:10" x14ac:dyDescent="0.3">
      <c r="D2470" s="40"/>
      <c r="J2470" s="134"/>
    </row>
    <row r="2471" spans="4:10" x14ac:dyDescent="0.3">
      <c r="D2471" s="40"/>
      <c r="J2471" s="134"/>
    </row>
    <row r="2472" spans="4:10" x14ac:dyDescent="0.3">
      <c r="D2472" s="40"/>
      <c r="J2472" s="134"/>
    </row>
    <row r="2473" spans="4:10" x14ac:dyDescent="0.3">
      <c r="D2473" s="40"/>
      <c r="J2473" s="134"/>
    </row>
    <row r="2474" spans="4:10" x14ac:dyDescent="0.3">
      <c r="D2474" s="40"/>
      <c r="J2474" s="134"/>
    </row>
    <row r="2475" spans="4:10" x14ac:dyDescent="0.3">
      <c r="D2475" s="40"/>
      <c r="J2475" s="134"/>
    </row>
    <row r="2476" spans="4:10" x14ac:dyDescent="0.3">
      <c r="D2476" s="40"/>
      <c r="J2476" s="134"/>
    </row>
    <row r="2477" spans="4:10" x14ac:dyDescent="0.3">
      <c r="D2477" s="40"/>
      <c r="J2477" s="134"/>
    </row>
    <row r="2478" spans="4:10" x14ac:dyDescent="0.3">
      <c r="D2478" s="40"/>
      <c r="J2478" s="134"/>
    </row>
    <row r="2479" spans="4:10" x14ac:dyDescent="0.3">
      <c r="D2479" s="40"/>
      <c r="J2479" s="134"/>
    </row>
    <row r="2480" spans="4:10" x14ac:dyDescent="0.3">
      <c r="D2480" s="40"/>
      <c r="J2480" s="134"/>
    </row>
    <row r="2481" spans="4:10" x14ac:dyDescent="0.3">
      <c r="D2481" s="40"/>
      <c r="J2481" s="134"/>
    </row>
    <row r="2482" spans="4:10" x14ac:dyDescent="0.3">
      <c r="D2482" s="40"/>
      <c r="J2482" s="134"/>
    </row>
    <row r="2483" spans="4:10" x14ac:dyDescent="0.3">
      <c r="D2483" s="40"/>
      <c r="J2483" s="134"/>
    </row>
    <row r="2484" spans="4:10" x14ac:dyDescent="0.3">
      <c r="D2484" s="40"/>
      <c r="J2484" s="134"/>
    </row>
    <row r="2485" spans="4:10" x14ac:dyDescent="0.3">
      <c r="D2485" s="40"/>
      <c r="J2485" s="134"/>
    </row>
    <row r="2486" spans="4:10" x14ac:dyDescent="0.3">
      <c r="D2486" s="40"/>
      <c r="J2486" s="134"/>
    </row>
    <row r="2487" spans="4:10" x14ac:dyDescent="0.3">
      <c r="D2487" s="40"/>
      <c r="J2487" s="134"/>
    </row>
    <row r="2488" spans="4:10" x14ac:dyDescent="0.3">
      <c r="D2488" s="40"/>
      <c r="J2488" s="134"/>
    </row>
    <row r="2489" spans="4:10" x14ac:dyDescent="0.3">
      <c r="D2489" s="40"/>
      <c r="J2489" s="134"/>
    </row>
    <row r="2490" spans="4:10" x14ac:dyDescent="0.3">
      <c r="D2490" s="40"/>
      <c r="J2490" s="134"/>
    </row>
    <row r="2491" spans="4:10" x14ac:dyDescent="0.3">
      <c r="D2491" s="40"/>
      <c r="J2491" s="134"/>
    </row>
    <row r="2492" spans="4:10" x14ac:dyDescent="0.3">
      <c r="D2492" s="40"/>
      <c r="J2492" s="134"/>
    </row>
    <row r="2493" spans="4:10" x14ac:dyDescent="0.3">
      <c r="D2493" s="40"/>
      <c r="J2493" s="134"/>
    </row>
    <row r="2494" spans="4:10" x14ac:dyDescent="0.3">
      <c r="D2494" s="40"/>
      <c r="J2494" s="134"/>
    </row>
    <row r="2495" spans="4:10" x14ac:dyDescent="0.3">
      <c r="D2495" s="40"/>
      <c r="J2495" s="134"/>
    </row>
    <row r="2496" spans="4:10" x14ac:dyDescent="0.3">
      <c r="D2496" s="40"/>
      <c r="J2496" s="134"/>
    </row>
    <row r="2497" spans="4:10" x14ac:dyDescent="0.3">
      <c r="D2497" s="40"/>
      <c r="J2497" s="134"/>
    </row>
    <row r="2498" spans="4:10" x14ac:dyDescent="0.3">
      <c r="D2498" s="40"/>
      <c r="J2498" s="134"/>
    </row>
    <row r="2499" spans="4:10" x14ac:dyDescent="0.3">
      <c r="D2499" s="40"/>
      <c r="J2499" s="134"/>
    </row>
    <row r="2500" spans="4:10" x14ac:dyDescent="0.3">
      <c r="D2500" s="40"/>
      <c r="J2500" s="134"/>
    </row>
    <row r="2501" spans="4:10" x14ac:dyDescent="0.3">
      <c r="D2501" s="40"/>
      <c r="J2501" s="134"/>
    </row>
    <row r="2502" spans="4:10" x14ac:dyDescent="0.3">
      <c r="D2502" s="40"/>
      <c r="J2502" s="134"/>
    </row>
    <row r="2503" spans="4:10" x14ac:dyDescent="0.3">
      <c r="D2503" s="40"/>
      <c r="J2503" s="134"/>
    </row>
    <row r="2504" spans="4:10" x14ac:dyDescent="0.3">
      <c r="D2504" s="40"/>
      <c r="J2504" s="134"/>
    </row>
    <row r="2505" spans="4:10" x14ac:dyDescent="0.3">
      <c r="D2505" s="40"/>
      <c r="J2505" s="134"/>
    </row>
    <row r="2506" spans="4:10" x14ac:dyDescent="0.3">
      <c r="D2506" s="40"/>
      <c r="J2506" s="134"/>
    </row>
    <row r="2507" spans="4:10" x14ac:dyDescent="0.3">
      <c r="D2507" s="40"/>
      <c r="J2507" s="134"/>
    </row>
    <row r="2508" spans="4:10" x14ac:dyDescent="0.3">
      <c r="D2508" s="40"/>
      <c r="J2508" s="134"/>
    </row>
    <row r="2509" spans="4:10" x14ac:dyDescent="0.3">
      <c r="D2509" s="40"/>
      <c r="J2509" s="134"/>
    </row>
    <row r="2510" spans="4:10" x14ac:dyDescent="0.3">
      <c r="D2510" s="40"/>
      <c r="J2510" s="134"/>
    </row>
    <row r="2511" spans="4:10" x14ac:dyDescent="0.3">
      <c r="D2511" s="40"/>
      <c r="J2511" s="134"/>
    </row>
    <row r="2512" spans="4:10" x14ac:dyDescent="0.3">
      <c r="D2512" s="40"/>
      <c r="J2512" s="134"/>
    </row>
    <row r="2513" spans="4:10" x14ac:dyDescent="0.3">
      <c r="D2513" s="40"/>
      <c r="J2513" s="134"/>
    </row>
    <row r="2514" spans="4:10" x14ac:dyDescent="0.3">
      <c r="D2514" s="40"/>
      <c r="J2514" s="134"/>
    </row>
    <row r="2515" spans="4:10" x14ac:dyDescent="0.3">
      <c r="D2515" s="40"/>
      <c r="J2515" s="134"/>
    </row>
    <row r="2516" spans="4:10" x14ac:dyDescent="0.3">
      <c r="D2516" s="40"/>
      <c r="J2516" s="134"/>
    </row>
    <row r="2517" spans="4:10" x14ac:dyDescent="0.3">
      <c r="D2517" s="40"/>
      <c r="J2517" s="134"/>
    </row>
    <row r="2518" spans="4:10" x14ac:dyDescent="0.3">
      <c r="D2518" s="40"/>
      <c r="J2518" s="134"/>
    </row>
    <row r="2519" spans="4:10" x14ac:dyDescent="0.3">
      <c r="D2519" s="40"/>
      <c r="J2519" s="134"/>
    </row>
    <row r="2520" spans="4:10" x14ac:dyDescent="0.3">
      <c r="D2520" s="40"/>
      <c r="J2520" s="134"/>
    </row>
    <row r="2521" spans="4:10" x14ac:dyDescent="0.3">
      <c r="D2521" s="40"/>
      <c r="J2521" s="134"/>
    </row>
    <row r="2522" spans="4:10" x14ac:dyDescent="0.3">
      <c r="D2522" s="40"/>
      <c r="J2522" s="134"/>
    </row>
    <row r="2523" spans="4:10" x14ac:dyDescent="0.3">
      <c r="D2523" s="40"/>
      <c r="J2523" s="134"/>
    </row>
    <row r="2524" spans="4:10" x14ac:dyDescent="0.3">
      <c r="D2524" s="40"/>
      <c r="J2524" s="134"/>
    </row>
    <row r="2525" spans="4:10" x14ac:dyDescent="0.3">
      <c r="D2525" s="40"/>
      <c r="J2525" s="134"/>
    </row>
    <row r="2526" spans="4:10" x14ac:dyDescent="0.3">
      <c r="D2526" s="40"/>
      <c r="J2526" s="134"/>
    </row>
    <row r="2527" spans="4:10" x14ac:dyDescent="0.3">
      <c r="D2527" s="40"/>
      <c r="J2527" s="134"/>
    </row>
    <row r="2528" spans="4:10" x14ac:dyDescent="0.3">
      <c r="D2528" s="40"/>
      <c r="J2528" s="134"/>
    </row>
    <row r="2529" spans="4:10" x14ac:dyDescent="0.3">
      <c r="D2529" s="40"/>
      <c r="J2529" s="134"/>
    </row>
    <row r="2530" spans="4:10" x14ac:dyDescent="0.3">
      <c r="D2530" s="40"/>
      <c r="J2530" s="134"/>
    </row>
    <row r="2531" spans="4:10" x14ac:dyDescent="0.3">
      <c r="D2531" s="40"/>
      <c r="J2531" s="134"/>
    </row>
    <row r="2532" spans="4:10" x14ac:dyDescent="0.3">
      <c r="D2532" s="40"/>
      <c r="J2532" s="134"/>
    </row>
    <row r="2533" spans="4:10" x14ac:dyDescent="0.3">
      <c r="D2533" s="40"/>
      <c r="J2533" s="134"/>
    </row>
    <row r="2534" spans="4:10" x14ac:dyDescent="0.3">
      <c r="D2534" s="40"/>
      <c r="J2534" s="134"/>
    </row>
    <row r="2535" spans="4:10" x14ac:dyDescent="0.3">
      <c r="D2535" s="40"/>
      <c r="J2535" s="134"/>
    </row>
    <row r="2536" spans="4:10" x14ac:dyDescent="0.3">
      <c r="D2536" s="40"/>
      <c r="J2536" s="134"/>
    </row>
    <row r="2537" spans="4:10" x14ac:dyDescent="0.3">
      <c r="D2537" s="40"/>
      <c r="J2537" s="134"/>
    </row>
    <row r="2538" spans="4:10" x14ac:dyDescent="0.3">
      <c r="D2538" s="40"/>
      <c r="J2538" s="134"/>
    </row>
    <row r="2539" spans="4:10" x14ac:dyDescent="0.3">
      <c r="D2539" s="40"/>
      <c r="J2539" s="134"/>
    </row>
    <row r="2540" spans="4:10" x14ac:dyDescent="0.3">
      <c r="D2540" s="40"/>
      <c r="J2540" s="134"/>
    </row>
    <row r="2541" spans="4:10" x14ac:dyDescent="0.3">
      <c r="D2541" s="40"/>
      <c r="J2541" s="134"/>
    </row>
    <row r="2542" spans="4:10" x14ac:dyDescent="0.3">
      <c r="D2542" s="40"/>
      <c r="J2542" s="134"/>
    </row>
    <row r="2543" spans="4:10" x14ac:dyDescent="0.3">
      <c r="D2543" s="40"/>
      <c r="J2543" s="134"/>
    </row>
    <row r="2544" spans="4:10" x14ac:dyDescent="0.3">
      <c r="D2544" s="40"/>
      <c r="J2544" s="134"/>
    </row>
    <row r="2545" spans="4:10" x14ac:dyDescent="0.3">
      <c r="D2545" s="40"/>
      <c r="J2545" s="134"/>
    </row>
    <row r="2546" spans="4:10" x14ac:dyDescent="0.3">
      <c r="D2546" s="40"/>
      <c r="J2546" s="134"/>
    </row>
    <row r="2547" spans="4:10" x14ac:dyDescent="0.3">
      <c r="D2547" s="40"/>
      <c r="J2547" s="134"/>
    </row>
    <row r="2548" spans="4:10" x14ac:dyDescent="0.3">
      <c r="D2548" s="40"/>
      <c r="J2548" s="134"/>
    </row>
    <row r="2549" spans="4:10" x14ac:dyDescent="0.3">
      <c r="D2549" s="40"/>
      <c r="J2549" s="134"/>
    </row>
    <row r="2550" spans="4:10" x14ac:dyDescent="0.3">
      <c r="D2550" s="40"/>
      <c r="J2550" s="134"/>
    </row>
    <row r="2551" spans="4:10" x14ac:dyDescent="0.3">
      <c r="D2551" s="40"/>
      <c r="J2551" s="134"/>
    </row>
    <row r="2552" spans="4:10" x14ac:dyDescent="0.3">
      <c r="D2552" s="40"/>
      <c r="J2552" s="134"/>
    </row>
    <row r="2553" spans="4:10" x14ac:dyDescent="0.3">
      <c r="D2553" s="40"/>
      <c r="J2553" s="134"/>
    </row>
    <row r="2554" spans="4:10" x14ac:dyDescent="0.3">
      <c r="D2554" s="40"/>
      <c r="J2554" s="134"/>
    </row>
    <row r="2555" spans="4:10" x14ac:dyDescent="0.3">
      <c r="D2555" s="40"/>
      <c r="J2555" s="134"/>
    </row>
    <row r="2556" spans="4:10" x14ac:dyDescent="0.3">
      <c r="D2556" s="40"/>
      <c r="J2556" s="134"/>
    </row>
    <row r="2557" spans="4:10" x14ac:dyDescent="0.3">
      <c r="D2557" s="40"/>
      <c r="J2557" s="134"/>
    </row>
    <row r="2558" spans="4:10" x14ac:dyDescent="0.3">
      <c r="D2558" s="40"/>
      <c r="J2558" s="134"/>
    </row>
    <row r="2559" spans="4:10" x14ac:dyDescent="0.3">
      <c r="D2559" s="40"/>
      <c r="J2559" s="134"/>
    </row>
    <row r="2560" spans="4:10" x14ac:dyDescent="0.3">
      <c r="D2560" s="40"/>
      <c r="J2560" s="134"/>
    </row>
    <row r="2561" spans="4:10" x14ac:dyDescent="0.3">
      <c r="D2561" s="40"/>
      <c r="J2561" s="134"/>
    </row>
    <row r="2562" spans="4:10" x14ac:dyDescent="0.3">
      <c r="D2562" s="40"/>
      <c r="J2562" s="134"/>
    </row>
    <row r="2563" spans="4:10" x14ac:dyDescent="0.3">
      <c r="D2563" s="40"/>
      <c r="J2563" s="134"/>
    </row>
    <row r="2564" spans="4:10" x14ac:dyDescent="0.3">
      <c r="D2564" s="40"/>
      <c r="J2564" s="134"/>
    </row>
    <row r="2565" spans="4:10" x14ac:dyDescent="0.3">
      <c r="D2565" s="40"/>
      <c r="J2565" s="134"/>
    </row>
    <row r="2566" spans="4:10" x14ac:dyDescent="0.3">
      <c r="D2566" s="40"/>
      <c r="J2566" s="134"/>
    </row>
    <row r="2567" spans="4:10" x14ac:dyDescent="0.3">
      <c r="D2567" s="40"/>
      <c r="J2567" s="134"/>
    </row>
    <row r="2568" spans="4:10" x14ac:dyDescent="0.3">
      <c r="D2568" s="40"/>
      <c r="J2568" s="134"/>
    </row>
    <row r="2569" spans="4:10" x14ac:dyDescent="0.3">
      <c r="D2569" s="40"/>
      <c r="J2569" s="134"/>
    </row>
    <row r="2570" spans="4:10" x14ac:dyDescent="0.3">
      <c r="D2570" s="40"/>
      <c r="J2570" s="134"/>
    </row>
    <row r="2571" spans="4:10" x14ac:dyDescent="0.3">
      <c r="D2571" s="40"/>
      <c r="J2571" s="134"/>
    </row>
    <row r="2572" spans="4:10" x14ac:dyDescent="0.3">
      <c r="D2572" s="40"/>
      <c r="J2572" s="134"/>
    </row>
    <row r="2573" spans="4:10" x14ac:dyDescent="0.3">
      <c r="D2573" s="40"/>
      <c r="J2573" s="134"/>
    </row>
    <row r="2574" spans="4:10" x14ac:dyDescent="0.3">
      <c r="D2574" s="40"/>
      <c r="J2574" s="134"/>
    </row>
    <row r="2575" spans="4:10" x14ac:dyDescent="0.3">
      <c r="D2575" s="40"/>
      <c r="J2575" s="134"/>
    </row>
    <row r="2576" spans="4:10" x14ac:dyDescent="0.3">
      <c r="D2576" s="40"/>
      <c r="J2576" s="134"/>
    </row>
    <row r="2577" spans="4:10" x14ac:dyDescent="0.3">
      <c r="D2577" s="40"/>
      <c r="J2577" s="134"/>
    </row>
    <row r="2578" spans="4:10" x14ac:dyDescent="0.3">
      <c r="D2578" s="40"/>
      <c r="J2578" s="134"/>
    </row>
    <row r="2579" spans="4:10" x14ac:dyDescent="0.3">
      <c r="D2579" s="40"/>
      <c r="J2579" s="134"/>
    </row>
    <row r="2580" spans="4:10" x14ac:dyDescent="0.3">
      <c r="D2580" s="40"/>
      <c r="J2580" s="134"/>
    </row>
    <row r="2581" spans="4:10" x14ac:dyDescent="0.3">
      <c r="D2581" s="40"/>
      <c r="J2581" s="134"/>
    </row>
    <row r="2582" spans="4:10" x14ac:dyDescent="0.3">
      <c r="D2582" s="40"/>
      <c r="J2582" s="134"/>
    </row>
    <row r="2583" spans="4:10" x14ac:dyDescent="0.3">
      <c r="D2583" s="40"/>
      <c r="J2583" s="134"/>
    </row>
    <row r="2584" spans="4:10" x14ac:dyDescent="0.3">
      <c r="D2584" s="40"/>
      <c r="J2584" s="134"/>
    </row>
    <row r="2585" spans="4:10" x14ac:dyDescent="0.3">
      <c r="D2585" s="40"/>
      <c r="J2585" s="134"/>
    </row>
    <row r="2586" spans="4:10" x14ac:dyDescent="0.3">
      <c r="D2586" s="40"/>
      <c r="J2586" s="134"/>
    </row>
    <row r="2587" spans="4:10" x14ac:dyDescent="0.3">
      <c r="D2587" s="40"/>
      <c r="J2587" s="134"/>
    </row>
    <row r="2588" spans="4:10" x14ac:dyDescent="0.3">
      <c r="D2588" s="40"/>
      <c r="J2588" s="134"/>
    </row>
    <row r="2589" spans="4:10" x14ac:dyDescent="0.3">
      <c r="D2589" s="40"/>
      <c r="J2589" s="134"/>
    </row>
    <row r="2590" spans="4:10" x14ac:dyDescent="0.3">
      <c r="D2590" s="40"/>
      <c r="J2590" s="134"/>
    </row>
    <row r="2591" spans="4:10" x14ac:dyDescent="0.3">
      <c r="D2591" s="40"/>
      <c r="J2591" s="134"/>
    </row>
    <row r="2592" spans="4:10" x14ac:dyDescent="0.3">
      <c r="D2592" s="40"/>
      <c r="J2592" s="134"/>
    </row>
    <row r="2593" spans="4:10" x14ac:dyDescent="0.3">
      <c r="D2593" s="40"/>
      <c r="J2593" s="134"/>
    </row>
    <row r="2594" spans="4:10" x14ac:dyDescent="0.3">
      <c r="D2594" s="40"/>
      <c r="J2594" s="134"/>
    </row>
    <row r="2595" spans="4:10" x14ac:dyDescent="0.3">
      <c r="D2595" s="40"/>
      <c r="J2595" s="134"/>
    </row>
    <row r="2596" spans="4:10" x14ac:dyDescent="0.3">
      <c r="D2596" s="40"/>
      <c r="J2596" s="134"/>
    </row>
    <row r="2597" spans="4:10" x14ac:dyDescent="0.3">
      <c r="D2597" s="40"/>
      <c r="J2597" s="134"/>
    </row>
    <row r="2598" spans="4:10" x14ac:dyDescent="0.3">
      <c r="D2598" s="40"/>
      <c r="J2598" s="134"/>
    </row>
    <row r="2599" spans="4:10" x14ac:dyDescent="0.3">
      <c r="D2599" s="40"/>
      <c r="J2599" s="134"/>
    </row>
    <row r="2600" spans="4:10" x14ac:dyDescent="0.3">
      <c r="D2600" s="40"/>
      <c r="J2600" s="134"/>
    </row>
    <row r="2601" spans="4:10" x14ac:dyDescent="0.3">
      <c r="D2601" s="40"/>
      <c r="J2601" s="134"/>
    </row>
    <row r="2602" spans="4:10" x14ac:dyDescent="0.3">
      <c r="D2602" s="40"/>
      <c r="J2602" s="134"/>
    </row>
    <row r="2603" spans="4:10" x14ac:dyDescent="0.3">
      <c r="D2603" s="40"/>
      <c r="J2603" s="134"/>
    </row>
    <row r="2604" spans="4:10" x14ac:dyDescent="0.3">
      <c r="D2604" s="40"/>
      <c r="J2604" s="134"/>
    </row>
    <row r="2605" spans="4:10" x14ac:dyDescent="0.3">
      <c r="D2605" s="40"/>
      <c r="J2605" s="134"/>
    </row>
    <row r="2606" spans="4:10" x14ac:dyDescent="0.3">
      <c r="D2606" s="40"/>
      <c r="J2606" s="134"/>
    </row>
    <row r="2607" spans="4:10" x14ac:dyDescent="0.3">
      <c r="D2607" s="40"/>
      <c r="J2607" s="134"/>
    </row>
    <row r="2608" spans="4:10" x14ac:dyDescent="0.3">
      <c r="D2608" s="40"/>
      <c r="J2608" s="134"/>
    </row>
    <row r="2609" spans="4:10" x14ac:dyDescent="0.3">
      <c r="D2609" s="40"/>
      <c r="J2609" s="134"/>
    </row>
    <row r="2610" spans="4:10" x14ac:dyDescent="0.3">
      <c r="D2610" s="40"/>
      <c r="J2610" s="134"/>
    </row>
    <row r="2611" spans="4:10" x14ac:dyDescent="0.3">
      <c r="D2611" s="40"/>
      <c r="J2611" s="134"/>
    </row>
    <row r="2612" spans="4:10" x14ac:dyDescent="0.3">
      <c r="D2612" s="40"/>
      <c r="J2612" s="134"/>
    </row>
    <row r="2613" spans="4:10" x14ac:dyDescent="0.3">
      <c r="D2613" s="40"/>
      <c r="J2613" s="134"/>
    </row>
    <row r="2614" spans="4:10" x14ac:dyDescent="0.3">
      <c r="D2614" s="40"/>
      <c r="J2614" s="134"/>
    </row>
    <row r="2615" spans="4:10" x14ac:dyDescent="0.3">
      <c r="D2615" s="40"/>
      <c r="J2615" s="134"/>
    </row>
    <row r="2616" spans="4:10" x14ac:dyDescent="0.3">
      <c r="D2616" s="40"/>
      <c r="J2616" s="134"/>
    </row>
    <row r="2617" spans="4:10" x14ac:dyDescent="0.3">
      <c r="D2617" s="40"/>
      <c r="J2617" s="134"/>
    </row>
    <row r="2618" spans="4:10" x14ac:dyDescent="0.3">
      <c r="D2618" s="40"/>
      <c r="J2618" s="134"/>
    </row>
    <row r="2619" spans="4:10" x14ac:dyDescent="0.3">
      <c r="D2619" s="40"/>
      <c r="J2619" s="134"/>
    </row>
    <row r="2620" spans="4:10" x14ac:dyDescent="0.3">
      <c r="D2620" s="40"/>
      <c r="J2620" s="134"/>
    </row>
    <row r="2621" spans="4:10" x14ac:dyDescent="0.3">
      <c r="D2621" s="40"/>
      <c r="J2621" s="134"/>
    </row>
    <row r="2622" spans="4:10" x14ac:dyDescent="0.3">
      <c r="D2622" s="40"/>
      <c r="J2622" s="134"/>
    </row>
    <row r="2623" spans="4:10" x14ac:dyDescent="0.3">
      <c r="D2623" s="40"/>
      <c r="J2623" s="134"/>
    </row>
    <row r="2624" spans="4:10" x14ac:dyDescent="0.3">
      <c r="D2624" s="40"/>
      <c r="J2624" s="134"/>
    </row>
    <row r="2625" spans="4:10" x14ac:dyDescent="0.3">
      <c r="D2625" s="40"/>
      <c r="J2625" s="134"/>
    </row>
    <row r="2626" spans="4:10" x14ac:dyDescent="0.3">
      <c r="D2626" s="40"/>
      <c r="J2626" s="134"/>
    </row>
    <row r="2627" spans="4:10" x14ac:dyDescent="0.3">
      <c r="D2627" s="40"/>
      <c r="J2627" s="134"/>
    </row>
    <row r="2628" spans="4:10" x14ac:dyDescent="0.3">
      <c r="D2628" s="40"/>
      <c r="J2628" s="134"/>
    </row>
    <row r="2629" spans="4:10" x14ac:dyDescent="0.3">
      <c r="D2629" s="40"/>
      <c r="J2629" s="134"/>
    </row>
    <row r="2630" spans="4:10" x14ac:dyDescent="0.3">
      <c r="D2630" s="40"/>
      <c r="J2630" s="134"/>
    </row>
    <row r="2631" spans="4:10" x14ac:dyDescent="0.3">
      <c r="D2631" s="40"/>
      <c r="J2631" s="134"/>
    </row>
    <row r="2632" spans="4:10" x14ac:dyDescent="0.3">
      <c r="D2632" s="40"/>
      <c r="J2632" s="134"/>
    </row>
    <row r="2633" spans="4:10" x14ac:dyDescent="0.3">
      <c r="D2633" s="40"/>
      <c r="J2633" s="134"/>
    </row>
    <row r="2634" spans="4:10" x14ac:dyDescent="0.3">
      <c r="D2634" s="40"/>
      <c r="J2634" s="134"/>
    </row>
    <row r="2635" spans="4:10" x14ac:dyDescent="0.3">
      <c r="D2635" s="40"/>
      <c r="J2635" s="134"/>
    </row>
    <row r="2636" spans="4:10" x14ac:dyDescent="0.3">
      <c r="D2636" s="40"/>
      <c r="J2636" s="134"/>
    </row>
    <row r="2637" spans="4:10" x14ac:dyDescent="0.3">
      <c r="D2637" s="40"/>
      <c r="J2637" s="134"/>
    </row>
    <row r="2638" spans="4:10" x14ac:dyDescent="0.3">
      <c r="D2638" s="40"/>
      <c r="J2638" s="134"/>
    </row>
    <row r="2639" spans="4:10" x14ac:dyDescent="0.3">
      <c r="D2639" s="40"/>
      <c r="J2639" s="134"/>
    </row>
    <row r="2640" spans="4:10" x14ac:dyDescent="0.3">
      <c r="D2640" s="40"/>
      <c r="J2640" s="134"/>
    </row>
    <row r="2641" spans="4:10" x14ac:dyDescent="0.3">
      <c r="D2641" s="40"/>
      <c r="J2641" s="134"/>
    </row>
    <row r="2642" spans="4:10" x14ac:dyDescent="0.3">
      <c r="D2642" s="40"/>
      <c r="J2642" s="134"/>
    </row>
    <row r="2643" spans="4:10" x14ac:dyDescent="0.3">
      <c r="D2643" s="40"/>
      <c r="J2643" s="134"/>
    </row>
    <row r="2644" spans="4:10" x14ac:dyDescent="0.3">
      <c r="D2644" s="40"/>
      <c r="J2644" s="134"/>
    </row>
    <row r="2645" spans="4:10" x14ac:dyDescent="0.3">
      <c r="D2645" s="40"/>
      <c r="J2645" s="134"/>
    </row>
    <row r="2646" spans="4:10" x14ac:dyDescent="0.3">
      <c r="D2646" s="40"/>
      <c r="J2646" s="134"/>
    </row>
    <row r="2647" spans="4:10" x14ac:dyDescent="0.3">
      <c r="D2647" s="40"/>
      <c r="J2647" s="134"/>
    </row>
    <row r="2648" spans="4:10" x14ac:dyDescent="0.3">
      <c r="D2648" s="40"/>
      <c r="J2648" s="134"/>
    </row>
    <row r="2649" spans="4:10" x14ac:dyDescent="0.3">
      <c r="D2649" s="40"/>
      <c r="J2649" s="134"/>
    </row>
    <row r="2650" spans="4:10" x14ac:dyDescent="0.3">
      <c r="D2650" s="40"/>
      <c r="J2650" s="134"/>
    </row>
    <row r="2651" spans="4:10" x14ac:dyDescent="0.3">
      <c r="D2651" s="40"/>
      <c r="J2651" s="134"/>
    </row>
    <row r="2652" spans="4:10" x14ac:dyDescent="0.3">
      <c r="D2652" s="40"/>
      <c r="J2652" s="134"/>
    </row>
    <row r="2653" spans="4:10" x14ac:dyDescent="0.3">
      <c r="D2653" s="40"/>
      <c r="J2653" s="134"/>
    </row>
    <row r="2654" spans="4:10" x14ac:dyDescent="0.3">
      <c r="D2654" s="40"/>
      <c r="J2654" s="134"/>
    </row>
    <row r="2655" spans="4:10" x14ac:dyDescent="0.3">
      <c r="D2655" s="40"/>
      <c r="J2655" s="134"/>
    </row>
    <row r="2656" spans="4:10" x14ac:dyDescent="0.3">
      <c r="D2656" s="40"/>
      <c r="J2656" s="134"/>
    </row>
    <row r="2657" spans="4:10" x14ac:dyDescent="0.3">
      <c r="D2657" s="40"/>
      <c r="J2657" s="134"/>
    </row>
    <row r="2658" spans="4:10" x14ac:dyDescent="0.3">
      <c r="D2658" s="40"/>
      <c r="J2658" s="134"/>
    </row>
    <row r="2659" spans="4:10" x14ac:dyDescent="0.3">
      <c r="D2659" s="40"/>
      <c r="J2659" s="134"/>
    </row>
    <row r="2660" spans="4:10" x14ac:dyDescent="0.3">
      <c r="D2660" s="40"/>
      <c r="J2660" s="134"/>
    </row>
    <row r="2661" spans="4:10" x14ac:dyDescent="0.3">
      <c r="D2661" s="40"/>
      <c r="J2661" s="134"/>
    </row>
    <row r="2662" spans="4:10" x14ac:dyDescent="0.3">
      <c r="D2662" s="40"/>
      <c r="J2662" s="134"/>
    </row>
    <row r="2663" spans="4:10" x14ac:dyDescent="0.3">
      <c r="D2663" s="40"/>
      <c r="J2663" s="134"/>
    </row>
    <row r="2664" spans="4:10" x14ac:dyDescent="0.3">
      <c r="D2664" s="40"/>
      <c r="J2664" s="134"/>
    </row>
    <row r="2665" spans="4:10" x14ac:dyDescent="0.3">
      <c r="D2665" s="40"/>
      <c r="J2665" s="134"/>
    </row>
    <row r="2666" spans="4:10" x14ac:dyDescent="0.3">
      <c r="D2666" s="40"/>
      <c r="J2666" s="134"/>
    </row>
    <row r="2667" spans="4:10" x14ac:dyDescent="0.3">
      <c r="D2667" s="40"/>
      <c r="J2667" s="134"/>
    </row>
    <row r="2668" spans="4:10" x14ac:dyDescent="0.3">
      <c r="D2668" s="40"/>
      <c r="J2668" s="134"/>
    </row>
    <row r="2669" spans="4:10" x14ac:dyDescent="0.3">
      <c r="D2669" s="40"/>
      <c r="J2669" s="134"/>
    </row>
    <row r="2670" spans="4:10" x14ac:dyDescent="0.3">
      <c r="D2670" s="40"/>
      <c r="J2670" s="134"/>
    </row>
    <row r="2671" spans="4:10" x14ac:dyDescent="0.3">
      <c r="D2671" s="40"/>
      <c r="J2671" s="134"/>
    </row>
    <row r="2672" spans="4:10" x14ac:dyDescent="0.3">
      <c r="D2672" s="40"/>
      <c r="J2672" s="134"/>
    </row>
    <row r="2673" spans="4:10" x14ac:dyDescent="0.3">
      <c r="D2673" s="40"/>
      <c r="J2673" s="134"/>
    </row>
    <row r="2674" spans="4:10" x14ac:dyDescent="0.3">
      <c r="D2674" s="40"/>
      <c r="J2674" s="134"/>
    </row>
    <row r="2675" spans="4:10" x14ac:dyDescent="0.3">
      <c r="D2675" s="40"/>
      <c r="J2675" s="134"/>
    </row>
    <row r="2676" spans="4:10" x14ac:dyDescent="0.3">
      <c r="D2676" s="40"/>
      <c r="J2676" s="134"/>
    </row>
    <row r="2677" spans="4:10" x14ac:dyDescent="0.3">
      <c r="D2677" s="40"/>
      <c r="J2677" s="134"/>
    </row>
    <row r="2678" spans="4:10" x14ac:dyDescent="0.3">
      <c r="D2678" s="40"/>
      <c r="J2678" s="134"/>
    </row>
    <row r="2679" spans="4:10" x14ac:dyDescent="0.3">
      <c r="D2679" s="40"/>
      <c r="J2679" s="134"/>
    </row>
    <row r="2680" spans="4:10" x14ac:dyDescent="0.3">
      <c r="D2680" s="40"/>
      <c r="J2680" s="134"/>
    </row>
    <row r="2681" spans="4:10" x14ac:dyDescent="0.3">
      <c r="D2681" s="40"/>
      <c r="J2681" s="134"/>
    </row>
    <row r="2682" spans="4:10" x14ac:dyDescent="0.3">
      <c r="D2682" s="40"/>
      <c r="J2682" s="134"/>
    </row>
    <row r="2683" spans="4:10" x14ac:dyDescent="0.3">
      <c r="D2683" s="40"/>
      <c r="J2683" s="134"/>
    </row>
    <row r="2684" spans="4:10" x14ac:dyDescent="0.3">
      <c r="D2684" s="40"/>
      <c r="J2684" s="134"/>
    </row>
    <row r="2685" spans="4:10" x14ac:dyDescent="0.3">
      <c r="D2685" s="40"/>
      <c r="J2685" s="134"/>
    </row>
    <row r="2686" spans="4:10" x14ac:dyDescent="0.3">
      <c r="D2686" s="40"/>
      <c r="J2686" s="134"/>
    </row>
    <row r="2687" spans="4:10" x14ac:dyDescent="0.3">
      <c r="D2687" s="40"/>
      <c r="J2687" s="134"/>
    </row>
    <row r="2688" spans="4:10" x14ac:dyDescent="0.3">
      <c r="D2688" s="40"/>
      <c r="J2688" s="134"/>
    </row>
    <row r="2689" spans="4:10" x14ac:dyDescent="0.3">
      <c r="D2689" s="40"/>
      <c r="J2689" s="134"/>
    </row>
    <row r="2690" spans="4:10" x14ac:dyDescent="0.3">
      <c r="D2690" s="40"/>
      <c r="J2690" s="134"/>
    </row>
    <row r="2691" spans="4:10" x14ac:dyDescent="0.3">
      <c r="D2691" s="40"/>
      <c r="J2691" s="134"/>
    </row>
    <row r="2692" spans="4:10" x14ac:dyDescent="0.3">
      <c r="D2692" s="40"/>
      <c r="J2692" s="134"/>
    </row>
    <row r="2693" spans="4:10" x14ac:dyDescent="0.3">
      <c r="D2693" s="40"/>
      <c r="J2693" s="134"/>
    </row>
    <row r="2694" spans="4:10" x14ac:dyDescent="0.3">
      <c r="D2694" s="40"/>
      <c r="J2694" s="134"/>
    </row>
    <row r="2695" spans="4:10" x14ac:dyDescent="0.3">
      <c r="D2695" s="40"/>
      <c r="J2695" s="134"/>
    </row>
    <row r="2696" spans="4:10" x14ac:dyDescent="0.3">
      <c r="D2696" s="40"/>
      <c r="J2696" s="134"/>
    </row>
    <row r="2697" spans="4:10" x14ac:dyDescent="0.3">
      <c r="D2697" s="40"/>
      <c r="J2697" s="134"/>
    </row>
    <row r="2698" spans="4:10" x14ac:dyDescent="0.3">
      <c r="D2698" s="40"/>
      <c r="J2698" s="134"/>
    </row>
    <row r="2699" spans="4:10" x14ac:dyDescent="0.3">
      <c r="D2699" s="40"/>
      <c r="J2699" s="134"/>
    </row>
    <row r="2700" spans="4:10" x14ac:dyDescent="0.3">
      <c r="D2700" s="40"/>
      <c r="J2700" s="134"/>
    </row>
    <row r="2701" spans="4:10" x14ac:dyDescent="0.3">
      <c r="D2701" s="40"/>
      <c r="J2701" s="134"/>
    </row>
    <row r="2702" spans="4:10" x14ac:dyDescent="0.3">
      <c r="D2702" s="40"/>
      <c r="J2702" s="134"/>
    </row>
    <row r="2703" spans="4:10" x14ac:dyDescent="0.3">
      <c r="D2703" s="40"/>
      <c r="J2703" s="134"/>
    </row>
    <row r="2704" spans="4:10" x14ac:dyDescent="0.3">
      <c r="D2704" s="40"/>
      <c r="J2704" s="134"/>
    </row>
    <row r="2705" spans="4:10" x14ac:dyDescent="0.3">
      <c r="D2705" s="40"/>
      <c r="J2705" s="134"/>
    </row>
    <row r="2706" spans="4:10" x14ac:dyDescent="0.3">
      <c r="D2706" s="40"/>
      <c r="J2706" s="134"/>
    </row>
    <row r="2707" spans="4:10" x14ac:dyDescent="0.3">
      <c r="D2707" s="40"/>
      <c r="J2707" s="134"/>
    </row>
    <row r="2708" spans="4:10" x14ac:dyDescent="0.3">
      <c r="D2708" s="40"/>
      <c r="J2708" s="134"/>
    </row>
    <row r="2709" spans="4:10" x14ac:dyDescent="0.3">
      <c r="D2709" s="40"/>
      <c r="J2709" s="134"/>
    </row>
    <row r="2710" spans="4:10" x14ac:dyDescent="0.3">
      <c r="D2710" s="40"/>
      <c r="J2710" s="134"/>
    </row>
    <row r="2711" spans="4:10" x14ac:dyDescent="0.3">
      <c r="D2711" s="40"/>
      <c r="J2711" s="134"/>
    </row>
    <row r="2712" spans="4:10" x14ac:dyDescent="0.3">
      <c r="D2712" s="40"/>
      <c r="J2712" s="134"/>
    </row>
    <row r="2713" spans="4:10" x14ac:dyDescent="0.3">
      <c r="D2713" s="40"/>
      <c r="J2713" s="134"/>
    </row>
    <row r="2714" spans="4:10" x14ac:dyDescent="0.3">
      <c r="D2714" s="40"/>
      <c r="J2714" s="134"/>
    </row>
    <row r="2715" spans="4:10" x14ac:dyDescent="0.3">
      <c r="D2715" s="40"/>
      <c r="J2715" s="134"/>
    </row>
    <row r="2716" spans="4:10" x14ac:dyDescent="0.3">
      <c r="D2716" s="40"/>
      <c r="J2716" s="134"/>
    </row>
    <row r="2717" spans="4:10" x14ac:dyDescent="0.3">
      <c r="D2717" s="40"/>
      <c r="J2717" s="134"/>
    </row>
    <row r="2718" spans="4:10" x14ac:dyDescent="0.3">
      <c r="D2718" s="40"/>
      <c r="J2718" s="134"/>
    </row>
    <row r="2719" spans="4:10" x14ac:dyDescent="0.3">
      <c r="D2719" s="40"/>
      <c r="J2719" s="134"/>
    </row>
    <row r="2720" spans="4:10" x14ac:dyDescent="0.3">
      <c r="D2720" s="40"/>
      <c r="J2720" s="134"/>
    </row>
    <row r="2721" spans="4:10" x14ac:dyDescent="0.3">
      <c r="D2721" s="40"/>
      <c r="J2721" s="134"/>
    </row>
    <row r="2722" spans="4:10" x14ac:dyDescent="0.3">
      <c r="D2722" s="40"/>
      <c r="J2722" s="134"/>
    </row>
    <row r="2723" spans="4:10" x14ac:dyDescent="0.3">
      <c r="D2723" s="40"/>
      <c r="J2723" s="134"/>
    </row>
    <row r="2724" spans="4:10" x14ac:dyDescent="0.3">
      <c r="D2724" s="40"/>
      <c r="J2724" s="134"/>
    </row>
    <row r="2725" spans="4:10" x14ac:dyDescent="0.3">
      <c r="D2725" s="40"/>
      <c r="J2725" s="134"/>
    </row>
    <row r="2726" spans="4:10" x14ac:dyDescent="0.3">
      <c r="D2726" s="40"/>
      <c r="J2726" s="134"/>
    </row>
    <row r="2727" spans="4:10" x14ac:dyDescent="0.3">
      <c r="D2727" s="40"/>
      <c r="J2727" s="134"/>
    </row>
    <row r="2728" spans="4:10" x14ac:dyDescent="0.3">
      <c r="D2728" s="40"/>
      <c r="J2728" s="134"/>
    </row>
    <row r="2729" spans="4:10" x14ac:dyDescent="0.3">
      <c r="D2729" s="40"/>
      <c r="J2729" s="134"/>
    </row>
    <row r="2730" spans="4:10" x14ac:dyDescent="0.3">
      <c r="D2730" s="40"/>
      <c r="J2730" s="134"/>
    </row>
    <row r="2731" spans="4:10" x14ac:dyDescent="0.3">
      <c r="D2731" s="40"/>
      <c r="J2731" s="134"/>
    </row>
    <row r="2732" spans="4:10" x14ac:dyDescent="0.3">
      <c r="D2732" s="40"/>
      <c r="J2732" s="134"/>
    </row>
    <row r="2733" spans="4:10" x14ac:dyDescent="0.3">
      <c r="D2733" s="40"/>
      <c r="J2733" s="134"/>
    </row>
    <row r="2734" spans="4:10" x14ac:dyDescent="0.3">
      <c r="D2734" s="40"/>
      <c r="J2734" s="134"/>
    </row>
    <row r="2735" spans="4:10" x14ac:dyDescent="0.3">
      <c r="D2735" s="40"/>
      <c r="J2735" s="134"/>
    </row>
    <row r="2736" spans="4:10" x14ac:dyDescent="0.3">
      <c r="D2736" s="40"/>
      <c r="J2736" s="134"/>
    </row>
    <row r="2737" spans="4:10" x14ac:dyDescent="0.3">
      <c r="D2737" s="40"/>
      <c r="J2737" s="134"/>
    </row>
    <row r="2738" spans="4:10" x14ac:dyDescent="0.3">
      <c r="D2738" s="40"/>
      <c r="J2738" s="134"/>
    </row>
    <row r="2739" spans="4:10" x14ac:dyDescent="0.3">
      <c r="D2739" s="40"/>
      <c r="J2739" s="134"/>
    </row>
    <row r="2740" spans="4:10" x14ac:dyDescent="0.3">
      <c r="D2740" s="40"/>
      <c r="J2740" s="134"/>
    </row>
    <row r="2741" spans="4:10" x14ac:dyDescent="0.3">
      <c r="D2741" s="40"/>
      <c r="J2741" s="134"/>
    </row>
    <row r="2742" spans="4:10" x14ac:dyDescent="0.3">
      <c r="D2742" s="40"/>
      <c r="J2742" s="134"/>
    </row>
    <row r="2743" spans="4:10" x14ac:dyDescent="0.3">
      <c r="D2743" s="40"/>
      <c r="J2743" s="134"/>
    </row>
    <row r="2744" spans="4:10" x14ac:dyDescent="0.3">
      <c r="D2744" s="40"/>
      <c r="J2744" s="134"/>
    </row>
    <row r="2745" spans="4:10" x14ac:dyDescent="0.3">
      <c r="D2745" s="40"/>
      <c r="J2745" s="134"/>
    </row>
    <row r="2746" spans="4:10" x14ac:dyDescent="0.3">
      <c r="D2746" s="40"/>
      <c r="J2746" s="134"/>
    </row>
    <row r="2747" spans="4:10" x14ac:dyDescent="0.3">
      <c r="D2747" s="40"/>
      <c r="J2747" s="134"/>
    </row>
    <row r="2748" spans="4:10" x14ac:dyDescent="0.3">
      <c r="D2748" s="40"/>
      <c r="J2748" s="134"/>
    </row>
    <row r="2749" spans="4:10" x14ac:dyDescent="0.3">
      <c r="D2749" s="40"/>
      <c r="J2749" s="134"/>
    </row>
    <row r="2750" spans="4:10" x14ac:dyDescent="0.3">
      <c r="D2750" s="40"/>
      <c r="J2750" s="134"/>
    </row>
    <row r="2751" spans="4:10" x14ac:dyDescent="0.3">
      <c r="D2751" s="40"/>
      <c r="J2751" s="134"/>
    </row>
    <row r="2752" spans="4:10" x14ac:dyDescent="0.3">
      <c r="D2752" s="40"/>
      <c r="J2752" s="134"/>
    </row>
    <row r="2753" spans="4:10" x14ac:dyDescent="0.3">
      <c r="D2753" s="40"/>
      <c r="J2753" s="134"/>
    </row>
    <row r="2754" spans="4:10" x14ac:dyDescent="0.3">
      <c r="D2754" s="40"/>
      <c r="J2754" s="134"/>
    </row>
    <row r="2755" spans="4:10" x14ac:dyDescent="0.3">
      <c r="D2755" s="40"/>
      <c r="J2755" s="134"/>
    </row>
    <row r="2756" spans="4:10" x14ac:dyDescent="0.3">
      <c r="D2756" s="40"/>
      <c r="J2756" s="134"/>
    </row>
    <row r="2757" spans="4:10" x14ac:dyDescent="0.3">
      <c r="D2757" s="40"/>
      <c r="J2757" s="134"/>
    </row>
    <row r="2758" spans="4:10" x14ac:dyDescent="0.3">
      <c r="D2758" s="40"/>
      <c r="J2758" s="134"/>
    </row>
    <row r="2759" spans="4:10" x14ac:dyDescent="0.3">
      <c r="D2759" s="40"/>
      <c r="J2759" s="134"/>
    </row>
    <row r="2760" spans="4:10" x14ac:dyDescent="0.3">
      <c r="D2760" s="40"/>
      <c r="J2760" s="134"/>
    </row>
    <row r="2761" spans="4:10" x14ac:dyDescent="0.3">
      <c r="D2761" s="40"/>
      <c r="J2761" s="134"/>
    </row>
    <row r="2762" spans="4:10" x14ac:dyDescent="0.3">
      <c r="D2762" s="40"/>
      <c r="J2762" s="134"/>
    </row>
    <row r="2763" spans="4:10" x14ac:dyDescent="0.3">
      <c r="D2763" s="40"/>
      <c r="J2763" s="134"/>
    </row>
    <row r="2764" spans="4:10" x14ac:dyDescent="0.3">
      <c r="D2764" s="40"/>
      <c r="J2764" s="134"/>
    </row>
    <row r="2765" spans="4:10" x14ac:dyDescent="0.3">
      <c r="D2765" s="40"/>
      <c r="J2765" s="134"/>
    </row>
    <row r="2766" spans="4:10" x14ac:dyDescent="0.3">
      <c r="D2766" s="40"/>
      <c r="J2766" s="134"/>
    </row>
    <row r="2767" spans="4:10" x14ac:dyDescent="0.3">
      <c r="D2767" s="40"/>
      <c r="J2767" s="134"/>
    </row>
    <row r="2768" spans="4:10" x14ac:dyDescent="0.3">
      <c r="D2768" s="40"/>
      <c r="J2768" s="134"/>
    </row>
    <row r="2769" spans="4:10" x14ac:dyDescent="0.3">
      <c r="D2769" s="40"/>
      <c r="J2769" s="134"/>
    </row>
    <row r="2770" spans="4:10" x14ac:dyDescent="0.3">
      <c r="D2770" s="40"/>
      <c r="J2770" s="134"/>
    </row>
    <row r="2771" spans="4:10" x14ac:dyDescent="0.3">
      <c r="D2771" s="40"/>
      <c r="J2771" s="134"/>
    </row>
    <row r="2772" spans="4:10" x14ac:dyDescent="0.3">
      <c r="D2772" s="40"/>
      <c r="J2772" s="134"/>
    </row>
    <row r="2773" spans="4:10" x14ac:dyDescent="0.3">
      <c r="D2773" s="40"/>
      <c r="J2773" s="134"/>
    </row>
    <row r="2774" spans="4:10" x14ac:dyDescent="0.3">
      <c r="D2774" s="40"/>
      <c r="J2774" s="134"/>
    </row>
    <row r="2775" spans="4:10" x14ac:dyDescent="0.3">
      <c r="D2775" s="40"/>
      <c r="J2775" s="134"/>
    </row>
    <row r="2776" spans="4:10" x14ac:dyDescent="0.3">
      <c r="D2776" s="40"/>
      <c r="J2776" s="134"/>
    </row>
    <row r="2777" spans="4:10" x14ac:dyDescent="0.3">
      <c r="D2777" s="40"/>
      <c r="J2777" s="134"/>
    </row>
    <row r="2778" spans="4:10" x14ac:dyDescent="0.3">
      <c r="D2778" s="40"/>
      <c r="J2778" s="134"/>
    </row>
    <row r="2779" spans="4:10" x14ac:dyDescent="0.3">
      <c r="D2779" s="40"/>
      <c r="J2779" s="134"/>
    </row>
    <row r="2780" spans="4:10" x14ac:dyDescent="0.3">
      <c r="D2780" s="40"/>
      <c r="J2780" s="134"/>
    </row>
    <row r="2781" spans="4:10" x14ac:dyDescent="0.3">
      <c r="D2781" s="40"/>
      <c r="J2781" s="134"/>
    </row>
    <row r="2782" spans="4:10" x14ac:dyDescent="0.3">
      <c r="D2782" s="40"/>
      <c r="J2782" s="134"/>
    </row>
    <row r="2783" spans="4:10" x14ac:dyDescent="0.3">
      <c r="D2783" s="40"/>
      <c r="J2783" s="134"/>
    </row>
    <row r="2784" spans="4:10" x14ac:dyDescent="0.3">
      <c r="D2784" s="40"/>
      <c r="J2784" s="134"/>
    </row>
    <row r="2785" spans="4:10" x14ac:dyDescent="0.3">
      <c r="D2785" s="40"/>
      <c r="J2785" s="134"/>
    </row>
    <row r="2786" spans="4:10" x14ac:dyDescent="0.3">
      <c r="D2786" s="40"/>
      <c r="J2786" s="134"/>
    </row>
    <row r="2787" spans="4:10" x14ac:dyDescent="0.3">
      <c r="D2787" s="40"/>
      <c r="J2787" s="134"/>
    </row>
    <row r="2788" spans="4:10" x14ac:dyDescent="0.3">
      <c r="D2788" s="40"/>
      <c r="J2788" s="134"/>
    </row>
    <row r="2789" spans="4:10" x14ac:dyDescent="0.3">
      <c r="D2789" s="40"/>
      <c r="J2789" s="134"/>
    </row>
    <row r="2790" spans="4:10" x14ac:dyDescent="0.3">
      <c r="D2790" s="40"/>
      <c r="J2790" s="134"/>
    </row>
    <row r="2791" spans="4:10" x14ac:dyDescent="0.3">
      <c r="D2791" s="40"/>
      <c r="J2791" s="134"/>
    </row>
    <row r="2792" spans="4:10" x14ac:dyDescent="0.3">
      <c r="D2792" s="40"/>
      <c r="J2792" s="134"/>
    </row>
    <row r="2793" spans="4:10" x14ac:dyDescent="0.3">
      <c r="D2793" s="40"/>
      <c r="J2793" s="134"/>
    </row>
    <row r="2794" spans="4:10" x14ac:dyDescent="0.3">
      <c r="D2794" s="40"/>
      <c r="J2794" s="134"/>
    </row>
    <row r="2795" spans="4:10" x14ac:dyDescent="0.3">
      <c r="D2795" s="40"/>
      <c r="J2795" s="134"/>
    </row>
    <row r="2796" spans="4:10" x14ac:dyDescent="0.3">
      <c r="D2796" s="40"/>
      <c r="J2796" s="134"/>
    </row>
    <row r="2797" spans="4:10" x14ac:dyDescent="0.3">
      <c r="D2797" s="40"/>
      <c r="J2797" s="134"/>
    </row>
    <row r="2798" spans="4:10" x14ac:dyDescent="0.3">
      <c r="D2798" s="40"/>
      <c r="J2798" s="134"/>
    </row>
    <row r="2799" spans="4:10" x14ac:dyDescent="0.3">
      <c r="D2799" s="40"/>
      <c r="J2799" s="134"/>
    </row>
    <row r="2800" spans="4:10" x14ac:dyDescent="0.3">
      <c r="D2800" s="40"/>
      <c r="J2800" s="134"/>
    </row>
    <row r="2801" spans="4:10" x14ac:dyDescent="0.3">
      <c r="D2801" s="40"/>
      <c r="J2801" s="134"/>
    </row>
    <row r="2802" spans="4:10" x14ac:dyDescent="0.3">
      <c r="D2802" s="40"/>
      <c r="J2802" s="134"/>
    </row>
    <row r="2803" spans="4:10" x14ac:dyDescent="0.3">
      <c r="D2803" s="40"/>
      <c r="J2803" s="134"/>
    </row>
    <row r="2804" spans="4:10" x14ac:dyDescent="0.3">
      <c r="D2804" s="40"/>
      <c r="J2804" s="134"/>
    </row>
    <row r="2805" spans="4:10" x14ac:dyDescent="0.3">
      <c r="D2805" s="40"/>
      <c r="J2805" s="134"/>
    </row>
    <row r="2806" spans="4:10" x14ac:dyDescent="0.3">
      <c r="D2806" s="40"/>
      <c r="J2806" s="134"/>
    </row>
    <row r="2807" spans="4:10" x14ac:dyDescent="0.3">
      <c r="D2807" s="40"/>
      <c r="J2807" s="134"/>
    </row>
    <row r="2808" spans="4:10" x14ac:dyDescent="0.3">
      <c r="D2808" s="40"/>
      <c r="J2808" s="134"/>
    </row>
    <row r="2809" spans="4:10" x14ac:dyDescent="0.3">
      <c r="D2809" s="40"/>
      <c r="J2809" s="134"/>
    </row>
    <row r="2810" spans="4:10" x14ac:dyDescent="0.3">
      <c r="D2810" s="40"/>
      <c r="J2810" s="134"/>
    </row>
    <row r="2811" spans="4:10" x14ac:dyDescent="0.3">
      <c r="D2811" s="40"/>
      <c r="J2811" s="134"/>
    </row>
    <row r="2812" spans="4:10" x14ac:dyDescent="0.3">
      <c r="D2812" s="40"/>
      <c r="J2812" s="134"/>
    </row>
    <row r="2813" spans="4:10" x14ac:dyDescent="0.3">
      <c r="D2813" s="40"/>
      <c r="J2813" s="134"/>
    </row>
    <row r="2814" spans="4:10" x14ac:dyDescent="0.3">
      <c r="D2814" s="40"/>
      <c r="J2814" s="134"/>
    </row>
    <row r="2815" spans="4:10" x14ac:dyDescent="0.3">
      <c r="D2815" s="40"/>
      <c r="J2815" s="134"/>
    </row>
    <row r="2816" spans="4:10" x14ac:dyDescent="0.3">
      <c r="D2816" s="40"/>
      <c r="J2816" s="134"/>
    </row>
    <row r="2817" spans="4:10" x14ac:dyDescent="0.3">
      <c r="D2817" s="40"/>
      <c r="J2817" s="134"/>
    </row>
    <row r="2818" spans="4:10" x14ac:dyDescent="0.3">
      <c r="D2818" s="40"/>
      <c r="J2818" s="134"/>
    </row>
    <row r="2819" spans="4:10" x14ac:dyDescent="0.3">
      <c r="D2819" s="40"/>
      <c r="J2819" s="134"/>
    </row>
    <row r="2820" spans="4:10" x14ac:dyDescent="0.3">
      <c r="D2820" s="40"/>
      <c r="J2820" s="134"/>
    </row>
    <row r="2821" spans="4:10" x14ac:dyDescent="0.3">
      <c r="D2821" s="40"/>
      <c r="J2821" s="134"/>
    </row>
    <row r="2822" spans="4:10" x14ac:dyDescent="0.3">
      <c r="D2822" s="40"/>
      <c r="J2822" s="134"/>
    </row>
    <row r="2823" spans="4:10" x14ac:dyDescent="0.3">
      <c r="D2823" s="40"/>
      <c r="J2823" s="134"/>
    </row>
    <row r="2824" spans="4:10" x14ac:dyDescent="0.3">
      <c r="D2824" s="40"/>
      <c r="J2824" s="134"/>
    </row>
    <row r="2825" spans="4:10" x14ac:dyDescent="0.3">
      <c r="D2825" s="40"/>
      <c r="J2825" s="134"/>
    </row>
    <row r="2826" spans="4:10" x14ac:dyDescent="0.3">
      <c r="D2826" s="40"/>
      <c r="J2826" s="134"/>
    </row>
    <row r="2827" spans="4:10" x14ac:dyDescent="0.3">
      <c r="D2827" s="40"/>
      <c r="J2827" s="134"/>
    </row>
    <row r="2828" spans="4:10" x14ac:dyDescent="0.3">
      <c r="D2828" s="40"/>
      <c r="J2828" s="134"/>
    </row>
    <row r="2829" spans="4:10" x14ac:dyDescent="0.3">
      <c r="D2829" s="40"/>
      <c r="J2829" s="134"/>
    </row>
    <row r="2830" spans="4:10" x14ac:dyDescent="0.3">
      <c r="D2830" s="40"/>
      <c r="J2830" s="134"/>
    </row>
    <row r="2831" spans="4:10" x14ac:dyDescent="0.3">
      <c r="D2831" s="40"/>
      <c r="J2831" s="134"/>
    </row>
    <row r="2832" spans="4:10" x14ac:dyDescent="0.3">
      <c r="D2832" s="40"/>
      <c r="J2832" s="134"/>
    </row>
    <row r="2833" spans="4:10" x14ac:dyDescent="0.3">
      <c r="D2833" s="40"/>
      <c r="J2833" s="134"/>
    </row>
    <row r="2834" spans="4:10" x14ac:dyDescent="0.3">
      <c r="D2834" s="40"/>
      <c r="J2834" s="134"/>
    </row>
    <row r="2835" spans="4:10" x14ac:dyDescent="0.3">
      <c r="D2835" s="40"/>
      <c r="J2835" s="134"/>
    </row>
    <row r="2836" spans="4:10" x14ac:dyDescent="0.3">
      <c r="D2836" s="40"/>
      <c r="J2836" s="134"/>
    </row>
    <row r="2837" spans="4:10" x14ac:dyDescent="0.3">
      <c r="D2837" s="40"/>
      <c r="J2837" s="134"/>
    </row>
    <row r="2838" spans="4:10" x14ac:dyDescent="0.3">
      <c r="D2838" s="40"/>
      <c r="J2838" s="134"/>
    </row>
    <row r="2839" spans="4:10" x14ac:dyDescent="0.3">
      <c r="D2839" s="40"/>
      <c r="J2839" s="134"/>
    </row>
    <row r="2840" spans="4:10" x14ac:dyDescent="0.3">
      <c r="D2840" s="40"/>
      <c r="J2840" s="134"/>
    </row>
    <row r="2841" spans="4:10" x14ac:dyDescent="0.3">
      <c r="D2841" s="40"/>
      <c r="J2841" s="134"/>
    </row>
    <row r="2842" spans="4:10" x14ac:dyDescent="0.3">
      <c r="D2842" s="40"/>
      <c r="J2842" s="134"/>
    </row>
    <row r="2843" spans="4:10" x14ac:dyDescent="0.3">
      <c r="D2843" s="40"/>
      <c r="J2843" s="134"/>
    </row>
    <row r="2844" spans="4:10" x14ac:dyDescent="0.3">
      <c r="D2844" s="40"/>
      <c r="J2844" s="134"/>
    </row>
    <row r="2845" spans="4:10" x14ac:dyDescent="0.3">
      <c r="D2845" s="40"/>
      <c r="J2845" s="134"/>
    </row>
    <row r="2846" spans="4:10" x14ac:dyDescent="0.3">
      <c r="D2846" s="40"/>
      <c r="J2846" s="134"/>
    </row>
    <row r="2847" spans="4:10" x14ac:dyDescent="0.3">
      <c r="D2847" s="40"/>
      <c r="J2847" s="134"/>
    </row>
    <row r="2848" spans="4:10" x14ac:dyDescent="0.3">
      <c r="D2848" s="40"/>
      <c r="J2848" s="134"/>
    </row>
    <row r="2849" spans="4:10" x14ac:dyDescent="0.3">
      <c r="D2849" s="40"/>
      <c r="J2849" s="134"/>
    </row>
    <row r="2850" spans="4:10" x14ac:dyDescent="0.3">
      <c r="D2850" s="40"/>
      <c r="J2850" s="134"/>
    </row>
    <row r="2851" spans="4:10" x14ac:dyDescent="0.3">
      <c r="D2851" s="40"/>
      <c r="J2851" s="134"/>
    </row>
    <row r="2852" spans="4:10" x14ac:dyDescent="0.3">
      <c r="D2852" s="40"/>
      <c r="J2852" s="134"/>
    </row>
    <row r="2853" spans="4:10" x14ac:dyDescent="0.3">
      <c r="D2853" s="40"/>
      <c r="J2853" s="134"/>
    </row>
    <row r="2854" spans="4:10" x14ac:dyDescent="0.3">
      <c r="D2854" s="40"/>
      <c r="J2854" s="134"/>
    </row>
    <row r="2855" spans="4:10" x14ac:dyDescent="0.3">
      <c r="D2855" s="40"/>
      <c r="J2855" s="134"/>
    </row>
    <row r="2856" spans="4:10" x14ac:dyDescent="0.3">
      <c r="D2856" s="40"/>
      <c r="J2856" s="134"/>
    </row>
    <row r="2857" spans="4:10" x14ac:dyDescent="0.3">
      <c r="D2857" s="40"/>
      <c r="J2857" s="134"/>
    </row>
    <row r="2858" spans="4:10" x14ac:dyDescent="0.3">
      <c r="D2858" s="40"/>
      <c r="J2858" s="134"/>
    </row>
    <row r="2859" spans="4:10" x14ac:dyDescent="0.3">
      <c r="D2859" s="40"/>
      <c r="J2859" s="134"/>
    </row>
    <row r="2860" spans="4:10" x14ac:dyDescent="0.3">
      <c r="D2860" s="40"/>
      <c r="J2860" s="134"/>
    </row>
    <row r="2861" spans="4:10" x14ac:dyDescent="0.3">
      <c r="D2861" s="40"/>
      <c r="J2861" s="134"/>
    </row>
    <row r="2862" spans="4:10" x14ac:dyDescent="0.3">
      <c r="D2862" s="40"/>
      <c r="J2862" s="134"/>
    </row>
    <row r="2863" spans="4:10" x14ac:dyDescent="0.3">
      <c r="D2863" s="40"/>
      <c r="J2863" s="134"/>
    </row>
    <row r="2864" spans="4:10" x14ac:dyDescent="0.3">
      <c r="D2864" s="40"/>
      <c r="J2864" s="134"/>
    </row>
    <row r="2865" spans="4:10" x14ac:dyDescent="0.3">
      <c r="D2865" s="40"/>
      <c r="J2865" s="134"/>
    </row>
    <row r="2866" spans="4:10" x14ac:dyDescent="0.3">
      <c r="D2866" s="40"/>
      <c r="J2866" s="134"/>
    </row>
    <row r="2867" spans="4:10" x14ac:dyDescent="0.3">
      <c r="D2867" s="40"/>
      <c r="J2867" s="134"/>
    </row>
    <row r="2868" spans="4:10" x14ac:dyDescent="0.3">
      <c r="D2868" s="40"/>
      <c r="J2868" s="134"/>
    </row>
    <row r="2869" spans="4:10" x14ac:dyDescent="0.3">
      <c r="D2869" s="40"/>
      <c r="J2869" s="134"/>
    </row>
    <row r="2870" spans="4:10" x14ac:dyDescent="0.3">
      <c r="D2870" s="40"/>
      <c r="J2870" s="134"/>
    </row>
    <row r="2871" spans="4:10" x14ac:dyDescent="0.3">
      <c r="D2871" s="40"/>
      <c r="J2871" s="134"/>
    </row>
    <row r="2872" spans="4:10" x14ac:dyDescent="0.3">
      <c r="D2872" s="40"/>
      <c r="J2872" s="134"/>
    </row>
    <row r="2873" spans="4:10" x14ac:dyDescent="0.3">
      <c r="D2873" s="40"/>
      <c r="J2873" s="134"/>
    </row>
    <row r="2874" spans="4:10" x14ac:dyDescent="0.3">
      <c r="D2874" s="40"/>
      <c r="J2874" s="134"/>
    </row>
    <row r="2875" spans="4:10" x14ac:dyDescent="0.3">
      <c r="D2875" s="40"/>
      <c r="J2875" s="134"/>
    </row>
    <row r="2876" spans="4:10" x14ac:dyDescent="0.3">
      <c r="D2876" s="40"/>
      <c r="J2876" s="134"/>
    </row>
    <row r="2877" spans="4:10" x14ac:dyDescent="0.3">
      <c r="D2877" s="40"/>
      <c r="J2877" s="134"/>
    </row>
    <row r="2878" spans="4:10" x14ac:dyDescent="0.3">
      <c r="D2878" s="40"/>
      <c r="J2878" s="134"/>
    </row>
    <row r="2879" spans="4:10" x14ac:dyDescent="0.3">
      <c r="D2879" s="40"/>
      <c r="J2879" s="134"/>
    </row>
    <row r="2880" spans="4:10" x14ac:dyDescent="0.3">
      <c r="D2880" s="40"/>
      <c r="J2880" s="134"/>
    </row>
    <row r="2881" spans="4:10" x14ac:dyDescent="0.3">
      <c r="D2881" s="40"/>
      <c r="J2881" s="134"/>
    </row>
    <row r="2882" spans="4:10" x14ac:dyDescent="0.3">
      <c r="D2882" s="40"/>
      <c r="J2882" s="134"/>
    </row>
    <row r="2883" spans="4:10" x14ac:dyDescent="0.3">
      <c r="D2883" s="40"/>
      <c r="J2883" s="134"/>
    </row>
    <row r="2884" spans="4:10" x14ac:dyDescent="0.3">
      <c r="D2884" s="40"/>
      <c r="J2884" s="134"/>
    </row>
    <row r="2885" spans="4:10" x14ac:dyDescent="0.3">
      <c r="D2885" s="40"/>
      <c r="J2885" s="134"/>
    </row>
    <row r="2886" spans="4:10" x14ac:dyDescent="0.3">
      <c r="D2886" s="40"/>
      <c r="J2886" s="134"/>
    </row>
    <row r="2887" spans="4:10" x14ac:dyDescent="0.3">
      <c r="D2887" s="40"/>
      <c r="J2887" s="134"/>
    </row>
    <row r="2888" spans="4:10" x14ac:dyDescent="0.3">
      <c r="D2888" s="40"/>
      <c r="J2888" s="134"/>
    </row>
    <row r="2889" spans="4:10" x14ac:dyDescent="0.3">
      <c r="D2889" s="40"/>
      <c r="J2889" s="134"/>
    </row>
    <row r="2890" spans="4:10" x14ac:dyDescent="0.3">
      <c r="D2890" s="40"/>
      <c r="J2890" s="134"/>
    </row>
    <row r="2891" spans="4:10" x14ac:dyDescent="0.3">
      <c r="D2891" s="40"/>
      <c r="J2891" s="134"/>
    </row>
    <row r="2892" spans="4:10" x14ac:dyDescent="0.3">
      <c r="D2892" s="40"/>
      <c r="J2892" s="134"/>
    </row>
    <row r="2893" spans="4:10" x14ac:dyDescent="0.3">
      <c r="D2893" s="40"/>
      <c r="J2893" s="134"/>
    </row>
    <row r="2894" spans="4:10" x14ac:dyDescent="0.3">
      <c r="D2894" s="40"/>
      <c r="J2894" s="134"/>
    </row>
    <row r="2895" spans="4:10" x14ac:dyDescent="0.3">
      <c r="D2895" s="40"/>
      <c r="J2895" s="134"/>
    </row>
    <row r="2896" spans="4:10" x14ac:dyDescent="0.3">
      <c r="D2896" s="40"/>
      <c r="J2896" s="134"/>
    </row>
    <row r="2897" spans="4:10" x14ac:dyDescent="0.3">
      <c r="D2897" s="40"/>
      <c r="J2897" s="134"/>
    </row>
    <row r="2898" spans="4:10" x14ac:dyDescent="0.3">
      <c r="D2898" s="40"/>
      <c r="J2898" s="134"/>
    </row>
    <row r="2899" spans="4:10" x14ac:dyDescent="0.3">
      <c r="D2899" s="40"/>
      <c r="J2899" s="134"/>
    </row>
    <row r="2900" spans="4:10" x14ac:dyDescent="0.3">
      <c r="D2900" s="40"/>
      <c r="J2900" s="134"/>
    </row>
    <row r="2901" spans="4:10" x14ac:dyDescent="0.3">
      <c r="D2901" s="40"/>
      <c r="J2901" s="134"/>
    </row>
    <row r="2902" spans="4:10" x14ac:dyDescent="0.3">
      <c r="D2902" s="40"/>
      <c r="J2902" s="134"/>
    </row>
    <row r="2903" spans="4:10" x14ac:dyDescent="0.3">
      <c r="D2903" s="40"/>
      <c r="J2903" s="134"/>
    </row>
    <row r="2904" spans="4:10" x14ac:dyDescent="0.3">
      <c r="D2904" s="40"/>
      <c r="J2904" s="134"/>
    </row>
    <row r="2905" spans="4:10" x14ac:dyDescent="0.3">
      <c r="D2905" s="40"/>
      <c r="J2905" s="134"/>
    </row>
    <row r="2906" spans="4:10" x14ac:dyDescent="0.3">
      <c r="D2906" s="40"/>
      <c r="J2906" s="134"/>
    </row>
    <row r="2907" spans="4:10" x14ac:dyDescent="0.3">
      <c r="D2907" s="40"/>
      <c r="J2907" s="134"/>
    </row>
    <row r="2908" spans="4:10" x14ac:dyDescent="0.3">
      <c r="D2908" s="40"/>
      <c r="J2908" s="134"/>
    </row>
    <row r="2909" spans="4:10" x14ac:dyDescent="0.3">
      <c r="D2909" s="40"/>
      <c r="J2909" s="134"/>
    </row>
    <row r="2910" spans="4:10" x14ac:dyDescent="0.3">
      <c r="D2910" s="40"/>
      <c r="J2910" s="134"/>
    </row>
    <row r="2911" spans="4:10" x14ac:dyDescent="0.3">
      <c r="D2911" s="40"/>
      <c r="J2911" s="134"/>
    </row>
    <row r="2912" spans="4:10" x14ac:dyDescent="0.3">
      <c r="D2912" s="40"/>
      <c r="J2912" s="134"/>
    </row>
    <row r="2913" spans="4:10" x14ac:dyDescent="0.3">
      <c r="D2913" s="40"/>
      <c r="J2913" s="134"/>
    </row>
    <row r="2914" spans="4:10" x14ac:dyDescent="0.3">
      <c r="D2914" s="40"/>
      <c r="J2914" s="134"/>
    </row>
    <row r="2915" spans="4:10" x14ac:dyDescent="0.3">
      <c r="D2915" s="40"/>
      <c r="J2915" s="134"/>
    </row>
    <row r="2916" spans="4:10" x14ac:dyDescent="0.3">
      <c r="D2916" s="40"/>
      <c r="J2916" s="134"/>
    </row>
    <row r="2917" spans="4:10" x14ac:dyDescent="0.3">
      <c r="D2917" s="40"/>
      <c r="J2917" s="134"/>
    </row>
    <row r="2918" spans="4:10" x14ac:dyDescent="0.3">
      <c r="D2918" s="40"/>
      <c r="J2918" s="134"/>
    </row>
    <row r="2919" spans="4:10" x14ac:dyDescent="0.3">
      <c r="D2919" s="40"/>
      <c r="J2919" s="134"/>
    </row>
    <row r="2920" spans="4:10" x14ac:dyDescent="0.3">
      <c r="D2920" s="40"/>
      <c r="J2920" s="134"/>
    </row>
    <row r="2921" spans="4:10" x14ac:dyDescent="0.3">
      <c r="D2921" s="40"/>
      <c r="J2921" s="134"/>
    </row>
    <row r="2922" spans="4:10" x14ac:dyDescent="0.3">
      <c r="D2922" s="40"/>
      <c r="J2922" s="134"/>
    </row>
    <row r="2923" spans="4:10" x14ac:dyDescent="0.3">
      <c r="D2923" s="40"/>
      <c r="J2923" s="134"/>
    </row>
    <row r="2924" spans="4:10" x14ac:dyDescent="0.3">
      <c r="D2924" s="40"/>
      <c r="J2924" s="134"/>
    </row>
    <row r="2925" spans="4:10" x14ac:dyDescent="0.3">
      <c r="D2925" s="40"/>
      <c r="J2925" s="134"/>
    </row>
    <row r="2926" spans="4:10" x14ac:dyDescent="0.3">
      <c r="D2926" s="40"/>
      <c r="J2926" s="134"/>
    </row>
    <row r="2927" spans="4:10" x14ac:dyDescent="0.3">
      <c r="D2927" s="40"/>
      <c r="J2927" s="134"/>
    </row>
    <row r="2928" spans="4:10" x14ac:dyDescent="0.3">
      <c r="D2928" s="40"/>
      <c r="J2928" s="134"/>
    </row>
    <row r="2929" spans="4:10" x14ac:dyDescent="0.3">
      <c r="D2929" s="40"/>
      <c r="J2929" s="134"/>
    </row>
    <row r="2930" spans="4:10" x14ac:dyDescent="0.3">
      <c r="D2930" s="40"/>
      <c r="J2930" s="134"/>
    </row>
    <row r="2931" spans="4:10" x14ac:dyDescent="0.3">
      <c r="D2931" s="40"/>
      <c r="J2931" s="134"/>
    </row>
    <row r="2932" spans="4:10" x14ac:dyDescent="0.3">
      <c r="D2932" s="40"/>
      <c r="J2932" s="134"/>
    </row>
    <row r="2933" spans="4:10" x14ac:dyDescent="0.3">
      <c r="D2933" s="40"/>
      <c r="J2933" s="134"/>
    </row>
    <row r="2934" spans="4:10" x14ac:dyDescent="0.3">
      <c r="D2934" s="40"/>
      <c r="J2934" s="134"/>
    </row>
    <row r="2935" spans="4:10" x14ac:dyDescent="0.3">
      <c r="D2935" s="40"/>
      <c r="J2935" s="134"/>
    </row>
    <row r="2936" spans="4:10" x14ac:dyDescent="0.3">
      <c r="D2936" s="40"/>
      <c r="J2936" s="134"/>
    </row>
    <row r="2937" spans="4:10" x14ac:dyDescent="0.3">
      <c r="D2937" s="40"/>
      <c r="J2937" s="134"/>
    </row>
    <row r="2938" spans="4:10" x14ac:dyDescent="0.3">
      <c r="D2938" s="40"/>
      <c r="J2938" s="134"/>
    </row>
    <row r="2939" spans="4:10" x14ac:dyDescent="0.3">
      <c r="D2939" s="40"/>
      <c r="J2939" s="134"/>
    </row>
    <row r="2940" spans="4:10" x14ac:dyDescent="0.3">
      <c r="D2940" s="40"/>
      <c r="J2940" s="134"/>
    </row>
    <row r="2941" spans="4:10" x14ac:dyDescent="0.3">
      <c r="D2941" s="40"/>
      <c r="J2941" s="134"/>
    </row>
    <row r="2942" spans="4:10" x14ac:dyDescent="0.3">
      <c r="D2942" s="40"/>
      <c r="J2942" s="134"/>
    </row>
    <row r="2943" spans="4:10" x14ac:dyDescent="0.3">
      <c r="D2943" s="40"/>
      <c r="J2943" s="134"/>
    </row>
    <row r="2944" spans="4:10" x14ac:dyDescent="0.3">
      <c r="D2944" s="40"/>
      <c r="J2944" s="134"/>
    </row>
    <row r="2945" spans="4:10" x14ac:dyDescent="0.3">
      <c r="D2945" s="40"/>
      <c r="J2945" s="134"/>
    </row>
    <row r="2946" spans="4:10" x14ac:dyDescent="0.3">
      <c r="D2946" s="40"/>
      <c r="J2946" s="134"/>
    </row>
    <row r="2947" spans="4:10" x14ac:dyDescent="0.3">
      <c r="D2947" s="40"/>
      <c r="J2947" s="134"/>
    </row>
    <row r="2948" spans="4:10" x14ac:dyDescent="0.3">
      <c r="D2948" s="40"/>
      <c r="J2948" s="134"/>
    </row>
    <row r="2949" spans="4:10" x14ac:dyDescent="0.3">
      <c r="D2949" s="40"/>
      <c r="J2949" s="134"/>
    </row>
    <row r="2950" spans="4:10" x14ac:dyDescent="0.3">
      <c r="D2950" s="40"/>
      <c r="J2950" s="134"/>
    </row>
    <row r="2951" spans="4:10" x14ac:dyDescent="0.3">
      <c r="D2951" s="40"/>
      <c r="J2951" s="134"/>
    </row>
    <row r="2952" spans="4:10" x14ac:dyDescent="0.3">
      <c r="D2952" s="40"/>
      <c r="J2952" s="134"/>
    </row>
    <row r="2953" spans="4:10" x14ac:dyDescent="0.3">
      <c r="D2953" s="40"/>
      <c r="J2953" s="134"/>
    </row>
    <row r="2954" spans="4:10" x14ac:dyDescent="0.3">
      <c r="D2954" s="40"/>
      <c r="J2954" s="134"/>
    </row>
    <row r="2955" spans="4:10" x14ac:dyDescent="0.3">
      <c r="D2955" s="40"/>
      <c r="J2955" s="134"/>
    </row>
    <row r="2956" spans="4:10" x14ac:dyDescent="0.3">
      <c r="D2956" s="40"/>
      <c r="J2956" s="134"/>
    </row>
    <row r="2957" spans="4:10" x14ac:dyDescent="0.3">
      <c r="D2957" s="40"/>
      <c r="J2957" s="134"/>
    </row>
    <row r="2958" spans="4:10" x14ac:dyDescent="0.3">
      <c r="D2958" s="40"/>
      <c r="J2958" s="134"/>
    </row>
    <row r="2959" spans="4:10" x14ac:dyDescent="0.3">
      <c r="D2959" s="40"/>
      <c r="J2959" s="134"/>
    </row>
    <row r="2960" spans="4:10" x14ac:dyDescent="0.3">
      <c r="D2960" s="40"/>
      <c r="J2960" s="134"/>
    </row>
    <row r="2961" spans="4:10" x14ac:dyDescent="0.3">
      <c r="D2961" s="40"/>
      <c r="J2961" s="134"/>
    </row>
    <row r="2962" spans="4:10" x14ac:dyDescent="0.3">
      <c r="D2962" s="40"/>
      <c r="J2962" s="134"/>
    </row>
    <row r="2963" spans="4:10" x14ac:dyDescent="0.3">
      <c r="D2963" s="40"/>
      <c r="J2963" s="134"/>
    </row>
    <row r="2964" spans="4:10" x14ac:dyDescent="0.3">
      <c r="D2964" s="40"/>
      <c r="J2964" s="134"/>
    </row>
    <row r="2965" spans="4:10" x14ac:dyDescent="0.3">
      <c r="D2965" s="40"/>
      <c r="J2965" s="134"/>
    </row>
    <row r="2966" spans="4:10" x14ac:dyDescent="0.3">
      <c r="D2966" s="40"/>
      <c r="J2966" s="134"/>
    </row>
    <row r="2967" spans="4:10" x14ac:dyDescent="0.3">
      <c r="D2967" s="40"/>
      <c r="J2967" s="134"/>
    </row>
    <row r="2968" spans="4:10" x14ac:dyDescent="0.3">
      <c r="D2968" s="40"/>
      <c r="J2968" s="134"/>
    </row>
    <row r="2969" spans="4:10" x14ac:dyDescent="0.3">
      <c r="D2969" s="40"/>
      <c r="J2969" s="134"/>
    </row>
    <row r="2970" spans="4:10" x14ac:dyDescent="0.3">
      <c r="D2970" s="40"/>
      <c r="J2970" s="134"/>
    </row>
    <row r="2971" spans="4:10" x14ac:dyDescent="0.3">
      <c r="D2971" s="40"/>
      <c r="J2971" s="134"/>
    </row>
    <row r="2972" spans="4:10" x14ac:dyDescent="0.3">
      <c r="D2972" s="40"/>
      <c r="J2972" s="134"/>
    </row>
    <row r="2973" spans="4:10" x14ac:dyDescent="0.3">
      <c r="D2973" s="40"/>
      <c r="J2973" s="134"/>
    </row>
    <row r="2974" spans="4:10" x14ac:dyDescent="0.3">
      <c r="D2974" s="40"/>
      <c r="J2974" s="134"/>
    </row>
    <row r="2975" spans="4:10" x14ac:dyDescent="0.3">
      <c r="D2975" s="40"/>
      <c r="J2975" s="134"/>
    </row>
    <row r="2976" spans="4:10" x14ac:dyDescent="0.3">
      <c r="D2976" s="40"/>
      <c r="J2976" s="134"/>
    </row>
    <row r="2977" spans="4:10" x14ac:dyDescent="0.3">
      <c r="D2977" s="40"/>
      <c r="J2977" s="134"/>
    </row>
    <row r="2978" spans="4:10" x14ac:dyDescent="0.3">
      <c r="D2978" s="40"/>
      <c r="J2978" s="134"/>
    </row>
    <row r="2979" spans="4:10" x14ac:dyDescent="0.3">
      <c r="D2979" s="40"/>
      <c r="J2979" s="134"/>
    </row>
    <row r="2980" spans="4:10" x14ac:dyDescent="0.3">
      <c r="D2980" s="40"/>
      <c r="J2980" s="134"/>
    </row>
    <row r="2981" spans="4:10" x14ac:dyDescent="0.3">
      <c r="D2981" s="40"/>
      <c r="J2981" s="134"/>
    </row>
    <row r="2982" spans="4:10" x14ac:dyDescent="0.3">
      <c r="D2982" s="40"/>
      <c r="J2982" s="134"/>
    </row>
    <row r="2983" spans="4:10" x14ac:dyDescent="0.3">
      <c r="D2983" s="40"/>
      <c r="J2983" s="134"/>
    </row>
    <row r="2984" spans="4:10" x14ac:dyDescent="0.3">
      <c r="D2984" s="40"/>
      <c r="J2984" s="134"/>
    </row>
    <row r="2985" spans="4:10" x14ac:dyDescent="0.3">
      <c r="D2985" s="40"/>
      <c r="J2985" s="134"/>
    </row>
    <row r="2986" spans="4:10" x14ac:dyDescent="0.3">
      <c r="D2986" s="40"/>
      <c r="J2986" s="134"/>
    </row>
    <row r="2987" spans="4:10" x14ac:dyDescent="0.3">
      <c r="D2987" s="40"/>
      <c r="J2987" s="134"/>
    </row>
    <row r="2988" spans="4:10" x14ac:dyDescent="0.3">
      <c r="D2988" s="40"/>
      <c r="J2988" s="134"/>
    </row>
    <row r="2989" spans="4:10" x14ac:dyDescent="0.3">
      <c r="D2989" s="40"/>
      <c r="J2989" s="134"/>
    </row>
    <row r="2990" spans="4:10" x14ac:dyDescent="0.3">
      <c r="D2990" s="40"/>
      <c r="J2990" s="134"/>
    </row>
    <row r="2991" spans="4:10" x14ac:dyDescent="0.3">
      <c r="D2991" s="40"/>
      <c r="J2991" s="134"/>
    </row>
    <row r="2992" spans="4:10" x14ac:dyDescent="0.3">
      <c r="D2992" s="40"/>
      <c r="J2992" s="134"/>
    </row>
    <row r="2993" spans="4:10" x14ac:dyDescent="0.3">
      <c r="D2993" s="40"/>
      <c r="J2993" s="134"/>
    </row>
    <row r="2994" spans="4:10" x14ac:dyDescent="0.3">
      <c r="D2994" s="40"/>
      <c r="J2994" s="134"/>
    </row>
    <row r="2995" spans="4:10" x14ac:dyDescent="0.3">
      <c r="D2995" s="40"/>
      <c r="J2995" s="134"/>
    </row>
    <row r="2996" spans="4:10" x14ac:dyDescent="0.3">
      <c r="D2996" s="40"/>
      <c r="J2996" s="134"/>
    </row>
    <row r="2997" spans="4:10" x14ac:dyDescent="0.3">
      <c r="D2997" s="40"/>
      <c r="J2997" s="134"/>
    </row>
    <row r="2998" spans="4:10" x14ac:dyDescent="0.3">
      <c r="D2998" s="40"/>
      <c r="J2998" s="134"/>
    </row>
    <row r="2999" spans="4:10" x14ac:dyDescent="0.3">
      <c r="D2999" s="40"/>
      <c r="J2999" s="134"/>
    </row>
    <row r="3000" spans="4:10" x14ac:dyDescent="0.3">
      <c r="D3000" s="40"/>
      <c r="J3000" s="134"/>
    </row>
    <row r="3001" spans="4:10" x14ac:dyDescent="0.3">
      <c r="D3001" s="40"/>
      <c r="J3001" s="134"/>
    </row>
    <row r="3002" spans="4:10" x14ac:dyDescent="0.3">
      <c r="D3002" s="40"/>
      <c r="J3002" s="134"/>
    </row>
    <row r="3003" spans="4:10" x14ac:dyDescent="0.3">
      <c r="D3003" s="40"/>
      <c r="J3003" s="134"/>
    </row>
    <row r="3004" spans="4:10" x14ac:dyDescent="0.3">
      <c r="D3004" s="40"/>
      <c r="J3004" s="134"/>
    </row>
    <row r="3005" spans="4:10" x14ac:dyDescent="0.3">
      <c r="D3005" s="40"/>
      <c r="J3005" s="134"/>
    </row>
    <row r="3006" spans="4:10" x14ac:dyDescent="0.3">
      <c r="D3006" s="40"/>
      <c r="J3006" s="134"/>
    </row>
    <row r="3007" spans="4:10" x14ac:dyDescent="0.3">
      <c r="D3007" s="40"/>
      <c r="J3007" s="134"/>
    </row>
    <row r="3008" spans="4:10" x14ac:dyDescent="0.3">
      <c r="D3008" s="40"/>
      <c r="J3008" s="134"/>
    </row>
    <row r="3009" spans="4:10" x14ac:dyDescent="0.3">
      <c r="D3009" s="40"/>
      <c r="J3009" s="134"/>
    </row>
    <row r="3010" spans="4:10" x14ac:dyDescent="0.3">
      <c r="D3010" s="40"/>
      <c r="J3010" s="134"/>
    </row>
    <row r="3011" spans="4:10" x14ac:dyDescent="0.3">
      <c r="D3011" s="40"/>
      <c r="J3011" s="134"/>
    </row>
    <row r="3012" spans="4:10" x14ac:dyDescent="0.3">
      <c r="D3012" s="40"/>
      <c r="J3012" s="134"/>
    </row>
    <row r="3013" spans="4:10" x14ac:dyDescent="0.3">
      <c r="D3013" s="40"/>
      <c r="J3013" s="134"/>
    </row>
    <row r="3014" spans="4:10" x14ac:dyDescent="0.3">
      <c r="D3014" s="40"/>
      <c r="J3014" s="134"/>
    </row>
    <row r="3015" spans="4:10" x14ac:dyDescent="0.3">
      <c r="D3015" s="40"/>
      <c r="J3015" s="134"/>
    </row>
    <row r="3016" spans="4:10" x14ac:dyDescent="0.3">
      <c r="D3016" s="40"/>
      <c r="J3016" s="134"/>
    </row>
    <row r="3017" spans="4:10" x14ac:dyDescent="0.3">
      <c r="D3017" s="40"/>
      <c r="J3017" s="134"/>
    </row>
    <row r="3018" spans="4:10" x14ac:dyDescent="0.3">
      <c r="D3018" s="40"/>
      <c r="J3018" s="134"/>
    </row>
    <row r="3019" spans="4:10" x14ac:dyDescent="0.3">
      <c r="D3019" s="40"/>
      <c r="J3019" s="134"/>
    </row>
    <row r="3020" spans="4:10" x14ac:dyDescent="0.3">
      <c r="D3020" s="40"/>
      <c r="J3020" s="134"/>
    </row>
    <row r="3021" spans="4:10" x14ac:dyDescent="0.3">
      <c r="D3021" s="40"/>
      <c r="J3021" s="134"/>
    </row>
    <row r="3022" spans="4:10" x14ac:dyDescent="0.3">
      <c r="D3022" s="40"/>
      <c r="J3022" s="134"/>
    </row>
    <row r="3023" spans="4:10" x14ac:dyDescent="0.3">
      <c r="D3023" s="40"/>
      <c r="J3023" s="134"/>
    </row>
    <row r="3024" spans="4:10" x14ac:dyDescent="0.3">
      <c r="D3024" s="40"/>
      <c r="J3024" s="134"/>
    </row>
    <row r="3025" spans="4:10" x14ac:dyDescent="0.3">
      <c r="D3025" s="40"/>
      <c r="J3025" s="134"/>
    </row>
    <row r="3026" spans="4:10" x14ac:dyDescent="0.3">
      <c r="D3026" s="40"/>
      <c r="J3026" s="134"/>
    </row>
    <row r="3027" spans="4:10" x14ac:dyDescent="0.3">
      <c r="D3027" s="40"/>
      <c r="J3027" s="134"/>
    </row>
    <row r="3028" spans="4:10" x14ac:dyDescent="0.3">
      <c r="D3028" s="40"/>
      <c r="J3028" s="134"/>
    </row>
    <row r="3029" spans="4:10" x14ac:dyDescent="0.3">
      <c r="D3029" s="40"/>
      <c r="J3029" s="134"/>
    </row>
    <row r="3030" spans="4:10" x14ac:dyDescent="0.3">
      <c r="D3030" s="40"/>
      <c r="J3030" s="134"/>
    </row>
    <row r="3031" spans="4:10" x14ac:dyDescent="0.3">
      <c r="D3031" s="40"/>
      <c r="J3031" s="134"/>
    </row>
    <row r="3032" spans="4:10" x14ac:dyDescent="0.3">
      <c r="D3032" s="40"/>
      <c r="J3032" s="134"/>
    </row>
    <row r="3033" spans="4:10" x14ac:dyDescent="0.3">
      <c r="D3033" s="40"/>
      <c r="J3033" s="134"/>
    </row>
    <row r="3034" spans="4:10" x14ac:dyDescent="0.3">
      <c r="D3034" s="40"/>
      <c r="J3034" s="134"/>
    </row>
    <row r="3035" spans="4:10" x14ac:dyDescent="0.3">
      <c r="D3035" s="40"/>
      <c r="J3035" s="134"/>
    </row>
    <row r="3036" spans="4:10" x14ac:dyDescent="0.3">
      <c r="D3036" s="40"/>
      <c r="J3036" s="134"/>
    </row>
    <row r="3037" spans="4:10" x14ac:dyDescent="0.3">
      <c r="D3037" s="40"/>
      <c r="J3037" s="134"/>
    </row>
    <row r="3038" spans="4:10" x14ac:dyDescent="0.3">
      <c r="D3038" s="40"/>
      <c r="J3038" s="134"/>
    </row>
    <row r="3039" spans="4:10" x14ac:dyDescent="0.3">
      <c r="D3039" s="40"/>
      <c r="J3039" s="134"/>
    </row>
    <row r="3040" spans="4:10" x14ac:dyDescent="0.3">
      <c r="D3040" s="40"/>
      <c r="J3040" s="134"/>
    </row>
    <row r="3041" spans="4:10" x14ac:dyDescent="0.3">
      <c r="D3041" s="40"/>
      <c r="J3041" s="134"/>
    </row>
    <row r="3042" spans="4:10" x14ac:dyDescent="0.3">
      <c r="D3042" s="40"/>
      <c r="J3042" s="134"/>
    </row>
    <row r="3043" spans="4:10" x14ac:dyDescent="0.3">
      <c r="D3043" s="40"/>
      <c r="J3043" s="134"/>
    </row>
    <row r="3044" spans="4:10" x14ac:dyDescent="0.3">
      <c r="D3044" s="40"/>
      <c r="J3044" s="134"/>
    </row>
    <row r="3045" spans="4:10" x14ac:dyDescent="0.3">
      <c r="D3045" s="40"/>
      <c r="J3045" s="134"/>
    </row>
    <row r="3046" spans="4:10" x14ac:dyDescent="0.3">
      <c r="D3046" s="40"/>
      <c r="J3046" s="134"/>
    </row>
    <row r="3047" spans="4:10" x14ac:dyDescent="0.3">
      <c r="D3047" s="40"/>
      <c r="J3047" s="134"/>
    </row>
    <row r="3048" spans="4:10" x14ac:dyDescent="0.3">
      <c r="D3048" s="40"/>
      <c r="J3048" s="134"/>
    </row>
    <row r="3049" spans="4:10" x14ac:dyDescent="0.3">
      <c r="D3049" s="40"/>
      <c r="J3049" s="134"/>
    </row>
    <row r="3050" spans="4:10" x14ac:dyDescent="0.3">
      <c r="D3050" s="40"/>
      <c r="J3050" s="134"/>
    </row>
    <row r="3051" spans="4:10" x14ac:dyDescent="0.3">
      <c r="D3051" s="40"/>
      <c r="J3051" s="134"/>
    </row>
    <row r="3052" spans="4:10" x14ac:dyDescent="0.3">
      <c r="D3052" s="40"/>
      <c r="J3052" s="134"/>
    </row>
    <row r="3053" spans="4:10" x14ac:dyDescent="0.3">
      <c r="D3053" s="40"/>
      <c r="J3053" s="134"/>
    </row>
    <row r="3054" spans="4:10" x14ac:dyDescent="0.3">
      <c r="D3054" s="40"/>
      <c r="J3054" s="134"/>
    </row>
    <row r="3055" spans="4:10" x14ac:dyDescent="0.3">
      <c r="D3055" s="40"/>
      <c r="J3055" s="134"/>
    </row>
    <row r="3056" spans="4:10" x14ac:dyDescent="0.3">
      <c r="D3056" s="40"/>
      <c r="J3056" s="134"/>
    </row>
    <row r="3057" spans="4:10" x14ac:dyDescent="0.3">
      <c r="D3057" s="40"/>
      <c r="J3057" s="134"/>
    </row>
    <row r="3058" spans="4:10" x14ac:dyDescent="0.3">
      <c r="D3058" s="40"/>
      <c r="J3058" s="134"/>
    </row>
    <row r="3059" spans="4:10" x14ac:dyDescent="0.3">
      <c r="D3059" s="40"/>
      <c r="J3059" s="134"/>
    </row>
    <row r="3060" spans="4:10" x14ac:dyDescent="0.3">
      <c r="D3060" s="40"/>
      <c r="J3060" s="134"/>
    </row>
    <row r="3061" spans="4:10" x14ac:dyDescent="0.3">
      <c r="D3061" s="40"/>
      <c r="J3061" s="134"/>
    </row>
    <row r="3062" spans="4:10" x14ac:dyDescent="0.3">
      <c r="D3062" s="40"/>
      <c r="J3062" s="134"/>
    </row>
    <row r="3063" spans="4:10" x14ac:dyDescent="0.3">
      <c r="D3063" s="40"/>
      <c r="J3063" s="134"/>
    </row>
    <row r="3064" spans="4:10" x14ac:dyDescent="0.3">
      <c r="D3064" s="40"/>
      <c r="J3064" s="134"/>
    </row>
    <row r="3065" spans="4:10" x14ac:dyDescent="0.3">
      <c r="D3065" s="40"/>
      <c r="J3065" s="134"/>
    </row>
    <row r="3066" spans="4:10" x14ac:dyDescent="0.3">
      <c r="D3066" s="40"/>
      <c r="J3066" s="134"/>
    </row>
    <row r="3067" spans="4:10" x14ac:dyDescent="0.3">
      <c r="D3067" s="40"/>
      <c r="J3067" s="134"/>
    </row>
    <row r="3068" spans="4:10" x14ac:dyDescent="0.3">
      <c r="D3068" s="40"/>
      <c r="J3068" s="134"/>
    </row>
    <row r="3069" spans="4:10" x14ac:dyDescent="0.3">
      <c r="D3069" s="40"/>
      <c r="J3069" s="134"/>
    </row>
    <row r="3070" spans="4:10" x14ac:dyDescent="0.3">
      <c r="D3070" s="40"/>
      <c r="J3070" s="134"/>
    </row>
    <row r="3071" spans="4:10" x14ac:dyDescent="0.3">
      <c r="D3071" s="40"/>
      <c r="J3071" s="134"/>
    </row>
    <row r="3072" spans="4:10" x14ac:dyDescent="0.3">
      <c r="D3072" s="40"/>
      <c r="J3072" s="134"/>
    </row>
    <row r="3073" spans="4:10" x14ac:dyDescent="0.3">
      <c r="D3073" s="40"/>
      <c r="J3073" s="134"/>
    </row>
    <row r="3074" spans="4:10" x14ac:dyDescent="0.3">
      <c r="D3074" s="40"/>
      <c r="J3074" s="134"/>
    </row>
    <row r="3075" spans="4:10" x14ac:dyDescent="0.3">
      <c r="D3075" s="40"/>
      <c r="J3075" s="134"/>
    </row>
    <row r="3076" spans="4:10" x14ac:dyDescent="0.3">
      <c r="D3076" s="40"/>
      <c r="J3076" s="134"/>
    </row>
    <row r="3077" spans="4:10" x14ac:dyDescent="0.3">
      <c r="D3077" s="40"/>
      <c r="J3077" s="134"/>
    </row>
    <row r="3078" spans="4:10" x14ac:dyDescent="0.3">
      <c r="D3078" s="40"/>
      <c r="J3078" s="134"/>
    </row>
    <row r="3079" spans="4:10" x14ac:dyDescent="0.3">
      <c r="D3079" s="40"/>
      <c r="J3079" s="134"/>
    </row>
    <row r="3080" spans="4:10" x14ac:dyDescent="0.3">
      <c r="D3080" s="40"/>
      <c r="J3080" s="134"/>
    </row>
    <row r="3081" spans="4:10" x14ac:dyDescent="0.3">
      <c r="D3081" s="40"/>
      <c r="J3081" s="134"/>
    </row>
    <row r="3082" spans="4:10" x14ac:dyDescent="0.3">
      <c r="D3082" s="40"/>
      <c r="J3082" s="134"/>
    </row>
    <row r="3083" spans="4:10" x14ac:dyDescent="0.3">
      <c r="D3083" s="40"/>
      <c r="J3083" s="134"/>
    </row>
    <row r="3084" spans="4:10" x14ac:dyDescent="0.3">
      <c r="D3084" s="40"/>
      <c r="J3084" s="134"/>
    </row>
    <row r="3085" spans="4:10" x14ac:dyDescent="0.3">
      <c r="D3085" s="40"/>
      <c r="J3085" s="134"/>
    </row>
    <row r="3086" spans="4:10" x14ac:dyDescent="0.3">
      <c r="D3086" s="40"/>
      <c r="J3086" s="134"/>
    </row>
    <row r="3087" spans="4:10" x14ac:dyDescent="0.3">
      <c r="D3087" s="40"/>
      <c r="J3087" s="134"/>
    </row>
    <row r="3088" spans="4:10" x14ac:dyDescent="0.3">
      <c r="D3088" s="40"/>
      <c r="J3088" s="134"/>
    </row>
    <row r="3089" spans="4:10" x14ac:dyDescent="0.3">
      <c r="D3089" s="40"/>
      <c r="J3089" s="134"/>
    </row>
    <row r="3090" spans="4:10" x14ac:dyDescent="0.3">
      <c r="D3090" s="40"/>
      <c r="J3090" s="134"/>
    </row>
    <row r="3091" spans="4:10" x14ac:dyDescent="0.3">
      <c r="D3091" s="40"/>
      <c r="J3091" s="134"/>
    </row>
    <row r="3092" spans="4:10" x14ac:dyDescent="0.3">
      <c r="D3092" s="40"/>
      <c r="J3092" s="134"/>
    </row>
    <row r="3093" spans="4:10" x14ac:dyDescent="0.3">
      <c r="D3093" s="40"/>
      <c r="J3093" s="134"/>
    </row>
    <row r="3094" spans="4:10" x14ac:dyDescent="0.3">
      <c r="D3094" s="40"/>
      <c r="J3094" s="134"/>
    </row>
    <row r="3095" spans="4:10" x14ac:dyDescent="0.3">
      <c r="D3095" s="40"/>
      <c r="J3095" s="134"/>
    </row>
    <row r="3096" spans="4:10" x14ac:dyDescent="0.3">
      <c r="D3096" s="40"/>
      <c r="J3096" s="134"/>
    </row>
    <row r="3097" spans="4:10" x14ac:dyDescent="0.3">
      <c r="D3097" s="40"/>
      <c r="J3097" s="134"/>
    </row>
    <row r="3098" spans="4:10" x14ac:dyDescent="0.3">
      <c r="D3098" s="40"/>
      <c r="J3098" s="134"/>
    </row>
    <row r="3099" spans="4:10" x14ac:dyDescent="0.3">
      <c r="D3099" s="40"/>
      <c r="J3099" s="134"/>
    </row>
    <row r="3100" spans="4:10" x14ac:dyDescent="0.3">
      <c r="D3100" s="40"/>
      <c r="J3100" s="134"/>
    </row>
    <row r="3101" spans="4:10" x14ac:dyDescent="0.3">
      <c r="D3101" s="40"/>
      <c r="J3101" s="134"/>
    </row>
    <row r="3102" spans="4:10" x14ac:dyDescent="0.3">
      <c r="D3102" s="40"/>
      <c r="J3102" s="134"/>
    </row>
    <row r="3103" spans="4:10" x14ac:dyDescent="0.3">
      <c r="D3103" s="40"/>
      <c r="J3103" s="134"/>
    </row>
    <row r="3104" spans="4:10" x14ac:dyDescent="0.3">
      <c r="D3104" s="40"/>
      <c r="J3104" s="134"/>
    </row>
    <row r="3105" spans="4:10" x14ac:dyDescent="0.3">
      <c r="D3105" s="40"/>
      <c r="J3105" s="134"/>
    </row>
    <row r="3106" spans="4:10" x14ac:dyDescent="0.3">
      <c r="D3106" s="40"/>
      <c r="J3106" s="134"/>
    </row>
    <row r="3107" spans="4:10" x14ac:dyDescent="0.3">
      <c r="D3107" s="40"/>
      <c r="J3107" s="134"/>
    </row>
    <row r="3108" spans="4:10" x14ac:dyDescent="0.3">
      <c r="D3108" s="40"/>
      <c r="J3108" s="134"/>
    </row>
    <row r="3109" spans="4:10" x14ac:dyDescent="0.3">
      <c r="D3109" s="40"/>
      <c r="J3109" s="134"/>
    </row>
    <row r="3110" spans="4:10" x14ac:dyDescent="0.3">
      <c r="D3110" s="40"/>
      <c r="J3110" s="134"/>
    </row>
    <row r="3111" spans="4:10" x14ac:dyDescent="0.3">
      <c r="D3111" s="40"/>
      <c r="J3111" s="134"/>
    </row>
    <row r="3112" spans="4:10" x14ac:dyDescent="0.3">
      <c r="D3112" s="40"/>
      <c r="J3112" s="134"/>
    </row>
    <row r="3113" spans="4:10" x14ac:dyDescent="0.3">
      <c r="D3113" s="40"/>
      <c r="J3113" s="134"/>
    </row>
    <row r="3114" spans="4:10" x14ac:dyDescent="0.3">
      <c r="D3114" s="40"/>
      <c r="J3114" s="134"/>
    </row>
    <row r="3115" spans="4:10" x14ac:dyDescent="0.3">
      <c r="D3115" s="40"/>
      <c r="J3115" s="134"/>
    </row>
    <row r="3116" spans="4:10" x14ac:dyDescent="0.3">
      <c r="D3116" s="40"/>
      <c r="J3116" s="134"/>
    </row>
    <row r="3117" spans="4:10" x14ac:dyDescent="0.3">
      <c r="D3117" s="40"/>
      <c r="J3117" s="134"/>
    </row>
    <row r="3118" spans="4:10" x14ac:dyDescent="0.3">
      <c r="D3118" s="40"/>
      <c r="J3118" s="134"/>
    </row>
    <row r="3119" spans="4:10" x14ac:dyDescent="0.3">
      <c r="D3119" s="40"/>
      <c r="J3119" s="134"/>
    </row>
    <row r="3120" spans="4:10" x14ac:dyDescent="0.3">
      <c r="D3120" s="40"/>
      <c r="J3120" s="134"/>
    </row>
    <row r="3121" spans="4:10" x14ac:dyDescent="0.3">
      <c r="D3121" s="40"/>
      <c r="J3121" s="134"/>
    </row>
    <row r="3122" spans="4:10" x14ac:dyDescent="0.3">
      <c r="D3122" s="40"/>
      <c r="J3122" s="134"/>
    </row>
    <row r="3123" spans="4:10" x14ac:dyDescent="0.3">
      <c r="D3123" s="40"/>
      <c r="J3123" s="134"/>
    </row>
    <row r="3124" spans="4:10" x14ac:dyDescent="0.3">
      <c r="D3124" s="40"/>
      <c r="J3124" s="134"/>
    </row>
    <row r="3125" spans="4:10" x14ac:dyDescent="0.3">
      <c r="D3125" s="40"/>
      <c r="J3125" s="134"/>
    </row>
    <row r="3126" spans="4:10" x14ac:dyDescent="0.3">
      <c r="D3126" s="40"/>
      <c r="J3126" s="134"/>
    </row>
    <row r="3127" spans="4:10" x14ac:dyDescent="0.3">
      <c r="D3127" s="40"/>
      <c r="J3127" s="134"/>
    </row>
    <row r="3128" spans="4:10" x14ac:dyDescent="0.3">
      <c r="D3128" s="40"/>
      <c r="J3128" s="134"/>
    </row>
    <row r="3129" spans="4:10" x14ac:dyDescent="0.3">
      <c r="D3129" s="40"/>
      <c r="J3129" s="134"/>
    </row>
    <row r="3130" spans="4:10" x14ac:dyDescent="0.3">
      <c r="D3130" s="40"/>
      <c r="J3130" s="134"/>
    </row>
    <row r="3131" spans="4:10" x14ac:dyDescent="0.3">
      <c r="D3131" s="40"/>
      <c r="J3131" s="134"/>
    </row>
    <row r="3132" spans="4:10" x14ac:dyDescent="0.3">
      <c r="D3132" s="40"/>
      <c r="J3132" s="134"/>
    </row>
    <row r="3133" spans="4:10" x14ac:dyDescent="0.3">
      <c r="D3133" s="40"/>
      <c r="J3133" s="134"/>
    </row>
    <row r="3134" spans="4:10" x14ac:dyDescent="0.3">
      <c r="D3134" s="40"/>
      <c r="J3134" s="134"/>
    </row>
    <row r="3135" spans="4:10" x14ac:dyDescent="0.3">
      <c r="D3135" s="40"/>
      <c r="J3135" s="134"/>
    </row>
    <row r="3136" spans="4:10" x14ac:dyDescent="0.3">
      <c r="D3136" s="40"/>
      <c r="J3136" s="134"/>
    </row>
    <row r="3137" spans="4:10" x14ac:dyDescent="0.3">
      <c r="D3137" s="40"/>
      <c r="J3137" s="134"/>
    </row>
    <row r="3138" spans="4:10" x14ac:dyDescent="0.3">
      <c r="D3138" s="40"/>
      <c r="J3138" s="134"/>
    </row>
    <row r="3139" spans="4:10" x14ac:dyDescent="0.3">
      <c r="D3139" s="40"/>
      <c r="J3139" s="134"/>
    </row>
    <row r="3140" spans="4:10" x14ac:dyDescent="0.3">
      <c r="D3140" s="40"/>
      <c r="J3140" s="134"/>
    </row>
    <row r="3141" spans="4:10" x14ac:dyDescent="0.3">
      <c r="D3141" s="40"/>
      <c r="J3141" s="134"/>
    </row>
    <row r="3142" spans="4:10" x14ac:dyDescent="0.3">
      <c r="D3142" s="40"/>
      <c r="J3142" s="134"/>
    </row>
    <row r="3143" spans="4:10" x14ac:dyDescent="0.3">
      <c r="D3143" s="40"/>
      <c r="J3143" s="134"/>
    </row>
    <row r="3144" spans="4:10" x14ac:dyDescent="0.3">
      <c r="D3144" s="40"/>
      <c r="J3144" s="134"/>
    </row>
    <row r="3145" spans="4:10" x14ac:dyDescent="0.3">
      <c r="D3145" s="40"/>
      <c r="J3145" s="134"/>
    </row>
    <row r="3146" spans="4:10" x14ac:dyDescent="0.3">
      <c r="D3146" s="40"/>
      <c r="J3146" s="134"/>
    </row>
    <row r="3147" spans="4:10" x14ac:dyDescent="0.3">
      <c r="D3147" s="40"/>
      <c r="J3147" s="134"/>
    </row>
    <row r="3148" spans="4:10" x14ac:dyDescent="0.3">
      <c r="D3148" s="40"/>
      <c r="J3148" s="134"/>
    </row>
    <row r="3149" spans="4:10" x14ac:dyDescent="0.3">
      <c r="D3149" s="40"/>
      <c r="J3149" s="134"/>
    </row>
    <row r="3150" spans="4:10" x14ac:dyDescent="0.3">
      <c r="D3150" s="40"/>
      <c r="J3150" s="134"/>
    </row>
    <row r="3151" spans="4:10" x14ac:dyDescent="0.3">
      <c r="D3151" s="40"/>
      <c r="J3151" s="134"/>
    </row>
    <row r="3152" spans="4:10" x14ac:dyDescent="0.3">
      <c r="D3152" s="40"/>
      <c r="J3152" s="134"/>
    </row>
    <row r="3153" spans="4:10" x14ac:dyDescent="0.3">
      <c r="D3153" s="40"/>
      <c r="J3153" s="134"/>
    </row>
    <row r="3154" spans="4:10" x14ac:dyDescent="0.3">
      <c r="D3154" s="40"/>
      <c r="J3154" s="134"/>
    </row>
    <row r="3155" spans="4:10" x14ac:dyDescent="0.3">
      <c r="D3155" s="40"/>
      <c r="J3155" s="134"/>
    </row>
    <row r="3156" spans="4:10" x14ac:dyDescent="0.3">
      <c r="D3156" s="40"/>
      <c r="J3156" s="134"/>
    </row>
    <row r="3157" spans="4:10" x14ac:dyDescent="0.3">
      <c r="D3157" s="40"/>
      <c r="J3157" s="134"/>
    </row>
    <row r="3158" spans="4:10" x14ac:dyDescent="0.3">
      <c r="D3158" s="40"/>
      <c r="J3158" s="134"/>
    </row>
    <row r="3159" spans="4:10" x14ac:dyDescent="0.3">
      <c r="D3159" s="40"/>
      <c r="J3159" s="134"/>
    </row>
    <row r="3160" spans="4:10" x14ac:dyDescent="0.3">
      <c r="D3160" s="40"/>
      <c r="J3160" s="134"/>
    </row>
    <row r="3161" spans="4:10" x14ac:dyDescent="0.3">
      <c r="D3161" s="40"/>
      <c r="J3161" s="134"/>
    </row>
    <row r="3162" spans="4:10" x14ac:dyDescent="0.3">
      <c r="D3162" s="40"/>
      <c r="J3162" s="134"/>
    </row>
    <row r="3163" spans="4:10" x14ac:dyDescent="0.3">
      <c r="D3163" s="40"/>
      <c r="J3163" s="134"/>
    </row>
    <row r="3164" spans="4:10" x14ac:dyDescent="0.3">
      <c r="D3164" s="40"/>
      <c r="J3164" s="134"/>
    </row>
    <row r="3165" spans="4:10" x14ac:dyDescent="0.3">
      <c r="D3165" s="40"/>
      <c r="J3165" s="134"/>
    </row>
    <row r="3166" spans="4:10" x14ac:dyDescent="0.3">
      <c r="D3166" s="40"/>
      <c r="J3166" s="134"/>
    </row>
    <row r="3167" spans="4:10" x14ac:dyDescent="0.3">
      <c r="D3167" s="40"/>
      <c r="J3167" s="134"/>
    </row>
    <row r="3168" spans="4:10" x14ac:dyDescent="0.3">
      <c r="D3168" s="40"/>
      <c r="J3168" s="134"/>
    </row>
    <row r="3169" spans="4:10" x14ac:dyDescent="0.3">
      <c r="D3169" s="40"/>
      <c r="J3169" s="134"/>
    </row>
    <row r="3170" spans="4:10" x14ac:dyDescent="0.3">
      <c r="D3170" s="40"/>
      <c r="J3170" s="134"/>
    </row>
    <row r="3171" spans="4:10" x14ac:dyDescent="0.3">
      <c r="D3171" s="40"/>
      <c r="J3171" s="134"/>
    </row>
    <row r="3172" spans="4:10" x14ac:dyDescent="0.3">
      <c r="D3172" s="40"/>
      <c r="J3172" s="134"/>
    </row>
    <row r="3173" spans="4:10" x14ac:dyDescent="0.3">
      <c r="D3173" s="40"/>
      <c r="J3173" s="134"/>
    </row>
    <row r="3174" spans="4:10" x14ac:dyDescent="0.3">
      <c r="D3174" s="40"/>
      <c r="J3174" s="134"/>
    </row>
    <row r="3175" spans="4:10" x14ac:dyDescent="0.3">
      <c r="D3175" s="40"/>
      <c r="J3175" s="134"/>
    </row>
    <row r="3176" spans="4:10" x14ac:dyDescent="0.3">
      <c r="D3176" s="40"/>
      <c r="J3176" s="134"/>
    </row>
    <row r="3177" spans="4:10" x14ac:dyDescent="0.3">
      <c r="D3177" s="40"/>
      <c r="J3177" s="134"/>
    </row>
    <row r="3178" spans="4:10" x14ac:dyDescent="0.3">
      <c r="D3178" s="40"/>
      <c r="J3178" s="134"/>
    </row>
    <row r="3179" spans="4:10" x14ac:dyDescent="0.3">
      <c r="D3179" s="40"/>
      <c r="J3179" s="134"/>
    </row>
    <row r="3180" spans="4:10" x14ac:dyDescent="0.3">
      <c r="D3180" s="40"/>
      <c r="J3180" s="134"/>
    </row>
    <row r="3181" spans="4:10" x14ac:dyDescent="0.3">
      <c r="D3181" s="40"/>
      <c r="J3181" s="134"/>
    </row>
    <row r="3182" spans="4:10" x14ac:dyDescent="0.3">
      <c r="D3182" s="40"/>
      <c r="J3182" s="134"/>
    </row>
    <row r="3183" spans="4:10" x14ac:dyDescent="0.3">
      <c r="D3183" s="40"/>
      <c r="J3183" s="134"/>
    </row>
    <row r="3184" spans="4:10" x14ac:dyDescent="0.3">
      <c r="D3184" s="40"/>
      <c r="J3184" s="134"/>
    </row>
    <row r="3185" spans="4:10" x14ac:dyDescent="0.3">
      <c r="D3185" s="40"/>
      <c r="J3185" s="134"/>
    </row>
    <row r="3186" spans="4:10" x14ac:dyDescent="0.3">
      <c r="D3186" s="40"/>
      <c r="J3186" s="134"/>
    </row>
    <row r="3187" spans="4:10" x14ac:dyDescent="0.3">
      <c r="D3187" s="40"/>
      <c r="J3187" s="134"/>
    </row>
    <row r="3188" spans="4:10" x14ac:dyDescent="0.3">
      <c r="D3188" s="40"/>
      <c r="J3188" s="134"/>
    </row>
    <row r="3189" spans="4:10" x14ac:dyDescent="0.3">
      <c r="D3189" s="40"/>
      <c r="J3189" s="134"/>
    </row>
    <row r="3190" spans="4:10" x14ac:dyDescent="0.3">
      <c r="D3190" s="40"/>
      <c r="J3190" s="134"/>
    </row>
    <row r="3191" spans="4:10" x14ac:dyDescent="0.3">
      <c r="D3191" s="40"/>
      <c r="J3191" s="134"/>
    </row>
    <row r="3192" spans="4:10" x14ac:dyDescent="0.3">
      <c r="D3192" s="40"/>
      <c r="J3192" s="134"/>
    </row>
    <row r="3193" spans="4:10" x14ac:dyDescent="0.3">
      <c r="D3193" s="40"/>
      <c r="J3193" s="134"/>
    </row>
    <row r="3194" spans="4:10" x14ac:dyDescent="0.3">
      <c r="D3194" s="40"/>
      <c r="J3194" s="134"/>
    </row>
    <row r="3195" spans="4:10" x14ac:dyDescent="0.3">
      <c r="D3195" s="40"/>
      <c r="J3195" s="134"/>
    </row>
    <row r="3196" spans="4:10" x14ac:dyDescent="0.3">
      <c r="D3196" s="40"/>
      <c r="J3196" s="134"/>
    </row>
    <row r="3197" spans="4:10" x14ac:dyDescent="0.3">
      <c r="D3197" s="40"/>
      <c r="J3197" s="134"/>
    </row>
    <row r="3198" spans="4:10" x14ac:dyDescent="0.3">
      <c r="D3198" s="40"/>
      <c r="J3198" s="134"/>
    </row>
    <row r="3199" spans="4:10" x14ac:dyDescent="0.3">
      <c r="D3199" s="40"/>
      <c r="J3199" s="134"/>
    </row>
    <row r="3200" spans="4:10" x14ac:dyDescent="0.3">
      <c r="D3200" s="40"/>
      <c r="J3200" s="134"/>
    </row>
    <row r="3201" spans="4:10" x14ac:dyDescent="0.3">
      <c r="D3201" s="40"/>
      <c r="J3201" s="134"/>
    </row>
    <row r="3202" spans="4:10" x14ac:dyDescent="0.3">
      <c r="D3202" s="40"/>
      <c r="J3202" s="134"/>
    </row>
    <row r="3203" spans="4:10" x14ac:dyDescent="0.3">
      <c r="D3203" s="40"/>
      <c r="J3203" s="134"/>
    </row>
    <row r="3204" spans="4:10" x14ac:dyDescent="0.3">
      <c r="D3204" s="40"/>
      <c r="J3204" s="134"/>
    </row>
    <row r="3205" spans="4:10" x14ac:dyDescent="0.3">
      <c r="D3205" s="40"/>
      <c r="J3205" s="134"/>
    </row>
    <row r="3206" spans="4:10" x14ac:dyDescent="0.3">
      <c r="D3206" s="40"/>
      <c r="J3206" s="134"/>
    </row>
    <row r="3207" spans="4:10" x14ac:dyDescent="0.3">
      <c r="D3207" s="40"/>
      <c r="J3207" s="134"/>
    </row>
    <row r="3208" spans="4:10" x14ac:dyDescent="0.3">
      <c r="D3208" s="40"/>
      <c r="J3208" s="134"/>
    </row>
    <row r="3209" spans="4:10" x14ac:dyDescent="0.3">
      <c r="D3209" s="40"/>
      <c r="J3209" s="134"/>
    </row>
    <row r="3210" spans="4:10" x14ac:dyDescent="0.3">
      <c r="D3210" s="40"/>
      <c r="J3210" s="134"/>
    </row>
    <row r="3211" spans="4:10" x14ac:dyDescent="0.3">
      <c r="D3211" s="40"/>
      <c r="J3211" s="134"/>
    </row>
    <row r="3212" spans="4:10" x14ac:dyDescent="0.3">
      <c r="D3212" s="40"/>
      <c r="J3212" s="134"/>
    </row>
    <row r="3213" spans="4:10" x14ac:dyDescent="0.3">
      <c r="D3213" s="40"/>
      <c r="J3213" s="134"/>
    </row>
    <row r="3214" spans="4:10" x14ac:dyDescent="0.3">
      <c r="D3214" s="40"/>
      <c r="J3214" s="134"/>
    </row>
    <row r="3215" spans="4:10" x14ac:dyDescent="0.3">
      <c r="D3215" s="40"/>
      <c r="J3215" s="134"/>
    </row>
    <row r="3216" spans="4:10" x14ac:dyDescent="0.3">
      <c r="D3216" s="40"/>
      <c r="J3216" s="134"/>
    </row>
    <row r="3217" spans="4:10" x14ac:dyDescent="0.3">
      <c r="D3217" s="40"/>
      <c r="J3217" s="134"/>
    </row>
    <row r="3218" spans="4:10" x14ac:dyDescent="0.3">
      <c r="D3218" s="40"/>
      <c r="J3218" s="134"/>
    </row>
    <row r="3219" spans="4:10" x14ac:dyDescent="0.3">
      <c r="D3219" s="40"/>
      <c r="J3219" s="134"/>
    </row>
    <row r="3220" spans="4:10" x14ac:dyDescent="0.3">
      <c r="D3220" s="40"/>
      <c r="J3220" s="134"/>
    </row>
    <row r="3221" spans="4:10" x14ac:dyDescent="0.3">
      <c r="D3221" s="40"/>
      <c r="J3221" s="134"/>
    </row>
    <row r="3222" spans="4:10" x14ac:dyDescent="0.3">
      <c r="D3222" s="40"/>
      <c r="J3222" s="134"/>
    </row>
    <row r="3223" spans="4:10" x14ac:dyDescent="0.3">
      <c r="D3223" s="40"/>
      <c r="J3223" s="134"/>
    </row>
    <row r="3224" spans="4:10" x14ac:dyDescent="0.3">
      <c r="D3224" s="40"/>
      <c r="J3224" s="134"/>
    </row>
    <row r="3225" spans="4:10" x14ac:dyDescent="0.3">
      <c r="D3225" s="40"/>
      <c r="J3225" s="134"/>
    </row>
    <row r="3226" spans="4:10" x14ac:dyDescent="0.3">
      <c r="D3226" s="40"/>
      <c r="J3226" s="134"/>
    </row>
    <row r="3227" spans="4:10" x14ac:dyDescent="0.3">
      <c r="D3227" s="40"/>
      <c r="J3227" s="134"/>
    </row>
    <row r="3228" spans="4:10" x14ac:dyDescent="0.3">
      <c r="D3228" s="40"/>
      <c r="J3228" s="134"/>
    </row>
    <row r="3229" spans="4:10" x14ac:dyDescent="0.3">
      <c r="D3229" s="40"/>
      <c r="J3229" s="134"/>
    </row>
    <row r="3230" spans="4:10" x14ac:dyDescent="0.3">
      <c r="D3230" s="40"/>
      <c r="J3230" s="134"/>
    </row>
    <row r="3231" spans="4:10" x14ac:dyDescent="0.3">
      <c r="D3231" s="40"/>
      <c r="J3231" s="134"/>
    </row>
    <row r="3232" spans="4:10" x14ac:dyDescent="0.3">
      <c r="D3232" s="40"/>
      <c r="J3232" s="134"/>
    </row>
    <row r="3233" spans="4:10" x14ac:dyDescent="0.3">
      <c r="D3233" s="40"/>
      <c r="J3233" s="134"/>
    </row>
    <row r="3234" spans="4:10" x14ac:dyDescent="0.3">
      <c r="D3234" s="40"/>
      <c r="J3234" s="134"/>
    </row>
    <row r="3235" spans="4:10" x14ac:dyDescent="0.3">
      <c r="D3235" s="40"/>
      <c r="J3235" s="134"/>
    </row>
    <row r="3236" spans="4:10" x14ac:dyDescent="0.3">
      <c r="D3236" s="40"/>
      <c r="J3236" s="134"/>
    </row>
    <row r="3237" spans="4:10" x14ac:dyDescent="0.3">
      <c r="D3237" s="40"/>
      <c r="J3237" s="134"/>
    </row>
    <row r="3238" spans="4:10" x14ac:dyDescent="0.3">
      <c r="D3238" s="40"/>
      <c r="J3238" s="134"/>
    </row>
    <row r="3239" spans="4:10" x14ac:dyDescent="0.3">
      <c r="D3239" s="40"/>
      <c r="J3239" s="134"/>
    </row>
    <row r="3240" spans="4:10" x14ac:dyDescent="0.3">
      <c r="D3240" s="40"/>
      <c r="J3240" s="134"/>
    </row>
    <row r="3241" spans="4:10" x14ac:dyDescent="0.3">
      <c r="D3241" s="40"/>
      <c r="J3241" s="134"/>
    </row>
    <row r="3242" spans="4:10" x14ac:dyDescent="0.3">
      <c r="D3242" s="40"/>
      <c r="J3242" s="134"/>
    </row>
    <row r="3243" spans="4:10" x14ac:dyDescent="0.3">
      <c r="D3243" s="40"/>
      <c r="J3243" s="134"/>
    </row>
    <row r="3244" spans="4:10" x14ac:dyDescent="0.3">
      <c r="D3244" s="40"/>
      <c r="J3244" s="134"/>
    </row>
    <row r="3245" spans="4:10" x14ac:dyDescent="0.3">
      <c r="D3245" s="40"/>
      <c r="J3245" s="134"/>
    </row>
    <row r="3246" spans="4:10" x14ac:dyDescent="0.3">
      <c r="D3246" s="40"/>
      <c r="J3246" s="134"/>
    </row>
    <row r="3247" spans="4:10" x14ac:dyDescent="0.3">
      <c r="D3247" s="40"/>
      <c r="J3247" s="134"/>
    </row>
    <row r="3248" spans="4:10" x14ac:dyDescent="0.3">
      <c r="D3248" s="40"/>
      <c r="J3248" s="134"/>
    </row>
    <row r="3249" spans="4:10" x14ac:dyDescent="0.3">
      <c r="D3249" s="40"/>
      <c r="J3249" s="134"/>
    </row>
    <row r="3250" spans="4:10" x14ac:dyDescent="0.3">
      <c r="D3250" s="40"/>
      <c r="J3250" s="134"/>
    </row>
    <row r="3251" spans="4:10" x14ac:dyDescent="0.3">
      <c r="D3251" s="40"/>
      <c r="J3251" s="134"/>
    </row>
    <row r="3252" spans="4:10" x14ac:dyDescent="0.3">
      <c r="D3252" s="40"/>
      <c r="J3252" s="134"/>
    </row>
    <row r="3253" spans="4:10" x14ac:dyDescent="0.3">
      <c r="D3253" s="40"/>
      <c r="J3253" s="134"/>
    </row>
    <row r="3254" spans="4:10" x14ac:dyDescent="0.3">
      <c r="D3254" s="40"/>
      <c r="J3254" s="134"/>
    </row>
    <row r="3255" spans="4:10" x14ac:dyDescent="0.3">
      <c r="D3255" s="40"/>
      <c r="J3255" s="134"/>
    </row>
    <row r="3256" spans="4:10" x14ac:dyDescent="0.3">
      <c r="D3256" s="40"/>
      <c r="J3256" s="134"/>
    </row>
    <row r="3257" spans="4:10" x14ac:dyDescent="0.3">
      <c r="D3257" s="40"/>
      <c r="J3257" s="134"/>
    </row>
    <row r="3258" spans="4:10" x14ac:dyDescent="0.3">
      <c r="D3258" s="40"/>
      <c r="J3258" s="134"/>
    </row>
    <row r="3259" spans="4:10" x14ac:dyDescent="0.3">
      <c r="D3259" s="40"/>
      <c r="J3259" s="134"/>
    </row>
    <row r="3260" spans="4:10" x14ac:dyDescent="0.3">
      <c r="D3260" s="40"/>
      <c r="J3260" s="134"/>
    </row>
    <row r="3261" spans="4:10" x14ac:dyDescent="0.3">
      <c r="D3261" s="40"/>
      <c r="J3261" s="134"/>
    </row>
    <row r="3262" spans="4:10" x14ac:dyDescent="0.3">
      <c r="D3262" s="40"/>
      <c r="J3262" s="134"/>
    </row>
    <row r="3263" spans="4:10" x14ac:dyDescent="0.3">
      <c r="D3263" s="40"/>
      <c r="J3263" s="134"/>
    </row>
    <row r="3264" spans="4:10" x14ac:dyDescent="0.3">
      <c r="D3264" s="40"/>
      <c r="J3264" s="134"/>
    </row>
    <row r="3265" spans="4:10" x14ac:dyDescent="0.3">
      <c r="D3265" s="40"/>
      <c r="J3265" s="134"/>
    </row>
    <row r="3266" spans="4:10" x14ac:dyDescent="0.3">
      <c r="D3266" s="40"/>
      <c r="J3266" s="134"/>
    </row>
    <row r="3267" spans="4:10" x14ac:dyDescent="0.3">
      <c r="D3267" s="40"/>
      <c r="J3267" s="134"/>
    </row>
    <row r="3268" spans="4:10" x14ac:dyDescent="0.3">
      <c r="D3268" s="40"/>
      <c r="J3268" s="134"/>
    </row>
    <row r="3269" spans="4:10" x14ac:dyDescent="0.3">
      <c r="D3269" s="40"/>
      <c r="J3269" s="134"/>
    </row>
    <row r="3270" spans="4:10" x14ac:dyDescent="0.3">
      <c r="D3270" s="40"/>
      <c r="J3270" s="134"/>
    </row>
    <row r="3271" spans="4:10" x14ac:dyDescent="0.3">
      <c r="D3271" s="40"/>
      <c r="J3271" s="134"/>
    </row>
    <row r="3272" spans="4:10" x14ac:dyDescent="0.3">
      <c r="D3272" s="40"/>
      <c r="J3272" s="134"/>
    </row>
    <row r="3273" spans="4:10" x14ac:dyDescent="0.3">
      <c r="D3273" s="40"/>
      <c r="J3273" s="134"/>
    </row>
    <row r="3274" spans="4:10" x14ac:dyDescent="0.3">
      <c r="D3274" s="40"/>
      <c r="J3274" s="134"/>
    </row>
    <row r="3275" spans="4:10" x14ac:dyDescent="0.3">
      <c r="D3275" s="40"/>
      <c r="J3275" s="134"/>
    </row>
    <row r="3276" spans="4:10" x14ac:dyDescent="0.3">
      <c r="D3276" s="40"/>
      <c r="J3276" s="134"/>
    </row>
    <row r="3277" spans="4:10" x14ac:dyDescent="0.3">
      <c r="D3277" s="40"/>
      <c r="J3277" s="134"/>
    </row>
    <row r="3278" spans="4:10" x14ac:dyDescent="0.3">
      <c r="D3278" s="40"/>
      <c r="J3278" s="134"/>
    </row>
    <row r="3279" spans="4:10" x14ac:dyDescent="0.3">
      <c r="D3279" s="40"/>
      <c r="J3279" s="134"/>
    </row>
    <row r="3280" spans="4:10" x14ac:dyDescent="0.3">
      <c r="D3280" s="40"/>
      <c r="J3280" s="134"/>
    </row>
    <row r="3281" spans="4:10" x14ac:dyDescent="0.3">
      <c r="D3281" s="40"/>
      <c r="J3281" s="134"/>
    </row>
    <row r="3282" spans="4:10" x14ac:dyDescent="0.3">
      <c r="D3282" s="40"/>
      <c r="J3282" s="134"/>
    </row>
    <row r="3283" spans="4:10" x14ac:dyDescent="0.3">
      <c r="D3283" s="40"/>
      <c r="J3283" s="134"/>
    </row>
    <row r="3284" spans="4:10" x14ac:dyDescent="0.3">
      <c r="D3284" s="40"/>
      <c r="J3284" s="134"/>
    </row>
    <row r="3285" spans="4:10" x14ac:dyDescent="0.3">
      <c r="D3285" s="40"/>
      <c r="J3285" s="134"/>
    </row>
    <row r="3286" spans="4:10" x14ac:dyDescent="0.3">
      <c r="D3286" s="40"/>
      <c r="J3286" s="134"/>
    </row>
    <row r="3287" spans="4:10" x14ac:dyDescent="0.3">
      <c r="D3287" s="40"/>
      <c r="J3287" s="134"/>
    </row>
    <row r="3288" spans="4:10" x14ac:dyDescent="0.3">
      <c r="D3288" s="40"/>
      <c r="J3288" s="134"/>
    </row>
    <row r="3289" spans="4:10" x14ac:dyDescent="0.3">
      <c r="D3289" s="40"/>
      <c r="J3289" s="134"/>
    </row>
    <row r="3290" spans="4:10" x14ac:dyDescent="0.3">
      <c r="D3290" s="40"/>
      <c r="J3290" s="134"/>
    </row>
    <row r="3291" spans="4:10" x14ac:dyDescent="0.3">
      <c r="D3291" s="40"/>
      <c r="J3291" s="134"/>
    </row>
    <row r="3292" spans="4:10" x14ac:dyDescent="0.3">
      <c r="D3292" s="40"/>
      <c r="J3292" s="134"/>
    </row>
    <row r="3293" spans="4:10" x14ac:dyDescent="0.3">
      <c r="D3293" s="40"/>
      <c r="J3293" s="134"/>
    </row>
    <row r="3294" spans="4:10" x14ac:dyDescent="0.3">
      <c r="D3294" s="40"/>
      <c r="J3294" s="134"/>
    </row>
    <row r="3295" spans="4:10" x14ac:dyDescent="0.3">
      <c r="D3295" s="40"/>
      <c r="J3295" s="134"/>
    </row>
    <row r="3296" spans="4:10" x14ac:dyDescent="0.3">
      <c r="D3296" s="40"/>
      <c r="J3296" s="134"/>
    </row>
    <row r="3297" spans="4:10" x14ac:dyDescent="0.3">
      <c r="D3297" s="40"/>
      <c r="J3297" s="134"/>
    </row>
    <row r="3298" spans="4:10" x14ac:dyDescent="0.3">
      <c r="D3298" s="40"/>
      <c r="J3298" s="134"/>
    </row>
    <row r="3299" spans="4:10" x14ac:dyDescent="0.3">
      <c r="D3299" s="40"/>
      <c r="J3299" s="134"/>
    </row>
    <row r="3300" spans="4:10" x14ac:dyDescent="0.3">
      <c r="D3300" s="40"/>
      <c r="J3300" s="134"/>
    </row>
    <row r="3301" spans="4:10" x14ac:dyDescent="0.3">
      <c r="D3301" s="40"/>
      <c r="J3301" s="134"/>
    </row>
    <row r="3302" spans="4:10" x14ac:dyDescent="0.3">
      <c r="D3302" s="40"/>
      <c r="J3302" s="134"/>
    </row>
    <row r="3303" spans="4:10" x14ac:dyDescent="0.3">
      <c r="D3303" s="40"/>
      <c r="J3303" s="134"/>
    </row>
    <row r="3304" spans="4:10" x14ac:dyDescent="0.3">
      <c r="D3304" s="40"/>
      <c r="J3304" s="134"/>
    </row>
    <row r="3305" spans="4:10" x14ac:dyDescent="0.3">
      <c r="D3305" s="40"/>
      <c r="J3305" s="134"/>
    </row>
    <row r="3306" spans="4:10" x14ac:dyDescent="0.3">
      <c r="D3306" s="40"/>
      <c r="J3306" s="134"/>
    </row>
    <row r="3307" spans="4:10" x14ac:dyDescent="0.3">
      <c r="D3307" s="40"/>
      <c r="J3307" s="134"/>
    </row>
    <row r="3308" spans="4:10" x14ac:dyDescent="0.3">
      <c r="D3308" s="40"/>
      <c r="J3308" s="134"/>
    </row>
    <row r="3309" spans="4:10" x14ac:dyDescent="0.3">
      <c r="D3309" s="40"/>
      <c r="J3309" s="134"/>
    </row>
    <row r="3310" spans="4:10" x14ac:dyDescent="0.3">
      <c r="D3310" s="40"/>
      <c r="J3310" s="134"/>
    </row>
    <row r="3311" spans="4:10" x14ac:dyDescent="0.3">
      <c r="D3311" s="40"/>
      <c r="J3311" s="134"/>
    </row>
    <row r="3312" spans="4:10" x14ac:dyDescent="0.3">
      <c r="D3312" s="40"/>
      <c r="J3312" s="134"/>
    </row>
    <row r="3313" spans="4:10" x14ac:dyDescent="0.3">
      <c r="D3313" s="40"/>
      <c r="J3313" s="134"/>
    </row>
    <row r="3314" spans="4:10" x14ac:dyDescent="0.3">
      <c r="D3314" s="40"/>
      <c r="J3314" s="134"/>
    </row>
    <row r="3315" spans="4:10" x14ac:dyDescent="0.3">
      <c r="D3315" s="40"/>
      <c r="J3315" s="134"/>
    </row>
    <row r="3316" spans="4:10" x14ac:dyDescent="0.3">
      <c r="D3316" s="40"/>
      <c r="J3316" s="134"/>
    </row>
    <row r="3317" spans="4:10" x14ac:dyDescent="0.3">
      <c r="D3317" s="40"/>
      <c r="J3317" s="134"/>
    </row>
    <row r="3318" spans="4:10" x14ac:dyDescent="0.3">
      <c r="D3318" s="40"/>
      <c r="J3318" s="134"/>
    </row>
    <row r="3319" spans="4:10" x14ac:dyDescent="0.3">
      <c r="D3319" s="40"/>
      <c r="J3319" s="134"/>
    </row>
    <row r="3320" spans="4:10" x14ac:dyDescent="0.3">
      <c r="D3320" s="40"/>
      <c r="J3320" s="134"/>
    </row>
    <row r="3321" spans="4:10" x14ac:dyDescent="0.3">
      <c r="D3321" s="40"/>
      <c r="J3321" s="134"/>
    </row>
    <row r="3322" spans="4:10" x14ac:dyDescent="0.3">
      <c r="D3322" s="40"/>
      <c r="J3322" s="134"/>
    </row>
    <row r="3323" spans="4:10" x14ac:dyDescent="0.3">
      <c r="D3323" s="40"/>
      <c r="J3323" s="134"/>
    </row>
    <row r="3324" spans="4:10" x14ac:dyDescent="0.3">
      <c r="D3324" s="40"/>
      <c r="J3324" s="134"/>
    </row>
    <row r="3325" spans="4:10" x14ac:dyDescent="0.3">
      <c r="D3325" s="40"/>
      <c r="J3325" s="134"/>
    </row>
    <row r="3326" spans="4:10" x14ac:dyDescent="0.3">
      <c r="D3326" s="40"/>
      <c r="J3326" s="134"/>
    </row>
    <row r="3327" spans="4:10" x14ac:dyDescent="0.3">
      <c r="D3327" s="40"/>
      <c r="J3327" s="134"/>
    </row>
    <row r="3328" spans="4:10" x14ac:dyDescent="0.3">
      <c r="D3328" s="40"/>
      <c r="J3328" s="134"/>
    </row>
    <row r="3329" spans="4:10" x14ac:dyDescent="0.3">
      <c r="D3329" s="40"/>
      <c r="J3329" s="134"/>
    </row>
    <row r="3330" spans="4:10" x14ac:dyDescent="0.3">
      <c r="D3330" s="40"/>
      <c r="J3330" s="134"/>
    </row>
    <row r="3331" spans="4:10" x14ac:dyDescent="0.3">
      <c r="D3331" s="40"/>
      <c r="J3331" s="134"/>
    </row>
    <row r="3332" spans="4:10" x14ac:dyDescent="0.3">
      <c r="D3332" s="40"/>
      <c r="J3332" s="134"/>
    </row>
    <row r="3333" spans="4:10" x14ac:dyDescent="0.3">
      <c r="D3333" s="40"/>
      <c r="J3333" s="134"/>
    </row>
    <row r="3334" spans="4:10" x14ac:dyDescent="0.3">
      <c r="D3334" s="40"/>
      <c r="J3334" s="134"/>
    </row>
    <row r="3335" spans="4:10" x14ac:dyDescent="0.3">
      <c r="D3335" s="40"/>
      <c r="J3335" s="134"/>
    </row>
    <row r="3336" spans="4:10" x14ac:dyDescent="0.3">
      <c r="D3336" s="40"/>
      <c r="J3336" s="134"/>
    </row>
    <row r="3337" spans="4:10" x14ac:dyDescent="0.3">
      <c r="D3337" s="40"/>
      <c r="J3337" s="134"/>
    </row>
    <row r="3338" spans="4:10" x14ac:dyDescent="0.3">
      <c r="D3338" s="40"/>
      <c r="J3338" s="134"/>
    </row>
    <row r="3339" spans="4:10" x14ac:dyDescent="0.3">
      <c r="D3339" s="40"/>
      <c r="J3339" s="134"/>
    </row>
    <row r="3340" spans="4:10" x14ac:dyDescent="0.3">
      <c r="D3340" s="40"/>
      <c r="J3340" s="134"/>
    </row>
    <row r="3341" spans="4:10" x14ac:dyDescent="0.3">
      <c r="D3341" s="40"/>
      <c r="J3341" s="134"/>
    </row>
    <row r="3342" spans="4:10" x14ac:dyDescent="0.3">
      <c r="D3342" s="40"/>
      <c r="J3342" s="134"/>
    </row>
    <row r="3343" spans="4:10" x14ac:dyDescent="0.3">
      <c r="D3343" s="40"/>
      <c r="J3343" s="134"/>
    </row>
    <row r="3344" spans="4:10" x14ac:dyDescent="0.3">
      <c r="D3344" s="40"/>
      <c r="J3344" s="134"/>
    </row>
    <row r="3345" spans="4:10" x14ac:dyDescent="0.3">
      <c r="D3345" s="40"/>
      <c r="J3345" s="134"/>
    </row>
    <row r="3346" spans="4:10" x14ac:dyDescent="0.3">
      <c r="D3346" s="40"/>
      <c r="J3346" s="134"/>
    </row>
    <row r="3347" spans="4:10" x14ac:dyDescent="0.3">
      <c r="D3347" s="40"/>
      <c r="J3347" s="134"/>
    </row>
    <row r="3348" spans="4:10" x14ac:dyDescent="0.3">
      <c r="D3348" s="40"/>
      <c r="J3348" s="134"/>
    </row>
    <row r="3349" spans="4:10" x14ac:dyDescent="0.3">
      <c r="D3349" s="40"/>
      <c r="J3349" s="134"/>
    </row>
    <row r="3350" spans="4:10" x14ac:dyDescent="0.3">
      <c r="D3350" s="40"/>
      <c r="J3350" s="134"/>
    </row>
    <row r="3351" spans="4:10" x14ac:dyDescent="0.3">
      <c r="D3351" s="40"/>
      <c r="J3351" s="134"/>
    </row>
    <row r="3352" spans="4:10" x14ac:dyDescent="0.3">
      <c r="D3352" s="40"/>
      <c r="J3352" s="134"/>
    </row>
    <row r="3353" spans="4:10" x14ac:dyDescent="0.3">
      <c r="D3353" s="40"/>
      <c r="J3353" s="134"/>
    </row>
    <row r="3354" spans="4:10" x14ac:dyDescent="0.3">
      <c r="D3354" s="40"/>
      <c r="J3354" s="134"/>
    </row>
    <row r="3355" spans="4:10" x14ac:dyDescent="0.3">
      <c r="D3355" s="40"/>
      <c r="J3355" s="134"/>
    </row>
    <row r="3356" spans="4:10" x14ac:dyDescent="0.3">
      <c r="D3356" s="40"/>
      <c r="J3356" s="134"/>
    </row>
    <row r="3357" spans="4:10" x14ac:dyDescent="0.3">
      <c r="D3357" s="40"/>
      <c r="J3357" s="134"/>
    </row>
    <row r="3358" spans="4:10" x14ac:dyDescent="0.3">
      <c r="D3358" s="40"/>
      <c r="J3358" s="134"/>
    </row>
    <row r="3359" spans="4:10" x14ac:dyDescent="0.3">
      <c r="D3359" s="40"/>
      <c r="J3359" s="134"/>
    </row>
    <row r="3360" spans="4:10" x14ac:dyDescent="0.3">
      <c r="D3360" s="40"/>
      <c r="J3360" s="134"/>
    </row>
    <row r="3361" spans="4:10" x14ac:dyDescent="0.3">
      <c r="D3361" s="40"/>
      <c r="J3361" s="134"/>
    </row>
    <row r="3362" spans="4:10" x14ac:dyDescent="0.3">
      <c r="D3362" s="40"/>
      <c r="J3362" s="134"/>
    </row>
    <row r="3363" spans="4:10" x14ac:dyDescent="0.3">
      <c r="D3363" s="40"/>
      <c r="J3363" s="134"/>
    </row>
    <row r="3364" spans="4:10" x14ac:dyDescent="0.3">
      <c r="D3364" s="40"/>
      <c r="J3364" s="134"/>
    </row>
    <row r="3365" spans="4:10" x14ac:dyDescent="0.3">
      <c r="D3365" s="40"/>
      <c r="J3365" s="134"/>
    </row>
    <row r="3366" spans="4:10" x14ac:dyDescent="0.3">
      <c r="D3366" s="40"/>
      <c r="J3366" s="134"/>
    </row>
    <row r="3367" spans="4:10" x14ac:dyDescent="0.3">
      <c r="D3367" s="40"/>
      <c r="J3367" s="134"/>
    </row>
    <row r="3368" spans="4:10" x14ac:dyDescent="0.3">
      <c r="D3368" s="40"/>
      <c r="J3368" s="134"/>
    </row>
    <row r="3369" spans="4:10" x14ac:dyDescent="0.3">
      <c r="D3369" s="40"/>
      <c r="J3369" s="134"/>
    </row>
    <row r="3370" spans="4:10" x14ac:dyDescent="0.3">
      <c r="D3370" s="40"/>
      <c r="J3370" s="134"/>
    </row>
    <row r="3371" spans="4:10" x14ac:dyDescent="0.3">
      <c r="D3371" s="40"/>
      <c r="J3371" s="134"/>
    </row>
    <row r="3372" spans="4:10" x14ac:dyDescent="0.3">
      <c r="D3372" s="40"/>
      <c r="J3372" s="134"/>
    </row>
    <row r="3373" spans="4:10" x14ac:dyDescent="0.3">
      <c r="D3373" s="40"/>
      <c r="J3373" s="134"/>
    </row>
    <row r="3374" spans="4:10" x14ac:dyDescent="0.3">
      <c r="D3374" s="40"/>
      <c r="J3374" s="134"/>
    </row>
    <row r="3375" spans="4:10" x14ac:dyDescent="0.3">
      <c r="D3375" s="40"/>
      <c r="J3375" s="134"/>
    </row>
    <row r="3376" spans="4:10" x14ac:dyDescent="0.3">
      <c r="D3376" s="40"/>
      <c r="J3376" s="134"/>
    </row>
    <row r="3377" spans="4:10" x14ac:dyDescent="0.3">
      <c r="D3377" s="40"/>
      <c r="J3377" s="134"/>
    </row>
    <row r="3378" spans="4:10" x14ac:dyDescent="0.3">
      <c r="D3378" s="40"/>
      <c r="J3378" s="134"/>
    </row>
    <row r="3379" spans="4:10" x14ac:dyDescent="0.3">
      <c r="D3379" s="40"/>
      <c r="J3379" s="134"/>
    </row>
    <row r="3380" spans="4:10" x14ac:dyDescent="0.3">
      <c r="D3380" s="40"/>
      <c r="J3380" s="134"/>
    </row>
    <row r="3381" spans="4:10" x14ac:dyDescent="0.3">
      <c r="D3381" s="40"/>
      <c r="J3381" s="134"/>
    </row>
    <row r="3382" spans="4:10" x14ac:dyDescent="0.3">
      <c r="D3382" s="40"/>
      <c r="J3382" s="134"/>
    </row>
    <row r="3383" spans="4:10" x14ac:dyDescent="0.3">
      <c r="D3383" s="40"/>
      <c r="J3383" s="134"/>
    </row>
    <row r="3384" spans="4:10" x14ac:dyDescent="0.3">
      <c r="D3384" s="40"/>
      <c r="J3384" s="134"/>
    </row>
    <row r="3385" spans="4:10" x14ac:dyDescent="0.3">
      <c r="D3385" s="40"/>
      <c r="J3385" s="134"/>
    </row>
    <row r="3386" spans="4:10" x14ac:dyDescent="0.3">
      <c r="D3386" s="40"/>
      <c r="J3386" s="134"/>
    </row>
    <row r="3387" spans="4:10" x14ac:dyDescent="0.3">
      <c r="D3387" s="40"/>
      <c r="J3387" s="134"/>
    </row>
    <row r="3388" spans="4:10" x14ac:dyDescent="0.3">
      <c r="D3388" s="40"/>
      <c r="J3388" s="134"/>
    </row>
    <row r="3389" spans="4:10" x14ac:dyDescent="0.3">
      <c r="D3389" s="40"/>
      <c r="J3389" s="134"/>
    </row>
    <row r="3390" spans="4:10" x14ac:dyDescent="0.3">
      <c r="D3390" s="40"/>
      <c r="J3390" s="134"/>
    </row>
    <row r="3391" spans="4:10" x14ac:dyDescent="0.3">
      <c r="D3391" s="40"/>
      <c r="J3391" s="134"/>
    </row>
    <row r="3392" spans="4:10" x14ac:dyDescent="0.3">
      <c r="D3392" s="40"/>
      <c r="J3392" s="134"/>
    </row>
    <row r="3393" spans="4:10" x14ac:dyDescent="0.3">
      <c r="D3393" s="40"/>
      <c r="J3393" s="134"/>
    </row>
    <row r="3394" spans="4:10" x14ac:dyDescent="0.3">
      <c r="D3394" s="40"/>
      <c r="J3394" s="134"/>
    </row>
    <row r="3395" spans="4:10" x14ac:dyDescent="0.3">
      <c r="D3395" s="40"/>
      <c r="J3395" s="134"/>
    </row>
    <row r="3396" spans="4:10" x14ac:dyDescent="0.3">
      <c r="D3396" s="40"/>
      <c r="J3396" s="134"/>
    </row>
    <row r="3397" spans="4:10" x14ac:dyDescent="0.3">
      <c r="D3397" s="40"/>
      <c r="J3397" s="134"/>
    </row>
    <row r="3398" spans="4:10" x14ac:dyDescent="0.3">
      <c r="D3398" s="40"/>
      <c r="J3398" s="134"/>
    </row>
    <row r="3399" spans="4:10" x14ac:dyDescent="0.3">
      <c r="D3399" s="40"/>
      <c r="J3399" s="134"/>
    </row>
    <row r="3400" spans="4:10" x14ac:dyDescent="0.3">
      <c r="D3400" s="40"/>
      <c r="J3400" s="134"/>
    </row>
    <row r="3401" spans="4:10" x14ac:dyDescent="0.3">
      <c r="D3401" s="40"/>
      <c r="J3401" s="134"/>
    </row>
    <row r="3402" spans="4:10" x14ac:dyDescent="0.3">
      <c r="D3402" s="40"/>
      <c r="J3402" s="134"/>
    </row>
    <row r="3403" spans="4:10" x14ac:dyDescent="0.3">
      <c r="D3403" s="40"/>
      <c r="J3403" s="134"/>
    </row>
    <row r="3404" spans="4:10" x14ac:dyDescent="0.3">
      <c r="D3404" s="40"/>
      <c r="J3404" s="134"/>
    </row>
    <row r="3405" spans="4:10" x14ac:dyDescent="0.3">
      <c r="D3405" s="40"/>
      <c r="J3405" s="134"/>
    </row>
    <row r="3406" spans="4:10" x14ac:dyDescent="0.3">
      <c r="D3406" s="40"/>
      <c r="J3406" s="134"/>
    </row>
    <row r="3407" spans="4:10" x14ac:dyDescent="0.3">
      <c r="D3407" s="40"/>
      <c r="J3407" s="134"/>
    </row>
    <row r="3408" spans="4:10" x14ac:dyDescent="0.3">
      <c r="D3408" s="40"/>
      <c r="J3408" s="134"/>
    </row>
    <row r="3409" spans="4:10" x14ac:dyDescent="0.3">
      <c r="D3409" s="40"/>
      <c r="J3409" s="134"/>
    </row>
    <row r="3410" spans="4:10" x14ac:dyDescent="0.3">
      <c r="D3410" s="40"/>
      <c r="J3410" s="134"/>
    </row>
    <row r="3411" spans="4:10" x14ac:dyDescent="0.3">
      <c r="D3411" s="40"/>
      <c r="J3411" s="134"/>
    </row>
    <row r="3412" spans="4:10" x14ac:dyDescent="0.3">
      <c r="D3412" s="40"/>
      <c r="J3412" s="134"/>
    </row>
    <row r="3413" spans="4:10" x14ac:dyDescent="0.3">
      <c r="D3413" s="40"/>
      <c r="J3413" s="134"/>
    </row>
    <row r="3414" spans="4:10" x14ac:dyDescent="0.3">
      <c r="D3414" s="40"/>
      <c r="J3414" s="134"/>
    </row>
    <row r="3415" spans="4:10" x14ac:dyDescent="0.3">
      <c r="D3415" s="40"/>
      <c r="J3415" s="134"/>
    </row>
    <row r="3416" spans="4:10" x14ac:dyDescent="0.3">
      <c r="D3416" s="40"/>
      <c r="J3416" s="134"/>
    </row>
    <row r="3417" spans="4:10" x14ac:dyDescent="0.3">
      <c r="D3417" s="40"/>
      <c r="J3417" s="134"/>
    </row>
    <row r="3418" spans="4:10" x14ac:dyDescent="0.3">
      <c r="D3418" s="40"/>
      <c r="J3418" s="134"/>
    </row>
    <row r="3419" spans="4:10" x14ac:dyDescent="0.3">
      <c r="D3419" s="40"/>
      <c r="J3419" s="134"/>
    </row>
    <row r="3420" spans="4:10" x14ac:dyDescent="0.3">
      <c r="D3420" s="40"/>
      <c r="J3420" s="134"/>
    </row>
    <row r="3421" spans="4:10" x14ac:dyDescent="0.3">
      <c r="D3421" s="40"/>
      <c r="J3421" s="134"/>
    </row>
    <row r="3422" spans="4:10" x14ac:dyDescent="0.3">
      <c r="D3422" s="40"/>
      <c r="J3422" s="134"/>
    </row>
    <row r="3423" spans="4:10" x14ac:dyDescent="0.3">
      <c r="D3423" s="40"/>
      <c r="J3423" s="134"/>
    </row>
    <row r="3424" spans="4:10" x14ac:dyDescent="0.3">
      <c r="D3424" s="40"/>
      <c r="J3424" s="134"/>
    </row>
    <row r="3425" spans="4:10" x14ac:dyDescent="0.3">
      <c r="D3425" s="40"/>
      <c r="J3425" s="134"/>
    </row>
    <row r="3426" spans="4:10" x14ac:dyDescent="0.3">
      <c r="D3426" s="40"/>
      <c r="J3426" s="134"/>
    </row>
    <row r="3427" spans="4:10" x14ac:dyDescent="0.3">
      <c r="D3427" s="40"/>
      <c r="J3427" s="134"/>
    </row>
    <row r="3428" spans="4:10" x14ac:dyDescent="0.3">
      <c r="D3428" s="40"/>
      <c r="J3428" s="134"/>
    </row>
    <row r="3429" spans="4:10" x14ac:dyDescent="0.3">
      <c r="D3429" s="40"/>
      <c r="J3429" s="134"/>
    </row>
    <row r="3430" spans="4:10" x14ac:dyDescent="0.3">
      <c r="D3430" s="40"/>
      <c r="J3430" s="134"/>
    </row>
    <row r="3431" spans="4:10" x14ac:dyDescent="0.3">
      <c r="D3431" s="40"/>
      <c r="J3431" s="134"/>
    </row>
    <row r="3432" spans="4:10" x14ac:dyDescent="0.3">
      <c r="D3432" s="40"/>
      <c r="J3432" s="134"/>
    </row>
    <row r="3433" spans="4:10" x14ac:dyDescent="0.3">
      <c r="D3433" s="40"/>
      <c r="J3433" s="134"/>
    </row>
    <row r="3434" spans="4:10" x14ac:dyDescent="0.3">
      <c r="D3434" s="40"/>
      <c r="J3434" s="134"/>
    </row>
    <row r="3435" spans="4:10" x14ac:dyDescent="0.3">
      <c r="D3435" s="40"/>
      <c r="J3435" s="134"/>
    </row>
    <row r="3436" spans="4:10" x14ac:dyDescent="0.3">
      <c r="D3436" s="40"/>
      <c r="J3436" s="134"/>
    </row>
    <row r="3437" spans="4:10" x14ac:dyDescent="0.3">
      <c r="D3437" s="40"/>
      <c r="J3437" s="134"/>
    </row>
    <row r="3438" spans="4:10" x14ac:dyDescent="0.3">
      <c r="D3438" s="40"/>
      <c r="J3438" s="134"/>
    </row>
    <row r="3439" spans="4:10" x14ac:dyDescent="0.3">
      <c r="D3439" s="40"/>
      <c r="J3439" s="134"/>
    </row>
    <row r="3440" spans="4:10" x14ac:dyDescent="0.3">
      <c r="D3440" s="40"/>
      <c r="J3440" s="134"/>
    </row>
    <row r="3441" spans="4:10" x14ac:dyDescent="0.3">
      <c r="D3441" s="40"/>
      <c r="J3441" s="134"/>
    </row>
    <row r="3442" spans="4:10" x14ac:dyDescent="0.3">
      <c r="D3442" s="40"/>
      <c r="J3442" s="134"/>
    </row>
    <row r="3443" spans="4:10" x14ac:dyDescent="0.3">
      <c r="D3443" s="40"/>
      <c r="J3443" s="134"/>
    </row>
    <row r="3444" spans="4:10" x14ac:dyDescent="0.3">
      <c r="D3444" s="40"/>
      <c r="J3444" s="134"/>
    </row>
    <row r="3445" spans="4:10" x14ac:dyDescent="0.3">
      <c r="D3445" s="40"/>
      <c r="J3445" s="134"/>
    </row>
    <row r="3446" spans="4:10" x14ac:dyDescent="0.3">
      <c r="D3446" s="40"/>
      <c r="J3446" s="134"/>
    </row>
    <row r="3447" spans="4:10" x14ac:dyDescent="0.3">
      <c r="D3447" s="40"/>
      <c r="J3447" s="134"/>
    </row>
    <row r="3448" spans="4:10" x14ac:dyDescent="0.3">
      <c r="D3448" s="40"/>
      <c r="J3448" s="134"/>
    </row>
    <row r="3449" spans="4:10" x14ac:dyDescent="0.3">
      <c r="D3449" s="40"/>
      <c r="J3449" s="134"/>
    </row>
    <row r="3450" spans="4:10" x14ac:dyDescent="0.3">
      <c r="D3450" s="40"/>
      <c r="J3450" s="134"/>
    </row>
    <row r="3451" spans="4:10" x14ac:dyDescent="0.3">
      <c r="D3451" s="40"/>
      <c r="J3451" s="134"/>
    </row>
    <row r="3452" spans="4:10" x14ac:dyDescent="0.3">
      <c r="D3452" s="40"/>
      <c r="J3452" s="134"/>
    </row>
    <row r="3453" spans="4:10" x14ac:dyDescent="0.3">
      <c r="D3453" s="40"/>
      <c r="J3453" s="134"/>
    </row>
    <row r="3454" spans="4:10" x14ac:dyDescent="0.3">
      <c r="D3454" s="40"/>
      <c r="J3454" s="134"/>
    </row>
    <row r="3455" spans="4:10" x14ac:dyDescent="0.3">
      <c r="D3455" s="40"/>
      <c r="J3455" s="134"/>
    </row>
    <row r="3456" spans="4:10" x14ac:dyDescent="0.3">
      <c r="D3456" s="40"/>
      <c r="J3456" s="134"/>
    </row>
    <row r="3457" spans="4:10" x14ac:dyDescent="0.3">
      <c r="D3457" s="40"/>
      <c r="J3457" s="134"/>
    </row>
    <row r="3458" spans="4:10" x14ac:dyDescent="0.3">
      <c r="D3458" s="40"/>
      <c r="J3458" s="134"/>
    </row>
    <row r="3459" spans="4:10" x14ac:dyDescent="0.3">
      <c r="D3459" s="40"/>
      <c r="J3459" s="134"/>
    </row>
    <row r="3460" spans="4:10" x14ac:dyDescent="0.3">
      <c r="D3460" s="40"/>
      <c r="J3460" s="134"/>
    </row>
    <row r="3461" spans="4:10" x14ac:dyDescent="0.3">
      <c r="D3461" s="40"/>
      <c r="J3461" s="134"/>
    </row>
    <row r="3462" spans="4:10" x14ac:dyDescent="0.3">
      <c r="D3462" s="40"/>
      <c r="J3462" s="134"/>
    </row>
    <row r="3463" spans="4:10" x14ac:dyDescent="0.3">
      <c r="D3463" s="40"/>
      <c r="J3463" s="134"/>
    </row>
    <row r="3464" spans="4:10" x14ac:dyDescent="0.3">
      <c r="D3464" s="40"/>
      <c r="J3464" s="134"/>
    </row>
    <row r="3465" spans="4:10" x14ac:dyDescent="0.3">
      <c r="D3465" s="40"/>
      <c r="J3465" s="134"/>
    </row>
    <row r="3466" spans="4:10" x14ac:dyDescent="0.3">
      <c r="D3466" s="40"/>
      <c r="J3466" s="134"/>
    </row>
    <row r="3467" spans="4:10" x14ac:dyDescent="0.3">
      <c r="D3467" s="40"/>
      <c r="J3467" s="134"/>
    </row>
    <row r="3468" spans="4:10" x14ac:dyDescent="0.3">
      <c r="D3468" s="40"/>
      <c r="J3468" s="134"/>
    </row>
    <row r="3469" spans="4:10" x14ac:dyDescent="0.3">
      <c r="D3469" s="40"/>
      <c r="J3469" s="134"/>
    </row>
    <row r="3470" spans="4:10" x14ac:dyDescent="0.3">
      <c r="D3470" s="40"/>
      <c r="J3470" s="134"/>
    </row>
    <row r="3471" spans="4:10" x14ac:dyDescent="0.3">
      <c r="D3471" s="40"/>
      <c r="J3471" s="134"/>
    </row>
    <row r="3472" spans="4:10" x14ac:dyDescent="0.3">
      <c r="D3472" s="40"/>
      <c r="J3472" s="134"/>
    </row>
    <row r="3473" spans="4:10" x14ac:dyDescent="0.3">
      <c r="D3473" s="40"/>
      <c r="J3473" s="134"/>
    </row>
    <row r="3474" spans="4:10" x14ac:dyDescent="0.3">
      <c r="D3474" s="40"/>
      <c r="J3474" s="134"/>
    </row>
    <row r="3475" spans="4:10" x14ac:dyDescent="0.3">
      <c r="D3475" s="40"/>
      <c r="J3475" s="134"/>
    </row>
    <row r="3476" spans="4:10" x14ac:dyDescent="0.3">
      <c r="D3476" s="40"/>
      <c r="J3476" s="134"/>
    </row>
    <row r="3477" spans="4:10" x14ac:dyDescent="0.3">
      <c r="D3477" s="40"/>
      <c r="J3477" s="134"/>
    </row>
    <row r="3478" spans="4:10" x14ac:dyDescent="0.3">
      <c r="D3478" s="40"/>
      <c r="J3478" s="134"/>
    </row>
    <row r="3479" spans="4:10" x14ac:dyDescent="0.3">
      <c r="D3479" s="40"/>
      <c r="J3479" s="134"/>
    </row>
    <row r="3480" spans="4:10" x14ac:dyDescent="0.3">
      <c r="D3480" s="40"/>
      <c r="J3480" s="134"/>
    </row>
    <row r="3481" spans="4:10" x14ac:dyDescent="0.3">
      <c r="D3481" s="40"/>
      <c r="J3481" s="134"/>
    </row>
    <row r="3482" spans="4:10" x14ac:dyDescent="0.3">
      <c r="D3482" s="40"/>
      <c r="J3482" s="134"/>
    </row>
    <row r="3483" spans="4:10" x14ac:dyDescent="0.3">
      <c r="D3483" s="40"/>
      <c r="J3483" s="134"/>
    </row>
    <row r="3484" spans="4:10" x14ac:dyDescent="0.3">
      <c r="D3484" s="40"/>
      <c r="J3484" s="134"/>
    </row>
    <row r="3485" spans="4:10" x14ac:dyDescent="0.3">
      <c r="D3485" s="40"/>
      <c r="J3485" s="134"/>
    </row>
    <row r="3486" spans="4:10" x14ac:dyDescent="0.3">
      <c r="D3486" s="40"/>
      <c r="J3486" s="134"/>
    </row>
    <row r="3487" spans="4:10" x14ac:dyDescent="0.3">
      <c r="D3487" s="40"/>
      <c r="J3487" s="134"/>
    </row>
    <row r="3488" spans="4:10" x14ac:dyDescent="0.3">
      <c r="D3488" s="40"/>
      <c r="J3488" s="134"/>
    </row>
    <row r="3489" spans="4:10" x14ac:dyDescent="0.3">
      <c r="D3489" s="40"/>
      <c r="J3489" s="134"/>
    </row>
    <row r="3490" spans="4:10" x14ac:dyDescent="0.3">
      <c r="D3490" s="40"/>
      <c r="J3490" s="134"/>
    </row>
    <row r="3491" spans="4:10" x14ac:dyDescent="0.3">
      <c r="D3491" s="40"/>
      <c r="J3491" s="134"/>
    </row>
    <row r="3492" spans="4:10" x14ac:dyDescent="0.3">
      <c r="D3492" s="40"/>
      <c r="J3492" s="134"/>
    </row>
    <row r="3493" spans="4:10" x14ac:dyDescent="0.3">
      <c r="D3493" s="40"/>
      <c r="J3493" s="134"/>
    </row>
    <row r="3494" spans="4:10" x14ac:dyDescent="0.3">
      <c r="D3494" s="40"/>
      <c r="J3494" s="134"/>
    </row>
    <row r="3495" spans="4:10" x14ac:dyDescent="0.3">
      <c r="D3495" s="40"/>
      <c r="J3495" s="134"/>
    </row>
    <row r="3496" spans="4:10" x14ac:dyDescent="0.3">
      <c r="D3496" s="40"/>
      <c r="J3496" s="134"/>
    </row>
    <row r="3497" spans="4:10" x14ac:dyDescent="0.3">
      <c r="D3497" s="40"/>
      <c r="J3497" s="134"/>
    </row>
    <row r="3498" spans="4:10" x14ac:dyDescent="0.3">
      <c r="D3498" s="40"/>
      <c r="J3498" s="134"/>
    </row>
    <row r="3499" spans="4:10" x14ac:dyDescent="0.3">
      <c r="D3499" s="40"/>
      <c r="J3499" s="134"/>
    </row>
    <row r="3500" spans="4:10" x14ac:dyDescent="0.3">
      <c r="D3500" s="40"/>
      <c r="J3500" s="134"/>
    </row>
    <row r="3501" spans="4:10" x14ac:dyDescent="0.3">
      <c r="D3501" s="40"/>
      <c r="J3501" s="134"/>
    </row>
    <row r="3502" spans="4:10" x14ac:dyDescent="0.3">
      <c r="D3502" s="40"/>
      <c r="J3502" s="134"/>
    </row>
    <row r="3503" spans="4:10" x14ac:dyDescent="0.3">
      <c r="D3503" s="40"/>
      <c r="J3503" s="134"/>
    </row>
    <row r="3504" spans="4:10" x14ac:dyDescent="0.3">
      <c r="D3504" s="40"/>
      <c r="J3504" s="134"/>
    </row>
    <row r="3505" spans="4:10" x14ac:dyDescent="0.3">
      <c r="D3505" s="40"/>
      <c r="J3505" s="134"/>
    </row>
    <row r="3506" spans="4:10" x14ac:dyDescent="0.3">
      <c r="D3506" s="40"/>
      <c r="J3506" s="134"/>
    </row>
    <row r="3507" spans="4:10" x14ac:dyDescent="0.3">
      <c r="D3507" s="40"/>
      <c r="J3507" s="134"/>
    </row>
    <row r="3508" spans="4:10" x14ac:dyDescent="0.3">
      <c r="D3508" s="40"/>
      <c r="J3508" s="134"/>
    </row>
    <row r="3509" spans="4:10" x14ac:dyDescent="0.3">
      <c r="D3509" s="40"/>
      <c r="J3509" s="134"/>
    </row>
    <row r="3510" spans="4:10" x14ac:dyDescent="0.3">
      <c r="D3510" s="40"/>
      <c r="J3510" s="134"/>
    </row>
    <row r="3511" spans="4:10" x14ac:dyDescent="0.3">
      <c r="D3511" s="40"/>
      <c r="J3511" s="134"/>
    </row>
    <row r="3512" spans="4:10" x14ac:dyDescent="0.3">
      <c r="D3512" s="40"/>
      <c r="J3512" s="134"/>
    </row>
    <row r="3513" spans="4:10" x14ac:dyDescent="0.3">
      <c r="D3513" s="40"/>
      <c r="J3513" s="134"/>
    </row>
    <row r="3514" spans="4:10" x14ac:dyDescent="0.3">
      <c r="D3514" s="40"/>
      <c r="J3514" s="134"/>
    </row>
    <row r="3515" spans="4:10" x14ac:dyDescent="0.3">
      <c r="D3515" s="40"/>
      <c r="J3515" s="134"/>
    </row>
    <row r="3516" spans="4:10" x14ac:dyDescent="0.3">
      <c r="D3516" s="40"/>
      <c r="J3516" s="134"/>
    </row>
    <row r="3517" spans="4:10" x14ac:dyDescent="0.3">
      <c r="D3517" s="40"/>
      <c r="J3517" s="134"/>
    </row>
    <row r="3518" spans="4:10" x14ac:dyDescent="0.3">
      <c r="D3518" s="40"/>
      <c r="J3518" s="134"/>
    </row>
    <row r="3519" spans="4:10" x14ac:dyDescent="0.3">
      <c r="D3519" s="40"/>
      <c r="J3519" s="134"/>
    </row>
    <row r="3520" spans="4:10" x14ac:dyDescent="0.3">
      <c r="D3520" s="40"/>
      <c r="J3520" s="134"/>
    </row>
    <row r="3521" spans="4:10" x14ac:dyDescent="0.3">
      <c r="D3521" s="40"/>
      <c r="J3521" s="134"/>
    </row>
    <row r="3522" spans="4:10" x14ac:dyDescent="0.3">
      <c r="D3522" s="40"/>
      <c r="J3522" s="134"/>
    </row>
    <row r="3523" spans="4:10" x14ac:dyDescent="0.3">
      <c r="D3523" s="40"/>
      <c r="J3523" s="134"/>
    </row>
    <row r="3524" spans="4:10" x14ac:dyDescent="0.3">
      <c r="D3524" s="40"/>
      <c r="J3524" s="134"/>
    </row>
    <row r="3525" spans="4:10" x14ac:dyDescent="0.3">
      <c r="D3525" s="40"/>
      <c r="J3525" s="134"/>
    </row>
    <row r="3526" spans="4:10" x14ac:dyDescent="0.3">
      <c r="D3526" s="40"/>
      <c r="J3526" s="134"/>
    </row>
    <row r="3527" spans="4:10" x14ac:dyDescent="0.3">
      <c r="D3527" s="40"/>
      <c r="J3527" s="134"/>
    </row>
    <row r="3528" spans="4:10" x14ac:dyDescent="0.3">
      <c r="D3528" s="40"/>
      <c r="J3528" s="134"/>
    </row>
    <row r="3529" spans="4:10" x14ac:dyDescent="0.3">
      <c r="D3529" s="40"/>
      <c r="J3529" s="134"/>
    </row>
    <row r="3530" spans="4:10" x14ac:dyDescent="0.3">
      <c r="D3530" s="40"/>
      <c r="J3530" s="134"/>
    </row>
    <row r="3531" spans="4:10" x14ac:dyDescent="0.3">
      <c r="D3531" s="40"/>
      <c r="J3531" s="134"/>
    </row>
    <row r="3532" spans="4:10" x14ac:dyDescent="0.3">
      <c r="D3532" s="40"/>
      <c r="J3532" s="134"/>
    </row>
    <row r="3533" spans="4:10" x14ac:dyDescent="0.3">
      <c r="D3533" s="40"/>
      <c r="J3533" s="134"/>
    </row>
    <row r="3534" spans="4:10" x14ac:dyDescent="0.3">
      <c r="D3534" s="40"/>
      <c r="J3534" s="134"/>
    </row>
    <row r="3535" spans="4:10" x14ac:dyDescent="0.3">
      <c r="D3535" s="40"/>
      <c r="J3535" s="134"/>
    </row>
    <row r="3536" spans="4:10" x14ac:dyDescent="0.3">
      <c r="D3536" s="40"/>
      <c r="J3536" s="134"/>
    </row>
    <row r="3537" spans="4:10" x14ac:dyDescent="0.3">
      <c r="D3537" s="40"/>
      <c r="J3537" s="134"/>
    </row>
    <row r="3538" spans="4:10" x14ac:dyDescent="0.3">
      <c r="D3538" s="40"/>
      <c r="J3538" s="134"/>
    </row>
    <row r="3539" spans="4:10" x14ac:dyDescent="0.3">
      <c r="D3539" s="40"/>
      <c r="J3539" s="134"/>
    </row>
    <row r="3540" spans="4:10" x14ac:dyDescent="0.3">
      <c r="D3540" s="40"/>
      <c r="J3540" s="134"/>
    </row>
    <row r="3541" spans="4:10" x14ac:dyDescent="0.3">
      <c r="D3541" s="40"/>
      <c r="J3541" s="134"/>
    </row>
    <row r="3542" spans="4:10" x14ac:dyDescent="0.3">
      <c r="D3542" s="40"/>
      <c r="J3542" s="134"/>
    </row>
    <row r="3543" spans="4:10" x14ac:dyDescent="0.3">
      <c r="D3543" s="40"/>
      <c r="J3543" s="134"/>
    </row>
    <row r="3544" spans="4:10" x14ac:dyDescent="0.3">
      <c r="D3544" s="40"/>
      <c r="J3544" s="134"/>
    </row>
    <row r="3545" spans="4:10" x14ac:dyDescent="0.3">
      <c r="D3545" s="40"/>
      <c r="J3545" s="134"/>
    </row>
    <row r="3546" spans="4:10" x14ac:dyDescent="0.3">
      <c r="D3546" s="40"/>
      <c r="J3546" s="134"/>
    </row>
    <row r="3547" spans="4:10" x14ac:dyDescent="0.3">
      <c r="D3547" s="40"/>
      <c r="J3547" s="134"/>
    </row>
    <row r="3548" spans="4:10" x14ac:dyDescent="0.3">
      <c r="D3548" s="40"/>
      <c r="J3548" s="134"/>
    </row>
    <row r="3549" spans="4:10" x14ac:dyDescent="0.3">
      <c r="D3549" s="40"/>
      <c r="J3549" s="134"/>
    </row>
    <row r="3550" spans="4:10" x14ac:dyDescent="0.3">
      <c r="D3550" s="40"/>
      <c r="J3550" s="134"/>
    </row>
    <row r="3551" spans="4:10" x14ac:dyDescent="0.3">
      <c r="D3551" s="40"/>
      <c r="J3551" s="134"/>
    </row>
    <row r="3552" spans="4:10" x14ac:dyDescent="0.3">
      <c r="D3552" s="40"/>
      <c r="J3552" s="134"/>
    </row>
    <row r="3553" spans="4:10" x14ac:dyDescent="0.3">
      <c r="D3553" s="40"/>
      <c r="J3553" s="134"/>
    </row>
    <row r="3554" spans="4:10" x14ac:dyDescent="0.3">
      <c r="D3554" s="40"/>
      <c r="J3554" s="134"/>
    </row>
    <row r="3555" spans="4:10" x14ac:dyDescent="0.3">
      <c r="D3555" s="40"/>
      <c r="J3555" s="134"/>
    </row>
    <row r="3556" spans="4:10" x14ac:dyDescent="0.3">
      <c r="D3556" s="40"/>
      <c r="J3556" s="134"/>
    </row>
    <row r="3557" spans="4:10" x14ac:dyDescent="0.3">
      <c r="D3557" s="40"/>
      <c r="J3557" s="134"/>
    </row>
    <row r="3558" spans="4:10" x14ac:dyDescent="0.3">
      <c r="D3558" s="40"/>
      <c r="J3558" s="134"/>
    </row>
    <row r="3559" spans="4:10" x14ac:dyDescent="0.3">
      <c r="D3559" s="40"/>
      <c r="J3559" s="134"/>
    </row>
    <row r="3560" spans="4:10" x14ac:dyDescent="0.3">
      <c r="D3560" s="40"/>
      <c r="J3560" s="134"/>
    </row>
    <row r="3561" spans="4:10" x14ac:dyDescent="0.3">
      <c r="D3561" s="40"/>
      <c r="J3561" s="134"/>
    </row>
    <row r="3562" spans="4:10" x14ac:dyDescent="0.3">
      <c r="D3562" s="40"/>
      <c r="J3562" s="134"/>
    </row>
    <row r="3563" spans="4:10" x14ac:dyDescent="0.3">
      <c r="D3563" s="40"/>
      <c r="J3563" s="134"/>
    </row>
    <row r="3564" spans="4:10" x14ac:dyDescent="0.3">
      <c r="D3564" s="40"/>
      <c r="J3564" s="134"/>
    </row>
    <row r="3565" spans="4:10" x14ac:dyDescent="0.3">
      <c r="D3565" s="40"/>
      <c r="J3565" s="134"/>
    </row>
    <row r="3566" spans="4:10" x14ac:dyDescent="0.3">
      <c r="D3566" s="40"/>
      <c r="J3566" s="134"/>
    </row>
    <row r="3567" spans="4:10" x14ac:dyDescent="0.3">
      <c r="D3567" s="40"/>
      <c r="J3567" s="134"/>
    </row>
    <row r="3568" spans="4:10" x14ac:dyDescent="0.3">
      <c r="D3568" s="40"/>
      <c r="J3568" s="134"/>
    </row>
    <row r="3569" spans="4:10" x14ac:dyDescent="0.3">
      <c r="D3569" s="40"/>
      <c r="J3569" s="134"/>
    </row>
    <row r="3570" spans="4:10" x14ac:dyDescent="0.3">
      <c r="D3570" s="40"/>
      <c r="J3570" s="134"/>
    </row>
    <row r="3571" spans="4:10" x14ac:dyDescent="0.3">
      <c r="D3571" s="40"/>
      <c r="J3571" s="134"/>
    </row>
    <row r="3572" spans="4:10" x14ac:dyDescent="0.3">
      <c r="D3572" s="40"/>
      <c r="J3572" s="134"/>
    </row>
    <row r="3573" spans="4:10" x14ac:dyDescent="0.3">
      <c r="D3573" s="40"/>
      <c r="J3573" s="134"/>
    </row>
    <row r="3574" spans="4:10" x14ac:dyDescent="0.3">
      <c r="D3574" s="40"/>
      <c r="J3574" s="134"/>
    </row>
    <row r="3575" spans="4:10" x14ac:dyDescent="0.3">
      <c r="D3575" s="40"/>
      <c r="J3575" s="134"/>
    </row>
    <row r="3576" spans="4:10" x14ac:dyDescent="0.3">
      <c r="D3576" s="40"/>
      <c r="J3576" s="134"/>
    </row>
    <row r="3577" spans="4:10" x14ac:dyDescent="0.3">
      <c r="D3577" s="40"/>
      <c r="J3577" s="134"/>
    </row>
    <row r="3578" spans="4:10" x14ac:dyDescent="0.3">
      <c r="D3578" s="40"/>
      <c r="J3578" s="134"/>
    </row>
    <row r="3579" spans="4:10" x14ac:dyDescent="0.3">
      <c r="D3579" s="40"/>
      <c r="J3579" s="134"/>
    </row>
    <row r="3580" spans="4:10" x14ac:dyDescent="0.3">
      <c r="D3580" s="40"/>
      <c r="J3580" s="134"/>
    </row>
    <row r="3581" spans="4:10" x14ac:dyDescent="0.3">
      <c r="D3581" s="40"/>
      <c r="J3581" s="134"/>
    </row>
    <row r="3582" spans="4:10" x14ac:dyDescent="0.3">
      <c r="D3582" s="40"/>
      <c r="J3582" s="134"/>
    </row>
    <row r="3583" spans="4:10" x14ac:dyDescent="0.3">
      <c r="D3583" s="40"/>
      <c r="J3583" s="134"/>
    </row>
    <row r="3584" spans="4:10" x14ac:dyDescent="0.3">
      <c r="D3584" s="40"/>
      <c r="J3584" s="134"/>
    </row>
    <row r="3585" spans="4:10" x14ac:dyDescent="0.3">
      <c r="D3585" s="40"/>
      <c r="J3585" s="134"/>
    </row>
    <row r="3586" spans="4:10" x14ac:dyDescent="0.3">
      <c r="D3586" s="40"/>
      <c r="J3586" s="134"/>
    </row>
    <row r="3587" spans="4:10" x14ac:dyDescent="0.3">
      <c r="D3587" s="40"/>
      <c r="J3587" s="134"/>
    </row>
    <row r="3588" spans="4:10" x14ac:dyDescent="0.3">
      <c r="D3588" s="40"/>
      <c r="J3588" s="134"/>
    </row>
    <row r="3589" spans="4:10" x14ac:dyDescent="0.3">
      <c r="D3589" s="40"/>
      <c r="J3589" s="134"/>
    </row>
    <row r="3590" spans="4:10" x14ac:dyDescent="0.3">
      <c r="D3590" s="40"/>
      <c r="J3590" s="134"/>
    </row>
    <row r="3591" spans="4:10" x14ac:dyDescent="0.3">
      <c r="D3591" s="40"/>
      <c r="J3591" s="134"/>
    </row>
    <row r="3592" spans="4:10" x14ac:dyDescent="0.3">
      <c r="D3592" s="40"/>
      <c r="J3592" s="134"/>
    </row>
    <row r="3593" spans="4:10" x14ac:dyDescent="0.3">
      <c r="D3593" s="40"/>
      <c r="J3593" s="134"/>
    </row>
    <row r="3594" spans="4:10" x14ac:dyDescent="0.3">
      <c r="D3594" s="40"/>
      <c r="J3594" s="134"/>
    </row>
    <row r="3595" spans="4:10" x14ac:dyDescent="0.3">
      <c r="D3595" s="40"/>
      <c r="J3595" s="134"/>
    </row>
    <row r="3596" spans="4:10" x14ac:dyDescent="0.3">
      <c r="D3596" s="40"/>
      <c r="J3596" s="134"/>
    </row>
    <row r="3597" spans="4:10" x14ac:dyDescent="0.3">
      <c r="D3597" s="40"/>
      <c r="J3597" s="134"/>
    </row>
    <row r="3598" spans="4:10" x14ac:dyDescent="0.3">
      <c r="D3598" s="40"/>
      <c r="J3598" s="134"/>
    </row>
    <row r="3599" spans="4:10" x14ac:dyDescent="0.3">
      <c r="D3599" s="40"/>
      <c r="J3599" s="134"/>
    </row>
    <row r="3600" spans="4:10" x14ac:dyDescent="0.3">
      <c r="D3600" s="40"/>
      <c r="J3600" s="134"/>
    </row>
    <row r="3601" spans="4:10" x14ac:dyDescent="0.3">
      <c r="D3601" s="40"/>
      <c r="J3601" s="134"/>
    </row>
    <row r="3602" spans="4:10" x14ac:dyDescent="0.3">
      <c r="D3602" s="40"/>
      <c r="J3602" s="134"/>
    </row>
    <row r="3603" spans="4:10" x14ac:dyDescent="0.3">
      <c r="D3603" s="40"/>
      <c r="J3603" s="134"/>
    </row>
    <row r="3604" spans="4:10" x14ac:dyDescent="0.3">
      <c r="D3604" s="40"/>
      <c r="J3604" s="134"/>
    </row>
    <row r="3605" spans="4:10" x14ac:dyDescent="0.3">
      <c r="D3605" s="40"/>
      <c r="J3605" s="134"/>
    </row>
    <row r="3606" spans="4:10" x14ac:dyDescent="0.3">
      <c r="D3606" s="40"/>
      <c r="J3606" s="134"/>
    </row>
    <row r="3607" spans="4:10" x14ac:dyDescent="0.3">
      <c r="D3607" s="40"/>
      <c r="J3607" s="134"/>
    </row>
    <row r="3608" spans="4:10" x14ac:dyDescent="0.3">
      <c r="D3608" s="40"/>
      <c r="J3608" s="134"/>
    </row>
    <row r="3609" spans="4:10" x14ac:dyDescent="0.3">
      <c r="D3609" s="40"/>
      <c r="J3609" s="134"/>
    </row>
    <row r="3610" spans="4:10" x14ac:dyDescent="0.3">
      <c r="D3610" s="40"/>
      <c r="J3610" s="134"/>
    </row>
    <row r="3611" spans="4:10" x14ac:dyDescent="0.3">
      <c r="D3611" s="40"/>
      <c r="J3611" s="134"/>
    </row>
    <row r="3612" spans="4:10" x14ac:dyDescent="0.3">
      <c r="D3612" s="40"/>
      <c r="J3612" s="134"/>
    </row>
    <row r="3613" spans="4:10" x14ac:dyDescent="0.3">
      <c r="D3613" s="40"/>
      <c r="J3613" s="134"/>
    </row>
    <row r="3614" spans="4:10" x14ac:dyDescent="0.3">
      <c r="D3614" s="40"/>
      <c r="J3614" s="134"/>
    </row>
    <row r="3615" spans="4:10" x14ac:dyDescent="0.3">
      <c r="D3615" s="40"/>
      <c r="J3615" s="134"/>
    </row>
    <row r="3616" spans="4:10" x14ac:dyDescent="0.3">
      <c r="D3616" s="40"/>
      <c r="J3616" s="134"/>
    </row>
    <row r="3617" spans="4:10" x14ac:dyDescent="0.3">
      <c r="D3617" s="40"/>
      <c r="J3617" s="134"/>
    </row>
    <row r="3618" spans="4:10" x14ac:dyDescent="0.3">
      <c r="D3618" s="40"/>
      <c r="J3618" s="134"/>
    </row>
    <row r="3619" spans="4:10" x14ac:dyDescent="0.3">
      <c r="D3619" s="40"/>
      <c r="J3619" s="134"/>
    </row>
    <row r="3620" spans="4:10" x14ac:dyDescent="0.3">
      <c r="D3620" s="40"/>
      <c r="J3620" s="134"/>
    </row>
    <row r="3621" spans="4:10" x14ac:dyDescent="0.3">
      <c r="D3621" s="40"/>
      <c r="J3621" s="134"/>
    </row>
    <row r="3622" spans="4:10" x14ac:dyDescent="0.3">
      <c r="D3622" s="40"/>
      <c r="J3622" s="134"/>
    </row>
    <row r="3623" spans="4:10" x14ac:dyDescent="0.3">
      <c r="D3623" s="40"/>
      <c r="J3623" s="134"/>
    </row>
    <row r="3624" spans="4:10" x14ac:dyDescent="0.3">
      <c r="D3624" s="40"/>
      <c r="J3624" s="134"/>
    </row>
    <row r="3625" spans="4:10" x14ac:dyDescent="0.3">
      <c r="D3625" s="40"/>
      <c r="J3625" s="134"/>
    </row>
    <row r="3626" spans="4:10" x14ac:dyDescent="0.3">
      <c r="D3626" s="40"/>
      <c r="J3626" s="134"/>
    </row>
    <row r="3627" spans="4:10" x14ac:dyDescent="0.3">
      <c r="D3627" s="40"/>
      <c r="J3627" s="134"/>
    </row>
    <row r="3628" spans="4:10" x14ac:dyDescent="0.3">
      <c r="D3628" s="40"/>
      <c r="J3628" s="134"/>
    </row>
    <row r="3629" spans="4:10" x14ac:dyDescent="0.3">
      <c r="D3629" s="40"/>
      <c r="J3629" s="134"/>
    </row>
    <row r="3630" spans="4:10" x14ac:dyDescent="0.3">
      <c r="D3630" s="40"/>
      <c r="J3630" s="134"/>
    </row>
    <row r="3631" spans="4:10" x14ac:dyDescent="0.3">
      <c r="D3631" s="40"/>
      <c r="J3631" s="134"/>
    </row>
    <row r="3632" spans="4:10" x14ac:dyDescent="0.3">
      <c r="D3632" s="40"/>
      <c r="J3632" s="134"/>
    </row>
    <row r="3633" spans="4:10" x14ac:dyDescent="0.3">
      <c r="D3633" s="40"/>
      <c r="J3633" s="134"/>
    </row>
    <row r="3634" spans="4:10" x14ac:dyDescent="0.3">
      <c r="D3634" s="40"/>
      <c r="J3634" s="134"/>
    </row>
    <row r="3635" spans="4:10" x14ac:dyDescent="0.3">
      <c r="D3635" s="40"/>
      <c r="J3635" s="134"/>
    </row>
    <row r="3636" spans="4:10" x14ac:dyDescent="0.3">
      <c r="D3636" s="40"/>
      <c r="J3636" s="134"/>
    </row>
    <row r="3637" spans="4:10" x14ac:dyDescent="0.3">
      <c r="D3637" s="40"/>
      <c r="J3637" s="134"/>
    </row>
    <row r="3638" spans="4:10" x14ac:dyDescent="0.3">
      <c r="D3638" s="40"/>
      <c r="J3638" s="134"/>
    </row>
    <row r="3639" spans="4:10" x14ac:dyDescent="0.3">
      <c r="D3639" s="40"/>
      <c r="J3639" s="134"/>
    </row>
    <row r="3640" spans="4:10" x14ac:dyDescent="0.3">
      <c r="D3640" s="40"/>
      <c r="J3640" s="134"/>
    </row>
    <row r="3641" spans="4:10" x14ac:dyDescent="0.3">
      <c r="D3641" s="40"/>
      <c r="J3641" s="134"/>
    </row>
    <row r="3642" spans="4:10" x14ac:dyDescent="0.3">
      <c r="D3642" s="40"/>
      <c r="J3642" s="134"/>
    </row>
    <row r="3643" spans="4:10" x14ac:dyDescent="0.3">
      <c r="D3643" s="40"/>
      <c r="J3643" s="134"/>
    </row>
    <row r="3644" spans="4:10" x14ac:dyDescent="0.3">
      <c r="D3644" s="40"/>
      <c r="J3644" s="134"/>
    </row>
    <row r="3645" spans="4:10" x14ac:dyDescent="0.3">
      <c r="D3645" s="40"/>
      <c r="J3645" s="134"/>
    </row>
    <row r="3646" spans="4:10" x14ac:dyDescent="0.3">
      <c r="D3646" s="40"/>
      <c r="J3646" s="134"/>
    </row>
    <row r="3647" spans="4:10" x14ac:dyDescent="0.3">
      <c r="D3647" s="40"/>
      <c r="J3647" s="134"/>
    </row>
    <row r="3648" spans="4:10" x14ac:dyDescent="0.3">
      <c r="D3648" s="40"/>
      <c r="J3648" s="134"/>
    </row>
    <row r="3649" spans="4:10" x14ac:dyDescent="0.3">
      <c r="D3649" s="40"/>
      <c r="J3649" s="134"/>
    </row>
    <row r="3650" spans="4:10" x14ac:dyDescent="0.3">
      <c r="D3650" s="40"/>
      <c r="J3650" s="134"/>
    </row>
    <row r="3651" spans="4:10" x14ac:dyDescent="0.3">
      <c r="D3651" s="40"/>
      <c r="J3651" s="134"/>
    </row>
    <row r="3652" spans="4:10" x14ac:dyDescent="0.3">
      <c r="D3652" s="40"/>
      <c r="J3652" s="134"/>
    </row>
    <row r="3653" spans="4:10" x14ac:dyDescent="0.3">
      <c r="D3653" s="40"/>
      <c r="J3653" s="134"/>
    </row>
    <row r="3654" spans="4:10" x14ac:dyDescent="0.3">
      <c r="D3654" s="40"/>
      <c r="J3654" s="134"/>
    </row>
    <row r="3655" spans="4:10" x14ac:dyDescent="0.3">
      <c r="D3655" s="40"/>
      <c r="J3655" s="134"/>
    </row>
    <row r="3656" spans="4:10" x14ac:dyDescent="0.3">
      <c r="D3656" s="40"/>
      <c r="J3656" s="134"/>
    </row>
    <row r="3657" spans="4:10" x14ac:dyDescent="0.3">
      <c r="D3657" s="40"/>
      <c r="J3657" s="134"/>
    </row>
    <row r="3658" spans="4:10" x14ac:dyDescent="0.3">
      <c r="D3658" s="40"/>
      <c r="J3658" s="134"/>
    </row>
    <row r="3659" spans="4:10" x14ac:dyDescent="0.3">
      <c r="D3659" s="40"/>
      <c r="J3659" s="134"/>
    </row>
    <row r="3660" spans="4:10" x14ac:dyDescent="0.3">
      <c r="D3660" s="40"/>
      <c r="J3660" s="134"/>
    </row>
    <row r="3661" spans="4:10" x14ac:dyDescent="0.3">
      <c r="D3661" s="40"/>
      <c r="J3661" s="134"/>
    </row>
    <row r="3662" spans="4:10" x14ac:dyDescent="0.3">
      <c r="D3662" s="40"/>
      <c r="J3662" s="134"/>
    </row>
    <row r="3663" spans="4:10" x14ac:dyDescent="0.3">
      <c r="D3663" s="40"/>
      <c r="J3663" s="134"/>
    </row>
    <row r="3664" spans="4:10" x14ac:dyDescent="0.3">
      <c r="D3664" s="40"/>
      <c r="J3664" s="134"/>
    </row>
    <row r="3665" spans="4:10" x14ac:dyDescent="0.3">
      <c r="D3665" s="40"/>
      <c r="J3665" s="134"/>
    </row>
    <row r="3666" spans="4:10" x14ac:dyDescent="0.3">
      <c r="D3666" s="40"/>
      <c r="J3666" s="134"/>
    </row>
    <row r="3667" spans="4:10" x14ac:dyDescent="0.3">
      <c r="D3667" s="40"/>
      <c r="J3667" s="134"/>
    </row>
    <row r="3668" spans="4:10" x14ac:dyDescent="0.3">
      <c r="D3668" s="40"/>
      <c r="J3668" s="134"/>
    </row>
    <row r="3669" spans="4:10" x14ac:dyDescent="0.3">
      <c r="D3669" s="40"/>
      <c r="J3669" s="134"/>
    </row>
    <row r="3670" spans="4:10" x14ac:dyDescent="0.3">
      <c r="D3670" s="40"/>
      <c r="J3670" s="134"/>
    </row>
    <row r="3671" spans="4:10" x14ac:dyDescent="0.3">
      <c r="D3671" s="40"/>
      <c r="J3671" s="134"/>
    </row>
    <row r="3672" spans="4:10" x14ac:dyDescent="0.3">
      <c r="D3672" s="40"/>
      <c r="J3672" s="134"/>
    </row>
    <row r="3673" spans="4:10" x14ac:dyDescent="0.3">
      <c r="D3673" s="40"/>
      <c r="J3673" s="134"/>
    </row>
    <row r="3674" spans="4:10" x14ac:dyDescent="0.3">
      <c r="D3674" s="40"/>
      <c r="J3674" s="134"/>
    </row>
    <row r="3675" spans="4:10" x14ac:dyDescent="0.3">
      <c r="D3675" s="40"/>
      <c r="J3675" s="134"/>
    </row>
    <row r="3676" spans="4:10" x14ac:dyDescent="0.3">
      <c r="D3676" s="40"/>
      <c r="J3676" s="134"/>
    </row>
    <row r="3677" spans="4:10" x14ac:dyDescent="0.3">
      <c r="D3677" s="40"/>
      <c r="J3677" s="134"/>
    </row>
    <row r="3678" spans="4:10" x14ac:dyDescent="0.3">
      <c r="D3678" s="40"/>
      <c r="J3678" s="134"/>
    </row>
    <row r="3679" spans="4:10" x14ac:dyDescent="0.3">
      <c r="D3679" s="40"/>
      <c r="J3679" s="134"/>
    </row>
    <row r="3680" spans="4:10" x14ac:dyDescent="0.3">
      <c r="D3680" s="40"/>
      <c r="J3680" s="134"/>
    </row>
    <row r="3681" spans="4:10" x14ac:dyDescent="0.3">
      <c r="D3681" s="40"/>
      <c r="J3681" s="134"/>
    </row>
    <row r="3682" spans="4:10" x14ac:dyDescent="0.3">
      <c r="D3682" s="40"/>
      <c r="J3682" s="134"/>
    </row>
    <row r="3683" spans="4:10" x14ac:dyDescent="0.3">
      <c r="D3683" s="40"/>
      <c r="J3683" s="134"/>
    </row>
    <row r="3684" spans="4:10" x14ac:dyDescent="0.3">
      <c r="D3684" s="40"/>
      <c r="J3684" s="134"/>
    </row>
    <row r="3685" spans="4:10" x14ac:dyDescent="0.3">
      <c r="D3685" s="40"/>
      <c r="J3685" s="134"/>
    </row>
    <row r="3686" spans="4:10" x14ac:dyDescent="0.3">
      <c r="D3686" s="40"/>
      <c r="J3686" s="134"/>
    </row>
    <row r="3687" spans="4:10" x14ac:dyDescent="0.3">
      <c r="D3687" s="40"/>
      <c r="J3687" s="134"/>
    </row>
    <row r="3688" spans="4:10" x14ac:dyDescent="0.3">
      <c r="D3688" s="40"/>
      <c r="J3688" s="134"/>
    </row>
    <row r="3689" spans="4:10" x14ac:dyDescent="0.3">
      <c r="D3689" s="40"/>
      <c r="J3689" s="134"/>
    </row>
    <row r="3690" spans="4:10" x14ac:dyDescent="0.3">
      <c r="D3690" s="40"/>
      <c r="J3690" s="134"/>
    </row>
    <row r="3691" spans="4:10" x14ac:dyDescent="0.3">
      <c r="D3691" s="40"/>
      <c r="J3691" s="134"/>
    </row>
    <row r="3692" spans="4:10" x14ac:dyDescent="0.3">
      <c r="D3692" s="40"/>
      <c r="J3692" s="134"/>
    </row>
    <row r="3693" spans="4:10" x14ac:dyDescent="0.3">
      <c r="D3693" s="40"/>
      <c r="J3693" s="134"/>
    </row>
    <row r="3694" spans="4:10" x14ac:dyDescent="0.3">
      <c r="D3694" s="40"/>
      <c r="J3694" s="134"/>
    </row>
    <row r="3695" spans="4:10" x14ac:dyDescent="0.3">
      <c r="D3695" s="40"/>
      <c r="J3695" s="134"/>
    </row>
    <row r="3696" spans="4:10" x14ac:dyDescent="0.3">
      <c r="D3696" s="40"/>
      <c r="J3696" s="134"/>
    </row>
    <row r="3697" spans="4:10" x14ac:dyDescent="0.3">
      <c r="D3697" s="40"/>
      <c r="J3697" s="134"/>
    </row>
    <row r="3698" spans="4:10" x14ac:dyDescent="0.3">
      <c r="D3698" s="40"/>
      <c r="J3698" s="134"/>
    </row>
    <row r="3699" spans="4:10" x14ac:dyDescent="0.3">
      <c r="D3699" s="40"/>
      <c r="J3699" s="134"/>
    </row>
    <row r="3700" spans="4:10" x14ac:dyDescent="0.3">
      <c r="D3700" s="40"/>
      <c r="J3700" s="134"/>
    </row>
    <row r="3701" spans="4:10" x14ac:dyDescent="0.3">
      <c r="D3701" s="40"/>
      <c r="J3701" s="134"/>
    </row>
    <row r="3702" spans="4:10" x14ac:dyDescent="0.3">
      <c r="D3702" s="40"/>
      <c r="J3702" s="134"/>
    </row>
    <row r="3703" spans="4:10" x14ac:dyDescent="0.3">
      <c r="D3703" s="40"/>
      <c r="J3703" s="134"/>
    </row>
    <row r="3704" spans="4:10" x14ac:dyDescent="0.3">
      <c r="D3704" s="40"/>
      <c r="J3704" s="134"/>
    </row>
    <row r="3705" spans="4:10" x14ac:dyDescent="0.3">
      <c r="D3705" s="40"/>
      <c r="J3705" s="134"/>
    </row>
    <row r="3706" spans="4:10" x14ac:dyDescent="0.3">
      <c r="D3706" s="40"/>
      <c r="J3706" s="134"/>
    </row>
    <row r="3707" spans="4:10" x14ac:dyDescent="0.3">
      <c r="D3707" s="40"/>
      <c r="J3707" s="134"/>
    </row>
    <row r="3708" spans="4:10" x14ac:dyDescent="0.3">
      <c r="D3708" s="40"/>
      <c r="J3708" s="134"/>
    </row>
    <row r="3709" spans="4:10" x14ac:dyDescent="0.3">
      <c r="D3709" s="40"/>
      <c r="J3709" s="134"/>
    </row>
    <row r="3710" spans="4:10" x14ac:dyDescent="0.3">
      <c r="D3710" s="40"/>
      <c r="J3710" s="134"/>
    </row>
    <row r="3711" spans="4:10" x14ac:dyDescent="0.3">
      <c r="D3711" s="40"/>
      <c r="J3711" s="134"/>
    </row>
    <row r="3712" spans="4:10" x14ac:dyDescent="0.3">
      <c r="D3712" s="40"/>
      <c r="J3712" s="134"/>
    </row>
    <row r="3713" spans="4:10" x14ac:dyDescent="0.3">
      <c r="D3713" s="40"/>
      <c r="J3713" s="134"/>
    </row>
    <row r="3714" spans="4:10" x14ac:dyDescent="0.3">
      <c r="D3714" s="40"/>
      <c r="J3714" s="134"/>
    </row>
    <row r="3715" spans="4:10" x14ac:dyDescent="0.3">
      <c r="D3715" s="40"/>
      <c r="J3715" s="134"/>
    </row>
    <row r="3716" spans="4:10" x14ac:dyDescent="0.3">
      <c r="D3716" s="40"/>
      <c r="J3716" s="134"/>
    </row>
    <row r="3717" spans="4:10" x14ac:dyDescent="0.3">
      <c r="D3717" s="40"/>
      <c r="J3717" s="134"/>
    </row>
    <row r="3718" spans="4:10" x14ac:dyDescent="0.3">
      <c r="D3718" s="40"/>
      <c r="J3718" s="134"/>
    </row>
    <row r="3719" spans="4:10" x14ac:dyDescent="0.3">
      <c r="D3719" s="40"/>
      <c r="J3719" s="134"/>
    </row>
    <row r="3720" spans="4:10" x14ac:dyDescent="0.3">
      <c r="D3720" s="40"/>
      <c r="J3720" s="134"/>
    </row>
    <row r="3721" spans="4:10" x14ac:dyDescent="0.3">
      <c r="D3721" s="40"/>
      <c r="J3721" s="134"/>
    </row>
    <row r="3722" spans="4:10" x14ac:dyDescent="0.3">
      <c r="D3722" s="40"/>
      <c r="J3722" s="134"/>
    </row>
    <row r="3723" spans="4:10" x14ac:dyDescent="0.3">
      <c r="D3723" s="40"/>
      <c r="J3723" s="134"/>
    </row>
    <row r="3724" spans="4:10" x14ac:dyDescent="0.3">
      <c r="D3724" s="40"/>
      <c r="J3724" s="134"/>
    </row>
    <row r="3725" spans="4:10" x14ac:dyDescent="0.3">
      <c r="D3725" s="40"/>
      <c r="J3725" s="134"/>
    </row>
    <row r="3726" spans="4:10" x14ac:dyDescent="0.3">
      <c r="D3726" s="40"/>
      <c r="J3726" s="134"/>
    </row>
    <row r="3727" spans="4:10" x14ac:dyDescent="0.3">
      <c r="D3727" s="40"/>
      <c r="J3727" s="134"/>
    </row>
    <row r="3728" spans="4:10" x14ac:dyDescent="0.3">
      <c r="D3728" s="40"/>
      <c r="J3728" s="134"/>
    </row>
    <row r="3729" spans="4:10" x14ac:dyDescent="0.3">
      <c r="D3729" s="40"/>
      <c r="J3729" s="134"/>
    </row>
    <row r="3730" spans="4:10" x14ac:dyDescent="0.3">
      <c r="D3730" s="40"/>
      <c r="J3730" s="134"/>
    </row>
    <row r="3731" spans="4:10" x14ac:dyDescent="0.3">
      <c r="D3731" s="40"/>
      <c r="J3731" s="134"/>
    </row>
    <row r="3732" spans="4:10" x14ac:dyDescent="0.3">
      <c r="D3732" s="40"/>
      <c r="J3732" s="134"/>
    </row>
    <row r="3733" spans="4:10" x14ac:dyDescent="0.3">
      <c r="D3733" s="40"/>
      <c r="J3733" s="134"/>
    </row>
    <row r="3734" spans="4:10" x14ac:dyDescent="0.3">
      <c r="D3734" s="40"/>
      <c r="J3734" s="134"/>
    </row>
    <row r="3735" spans="4:10" x14ac:dyDescent="0.3">
      <c r="D3735" s="40"/>
      <c r="J3735" s="134"/>
    </row>
    <row r="3736" spans="4:10" x14ac:dyDescent="0.3">
      <c r="D3736" s="40"/>
      <c r="J3736" s="134"/>
    </row>
    <row r="3737" spans="4:10" x14ac:dyDescent="0.3">
      <c r="D3737" s="40"/>
      <c r="J3737" s="134"/>
    </row>
    <row r="3738" spans="4:10" x14ac:dyDescent="0.3">
      <c r="D3738" s="40"/>
      <c r="J3738" s="134"/>
    </row>
    <row r="3739" spans="4:10" x14ac:dyDescent="0.3">
      <c r="D3739" s="40"/>
      <c r="J3739" s="134"/>
    </row>
    <row r="3740" spans="4:10" x14ac:dyDescent="0.3">
      <c r="D3740" s="40"/>
      <c r="J3740" s="134"/>
    </row>
    <row r="3741" spans="4:10" x14ac:dyDescent="0.3">
      <c r="D3741" s="40"/>
      <c r="J3741" s="134"/>
    </row>
    <row r="3742" spans="4:10" x14ac:dyDescent="0.3">
      <c r="D3742" s="40"/>
      <c r="J3742" s="134"/>
    </row>
    <row r="3743" spans="4:10" x14ac:dyDescent="0.3">
      <c r="D3743" s="40"/>
      <c r="J3743" s="134"/>
    </row>
    <row r="3744" spans="4:10" x14ac:dyDescent="0.3">
      <c r="D3744" s="40"/>
      <c r="J3744" s="134"/>
    </row>
    <row r="3745" spans="4:10" x14ac:dyDescent="0.3">
      <c r="D3745" s="40"/>
      <c r="J3745" s="134"/>
    </row>
    <row r="3746" spans="4:10" x14ac:dyDescent="0.3">
      <c r="D3746" s="40"/>
      <c r="J3746" s="134"/>
    </row>
    <row r="3747" spans="4:10" x14ac:dyDescent="0.3">
      <c r="D3747" s="40"/>
      <c r="J3747" s="134"/>
    </row>
    <row r="3748" spans="4:10" x14ac:dyDescent="0.3">
      <c r="D3748" s="40"/>
      <c r="J3748" s="134"/>
    </row>
    <row r="3749" spans="4:10" x14ac:dyDescent="0.3">
      <c r="D3749" s="40"/>
      <c r="J3749" s="134"/>
    </row>
    <row r="3750" spans="4:10" x14ac:dyDescent="0.3">
      <c r="D3750" s="40"/>
      <c r="J3750" s="134"/>
    </row>
    <row r="3751" spans="4:10" x14ac:dyDescent="0.3">
      <c r="D3751" s="40"/>
      <c r="J3751" s="134"/>
    </row>
    <row r="3752" spans="4:10" x14ac:dyDescent="0.3">
      <c r="D3752" s="40"/>
      <c r="J3752" s="134"/>
    </row>
    <row r="3753" spans="4:10" x14ac:dyDescent="0.3">
      <c r="D3753" s="40"/>
      <c r="J3753" s="134"/>
    </row>
    <row r="3754" spans="4:10" x14ac:dyDescent="0.3">
      <c r="D3754" s="40"/>
      <c r="J3754" s="134"/>
    </row>
    <row r="3755" spans="4:10" x14ac:dyDescent="0.3">
      <c r="D3755" s="40"/>
      <c r="J3755" s="134"/>
    </row>
    <row r="3756" spans="4:10" x14ac:dyDescent="0.3">
      <c r="D3756" s="40"/>
      <c r="J3756" s="134"/>
    </row>
    <row r="3757" spans="4:10" x14ac:dyDescent="0.3">
      <c r="D3757" s="40"/>
      <c r="J3757" s="134"/>
    </row>
    <row r="3758" spans="4:10" x14ac:dyDescent="0.3">
      <c r="D3758" s="40"/>
      <c r="J3758" s="134"/>
    </row>
    <row r="3759" spans="4:10" x14ac:dyDescent="0.3">
      <c r="D3759" s="40"/>
      <c r="J3759" s="134"/>
    </row>
    <row r="3760" spans="4:10" x14ac:dyDescent="0.3">
      <c r="D3760" s="40"/>
      <c r="J3760" s="134"/>
    </row>
    <row r="3761" spans="4:10" x14ac:dyDescent="0.3">
      <c r="D3761" s="40"/>
      <c r="J3761" s="134"/>
    </row>
    <row r="3762" spans="4:10" x14ac:dyDescent="0.3">
      <c r="D3762" s="40"/>
      <c r="J3762" s="134"/>
    </row>
    <row r="3763" spans="4:10" x14ac:dyDescent="0.3">
      <c r="D3763" s="40"/>
      <c r="J3763" s="134"/>
    </row>
    <row r="3764" spans="4:10" x14ac:dyDescent="0.3">
      <c r="D3764" s="40"/>
      <c r="J3764" s="134"/>
    </row>
    <row r="3765" spans="4:10" x14ac:dyDescent="0.3">
      <c r="D3765" s="40"/>
      <c r="J3765" s="134"/>
    </row>
    <row r="3766" spans="4:10" x14ac:dyDescent="0.3">
      <c r="D3766" s="40"/>
      <c r="J3766" s="134"/>
    </row>
    <row r="3767" spans="4:10" x14ac:dyDescent="0.3">
      <c r="D3767" s="40"/>
      <c r="J3767" s="134"/>
    </row>
    <row r="3768" spans="4:10" x14ac:dyDescent="0.3">
      <c r="D3768" s="40"/>
      <c r="J3768" s="134"/>
    </row>
    <row r="3769" spans="4:10" x14ac:dyDescent="0.3">
      <c r="D3769" s="40"/>
      <c r="J3769" s="134"/>
    </row>
    <row r="3770" spans="4:10" x14ac:dyDescent="0.3">
      <c r="D3770" s="40"/>
      <c r="J3770" s="134"/>
    </row>
    <row r="3771" spans="4:10" x14ac:dyDescent="0.3">
      <c r="D3771" s="40"/>
      <c r="J3771" s="134"/>
    </row>
    <row r="3772" spans="4:10" x14ac:dyDescent="0.3">
      <c r="D3772" s="40"/>
      <c r="J3772" s="134"/>
    </row>
    <row r="3773" spans="4:10" x14ac:dyDescent="0.3">
      <c r="D3773" s="40"/>
      <c r="J3773" s="134"/>
    </row>
    <row r="3774" spans="4:10" x14ac:dyDescent="0.3">
      <c r="D3774" s="40"/>
      <c r="J3774" s="134"/>
    </row>
    <row r="3775" spans="4:10" x14ac:dyDescent="0.3">
      <c r="D3775" s="40"/>
      <c r="J3775" s="134"/>
    </row>
    <row r="3776" spans="4:10" x14ac:dyDescent="0.3">
      <c r="D3776" s="40"/>
      <c r="J3776" s="134"/>
    </row>
    <row r="3777" spans="4:10" x14ac:dyDescent="0.3">
      <c r="D3777" s="40"/>
      <c r="J3777" s="134"/>
    </row>
    <row r="3778" spans="4:10" x14ac:dyDescent="0.3">
      <c r="D3778" s="40"/>
      <c r="J3778" s="134"/>
    </row>
    <row r="3779" spans="4:10" x14ac:dyDescent="0.3">
      <c r="D3779" s="40"/>
      <c r="J3779" s="134"/>
    </row>
    <row r="3780" spans="4:10" x14ac:dyDescent="0.3">
      <c r="D3780" s="40"/>
      <c r="J3780" s="134"/>
    </row>
    <row r="3781" spans="4:10" x14ac:dyDescent="0.3">
      <c r="D3781" s="40"/>
      <c r="J3781" s="134"/>
    </row>
    <row r="3782" spans="4:10" x14ac:dyDescent="0.3">
      <c r="D3782" s="40"/>
      <c r="J3782" s="134"/>
    </row>
    <row r="3783" spans="4:10" x14ac:dyDescent="0.3">
      <c r="D3783" s="40"/>
      <c r="J3783" s="134"/>
    </row>
    <row r="3784" spans="4:10" x14ac:dyDescent="0.3">
      <c r="D3784" s="40"/>
      <c r="J3784" s="134"/>
    </row>
    <row r="3785" spans="4:10" x14ac:dyDescent="0.3">
      <c r="D3785" s="40"/>
      <c r="J3785" s="134"/>
    </row>
    <row r="3786" spans="4:10" x14ac:dyDescent="0.3">
      <c r="D3786" s="40"/>
      <c r="J3786" s="134"/>
    </row>
    <row r="3787" spans="4:10" x14ac:dyDescent="0.3">
      <c r="D3787" s="40"/>
      <c r="J3787" s="134"/>
    </row>
    <row r="3788" spans="4:10" x14ac:dyDescent="0.3">
      <c r="D3788" s="40"/>
      <c r="J3788" s="134"/>
    </row>
    <row r="3789" spans="4:10" x14ac:dyDescent="0.3">
      <c r="D3789" s="40"/>
      <c r="J3789" s="134"/>
    </row>
    <row r="3790" spans="4:10" x14ac:dyDescent="0.3">
      <c r="D3790" s="40"/>
      <c r="J3790" s="134"/>
    </row>
    <row r="3791" spans="4:10" x14ac:dyDescent="0.3">
      <c r="D3791" s="40"/>
      <c r="J3791" s="134"/>
    </row>
    <row r="3792" spans="4:10" x14ac:dyDescent="0.3">
      <c r="D3792" s="40"/>
      <c r="J3792" s="134"/>
    </row>
    <row r="3793" spans="4:10" x14ac:dyDescent="0.3">
      <c r="D3793" s="40"/>
      <c r="J3793" s="134"/>
    </row>
    <row r="3794" spans="4:10" x14ac:dyDescent="0.3">
      <c r="D3794" s="40"/>
      <c r="J3794" s="134"/>
    </row>
    <row r="3795" spans="4:10" x14ac:dyDescent="0.3">
      <c r="D3795" s="40"/>
      <c r="J3795" s="134"/>
    </row>
    <row r="3796" spans="4:10" x14ac:dyDescent="0.3">
      <c r="D3796" s="40"/>
      <c r="J3796" s="134"/>
    </row>
    <row r="3797" spans="4:10" x14ac:dyDescent="0.3">
      <c r="D3797" s="40"/>
      <c r="J3797" s="134"/>
    </row>
    <row r="3798" spans="4:10" x14ac:dyDescent="0.3">
      <c r="D3798" s="40"/>
      <c r="J3798" s="134"/>
    </row>
    <row r="3799" spans="4:10" x14ac:dyDescent="0.3">
      <c r="D3799" s="40"/>
      <c r="J3799" s="134"/>
    </row>
    <row r="3800" spans="4:10" x14ac:dyDescent="0.3">
      <c r="D3800" s="40"/>
      <c r="J3800" s="134"/>
    </row>
    <row r="3801" spans="4:10" x14ac:dyDescent="0.3">
      <c r="D3801" s="40"/>
      <c r="J3801" s="134"/>
    </row>
    <row r="3802" spans="4:10" x14ac:dyDescent="0.3">
      <c r="D3802" s="40"/>
      <c r="J3802" s="134"/>
    </row>
    <row r="3803" spans="4:10" x14ac:dyDescent="0.3">
      <c r="D3803" s="40"/>
      <c r="J3803" s="134"/>
    </row>
    <row r="3804" spans="4:10" x14ac:dyDescent="0.3">
      <c r="D3804" s="40"/>
      <c r="J3804" s="134"/>
    </row>
    <row r="3805" spans="4:10" x14ac:dyDescent="0.3">
      <c r="D3805" s="40"/>
      <c r="J3805" s="134"/>
    </row>
    <row r="3806" spans="4:10" x14ac:dyDescent="0.3">
      <c r="D3806" s="40"/>
      <c r="J3806" s="134"/>
    </row>
    <row r="3807" spans="4:10" x14ac:dyDescent="0.3">
      <c r="D3807" s="40"/>
      <c r="J3807" s="134"/>
    </row>
    <row r="3808" spans="4:10" x14ac:dyDescent="0.3">
      <c r="D3808" s="40"/>
      <c r="J3808" s="134"/>
    </row>
    <row r="3809" spans="4:10" x14ac:dyDescent="0.3">
      <c r="D3809" s="40"/>
      <c r="J3809" s="134"/>
    </row>
    <row r="3810" spans="4:10" x14ac:dyDescent="0.3">
      <c r="D3810" s="40"/>
      <c r="J3810" s="134"/>
    </row>
    <row r="3811" spans="4:10" x14ac:dyDescent="0.3">
      <c r="D3811" s="40"/>
      <c r="J3811" s="134"/>
    </row>
    <row r="3812" spans="4:10" x14ac:dyDescent="0.3">
      <c r="D3812" s="40"/>
      <c r="J3812" s="134"/>
    </row>
    <row r="3813" spans="4:10" x14ac:dyDescent="0.3">
      <c r="D3813" s="40"/>
      <c r="J3813" s="134"/>
    </row>
    <row r="3814" spans="4:10" x14ac:dyDescent="0.3">
      <c r="D3814" s="40"/>
      <c r="J3814" s="134"/>
    </row>
    <row r="3815" spans="4:10" x14ac:dyDescent="0.3">
      <c r="D3815" s="40"/>
      <c r="J3815" s="134"/>
    </row>
    <row r="3816" spans="4:10" x14ac:dyDescent="0.3">
      <c r="D3816" s="40"/>
      <c r="J3816" s="134"/>
    </row>
    <row r="3817" spans="4:10" x14ac:dyDescent="0.3">
      <c r="D3817" s="40"/>
      <c r="J3817" s="134"/>
    </row>
    <row r="3818" spans="4:10" x14ac:dyDescent="0.3">
      <c r="D3818" s="40"/>
      <c r="J3818" s="134"/>
    </row>
    <row r="3819" spans="4:10" x14ac:dyDescent="0.3">
      <c r="D3819" s="40"/>
      <c r="J3819" s="134"/>
    </row>
    <row r="3820" spans="4:10" x14ac:dyDescent="0.3">
      <c r="D3820" s="40"/>
      <c r="J3820" s="134"/>
    </row>
    <row r="3821" spans="4:10" x14ac:dyDescent="0.3">
      <c r="D3821" s="40"/>
      <c r="J3821" s="134"/>
    </row>
    <row r="3822" spans="4:10" x14ac:dyDescent="0.3">
      <c r="D3822" s="40"/>
      <c r="J3822" s="134"/>
    </row>
    <row r="3823" spans="4:10" x14ac:dyDescent="0.3">
      <c r="D3823" s="40"/>
      <c r="J3823" s="134"/>
    </row>
    <row r="3824" spans="4:10" x14ac:dyDescent="0.3">
      <c r="D3824" s="40"/>
      <c r="J3824" s="134"/>
    </row>
    <row r="3825" spans="4:10" x14ac:dyDescent="0.3">
      <c r="D3825" s="40"/>
      <c r="J3825" s="134"/>
    </row>
    <row r="3826" spans="4:10" x14ac:dyDescent="0.3">
      <c r="D3826" s="40"/>
      <c r="J3826" s="134"/>
    </row>
    <row r="3827" spans="4:10" x14ac:dyDescent="0.3">
      <c r="D3827" s="40"/>
      <c r="J3827" s="134"/>
    </row>
    <row r="3828" spans="4:10" x14ac:dyDescent="0.3">
      <c r="D3828" s="40"/>
      <c r="J3828" s="134"/>
    </row>
    <row r="3829" spans="4:10" x14ac:dyDescent="0.3">
      <c r="D3829" s="40"/>
      <c r="J3829" s="134"/>
    </row>
    <row r="3830" spans="4:10" x14ac:dyDescent="0.3">
      <c r="D3830" s="40"/>
      <c r="J3830" s="134"/>
    </row>
    <row r="3831" spans="4:10" x14ac:dyDescent="0.3">
      <c r="D3831" s="40"/>
      <c r="J3831" s="134"/>
    </row>
    <row r="3832" spans="4:10" x14ac:dyDescent="0.3">
      <c r="D3832" s="40"/>
      <c r="J3832" s="134"/>
    </row>
    <row r="3833" spans="4:10" x14ac:dyDescent="0.3">
      <c r="D3833" s="40"/>
      <c r="J3833" s="134"/>
    </row>
    <row r="3834" spans="4:10" x14ac:dyDescent="0.3">
      <c r="D3834" s="40"/>
      <c r="J3834" s="134"/>
    </row>
    <row r="3835" spans="4:10" x14ac:dyDescent="0.3">
      <c r="D3835" s="40"/>
      <c r="J3835" s="134"/>
    </row>
    <row r="3836" spans="4:10" x14ac:dyDescent="0.3">
      <c r="D3836" s="40"/>
      <c r="J3836" s="134"/>
    </row>
    <row r="3837" spans="4:10" x14ac:dyDescent="0.3">
      <c r="D3837" s="40"/>
      <c r="J3837" s="134"/>
    </row>
    <row r="3838" spans="4:10" x14ac:dyDescent="0.3">
      <c r="D3838" s="40"/>
      <c r="J3838" s="134"/>
    </row>
    <row r="3839" spans="4:10" x14ac:dyDescent="0.3">
      <c r="D3839" s="40"/>
      <c r="J3839" s="134"/>
    </row>
    <row r="3840" spans="4:10" x14ac:dyDescent="0.3">
      <c r="D3840" s="40"/>
      <c r="J3840" s="134"/>
    </row>
    <row r="3841" spans="4:10" x14ac:dyDescent="0.3">
      <c r="D3841" s="40"/>
      <c r="J3841" s="134"/>
    </row>
    <row r="3842" spans="4:10" x14ac:dyDescent="0.3">
      <c r="D3842" s="40"/>
      <c r="J3842" s="134"/>
    </row>
    <row r="3843" spans="4:10" x14ac:dyDescent="0.3">
      <c r="D3843" s="40"/>
      <c r="J3843" s="134"/>
    </row>
    <row r="3844" spans="4:10" x14ac:dyDescent="0.3">
      <c r="D3844" s="40"/>
      <c r="J3844" s="134"/>
    </row>
    <row r="3845" spans="4:10" x14ac:dyDescent="0.3">
      <c r="D3845" s="40"/>
      <c r="J3845" s="134"/>
    </row>
    <row r="3846" spans="4:10" x14ac:dyDescent="0.3">
      <c r="D3846" s="40"/>
      <c r="J3846" s="134"/>
    </row>
    <row r="3847" spans="4:10" x14ac:dyDescent="0.3">
      <c r="D3847" s="40"/>
      <c r="J3847" s="134"/>
    </row>
    <row r="3848" spans="4:10" x14ac:dyDescent="0.3">
      <c r="D3848" s="40"/>
      <c r="J3848" s="134"/>
    </row>
    <row r="3849" spans="4:10" x14ac:dyDescent="0.3">
      <c r="D3849" s="40"/>
      <c r="J3849" s="134"/>
    </row>
    <row r="3850" spans="4:10" x14ac:dyDescent="0.3">
      <c r="D3850" s="40"/>
      <c r="J3850" s="134"/>
    </row>
    <row r="3851" spans="4:10" x14ac:dyDescent="0.3">
      <c r="D3851" s="40"/>
      <c r="J3851" s="134"/>
    </row>
    <row r="3852" spans="4:10" x14ac:dyDescent="0.3">
      <c r="D3852" s="40"/>
      <c r="J3852" s="134"/>
    </row>
    <row r="3853" spans="4:10" x14ac:dyDescent="0.3">
      <c r="D3853" s="40"/>
      <c r="J3853" s="134"/>
    </row>
    <row r="3854" spans="4:10" x14ac:dyDescent="0.3">
      <c r="D3854" s="40"/>
      <c r="J3854" s="134"/>
    </row>
    <row r="3855" spans="4:10" x14ac:dyDescent="0.3">
      <c r="D3855" s="40"/>
      <c r="J3855" s="134"/>
    </row>
    <row r="3856" spans="4:10" x14ac:dyDescent="0.3">
      <c r="D3856" s="40"/>
      <c r="J3856" s="134"/>
    </row>
    <row r="3857" spans="4:10" x14ac:dyDescent="0.3">
      <c r="D3857" s="40"/>
      <c r="J3857" s="134"/>
    </row>
    <row r="3858" spans="4:10" x14ac:dyDescent="0.3">
      <c r="D3858" s="40"/>
      <c r="J3858" s="134"/>
    </row>
    <row r="3859" spans="4:10" x14ac:dyDescent="0.3">
      <c r="D3859" s="40"/>
      <c r="J3859" s="134"/>
    </row>
    <row r="3860" spans="4:10" x14ac:dyDescent="0.3">
      <c r="D3860" s="40"/>
      <c r="J3860" s="134"/>
    </row>
    <row r="3861" spans="4:10" x14ac:dyDescent="0.3">
      <c r="D3861" s="40"/>
      <c r="J3861" s="134"/>
    </row>
    <row r="3862" spans="4:10" x14ac:dyDescent="0.3">
      <c r="D3862" s="40"/>
      <c r="J3862" s="134"/>
    </row>
    <row r="3863" spans="4:10" x14ac:dyDescent="0.3">
      <c r="D3863" s="40"/>
      <c r="J3863" s="134"/>
    </row>
    <row r="3864" spans="4:10" x14ac:dyDescent="0.3">
      <c r="D3864" s="40"/>
      <c r="J3864" s="134"/>
    </row>
    <row r="3865" spans="4:10" x14ac:dyDescent="0.3">
      <c r="D3865" s="40"/>
      <c r="J3865" s="134"/>
    </row>
    <row r="3866" spans="4:10" x14ac:dyDescent="0.3">
      <c r="D3866" s="40"/>
      <c r="J3866" s="134"/>
    </row>
    <row r="3867" spans="4:10" x14ac:dyDescent="0.3">
      <c r="D3867" s="40"/>
      <c r="J3867" s="134"/>
    </row>
    <row r="3868" spans="4:10" x14ac:dyDescent="0.3">
      <c r="D3868" s="40"/>
      <c r="J3868" s="134"/>
    </row>
    <row r="3869" spans="4:10" x14ac:dyDescent="0.3">
      <c r="D3869" s="40"/>
      <c r="J3869" s="134"/>
    </row>
    <row r="3870" spans="4:10" x14ac:dyDescent="0.3">
      <c r="D3870" s="40"/>
      <c r="J3870" s="134"/>
    </row>
    <row r="3871" spans="4:10" x14ac:dyDescent="0.3">
      <c r="D3871" s="40"/>
      <c r="J3871" s="134"/>
    </row>
    <row r="3872" spans="4:10" x14ac:dyDescent="0.3">
      <c r="D3872" s="40"/>
      <c r="J3872" s="134"/>
    </row>
    <row r="3873" spans="4:10" x14ac:dyDescent="0.3">
      <c r="D3873" s="40"/>
      <c r="J3873" s="134"/>
    </row>
    <row r="3874" spans="4:10" x14ac:dyDescent="0.3">
      <c r="D3874" s="40"/>
      <c r="J3874" s="134"/>
    </row>
    <row r="3875" spans="4:10" x14ac:dyDescent="0.3">
      <c r="D3875" s="40"/>
      <c r="J3875" s="134"/>
    </row>
    <row r="3876" spans="4:10" x14ac:dyDescent="0.3">
      <c r="D3876" s="40"/>
      <c r="J3876" s="134"/>
    </row>
    <row r="3877" spans="4:10" x14ac:dyDescent="0.3">
      <c r="D3877" s="40"/>
      <c r="J3877" s="134"/>
    </row>
    <row r="3878" spans="4:10" x14ac:dyDescent="0.3">
      <c r="D3878" s="40"/>
      <c r="J3878" s="134"/>
    </row>
    <row r="3879" spans="4:10" x14ac:dyDescent="0.3">
      <c r="D3879" s="40"/>
      <c r="J3879" s="134"/>
    </row>
    <row r="3880" spans="4:10" x14ac:dyDescent="0.3">
      <c r="D3880" s="40"/>
      <c r="J3880" s="134"/>
    </row>
    <row r="3881" spans="4:10" x14ac:dyDescent="0.3">
      <c r="D3881" s="40"/>
      <c r="J3881" s="134"/>
    </row>
    <row r="3882" spans="4:10" x14ac:dyDescent="0.3">
      <c r="D3882" s="40"/>
      <c r="J3882" s="134"/>
    </row>
    <row r="3883" spans="4:10" x14ac:dyDescent="0.3">
      <c r="D3883" s="40"/>
      <c r="J3883" s="134"/>
    </row>
    <row r="3884" spans="4:10" x14ac:dyDescent="0.3">
      <c r="D3884" s="40"/>
      <c r="J3884" s="134"/>
    </row>
    <row r="3885" spans="4:10" x14ac:dyDescent="0.3">
      <c r="D3885" s="40"/>
      <c r="J3885" s="134"/>
    </row>
    <row r="3886" spans="4:10" x14ac:dyDescent="0.3">
      <c r="D3886" s="40"/>
      <c r="J3886" s="134"/>
    </row>
    <row r="3887" spans="4:10" x14ac:dyDescent="0.3">
      <c r="D3887" s="40"/>
      <c r="J3887" s="134"/>
    </row>
    <row r="3888" spans="4:10" x14ac:dyDescent="0.3">
      <c r="D3888" s="40"/>
      <c r="J3888" s="134"/>
    </row>
    <row r="3889" spans="4:10" x14ac:dyDescent="0.3">
      <c r="D3889" s="40"/>
      <c r="J3889" s="134"/>
    </row>
    <row r="3890" spans="4:10" x14ac:dyDescent="0.3">
      <c r="D3890" s="40"/>
      <c r="J3890" s="134"/>
    </row>
    <row r="3891" spans="4:10" x14ac:dyDescent="0.3">
      <c r="D3891" s="40"/>
      <c r="J3891" s="134"/>
    </row>
    <row r="3892" spans="4:10" x14ac:dyDescent="0.3">
      <c r="D3892" s="40"/>
      <c r="J3892" s="134"/>
    </row>
    <row r="3893" spans="4:10" x14ac:dyDescent="0.3">
      <c r="D3893" s="40"/>
      <c r="J3893" s="134"/>
    </row>
    <row r="3894" spans="4:10" x14ac:dyDescent="0.3">
      <c r="D3894" s="40"/>
      <c r="J3894" s="134"/>
    </row>
    <row r="3895" spans="4:10" x14ac:dyDescent="0.3">
      <c r="D3895" s="40"/>
      <c r="J3895" s="134"/>
    </row>
    <row r="3896" spans="4:10" x14ac:dyDescent="0.3">
      <c r="D3896" s="40"/>
      <c r="J3896" s="134"/>
    </row>
    <row r="3897" spans="4:10" x14ac:dyDescent="0.3">
      <c r="D3897" s="40"/>
      <c r="J3897" s="134"/>
    </row>
    <row r="3898" spans="4:10" x14ac:dyDescent="0.3">
      <c r="D3898" s="40"/>
      <c r="J3898" s="134"/>
    </row>
    <row r="3899" spans="4:10" x14ac:dyDescent="0.3">
      <c r="D3899" s="40"/>
      <c r="J3899" s="134"/>
    </row>
    <row r="3900" spans="4:10" x14ac:dyDescent="0.3">
      <c r="D3900" s="40"/>
      <c r="J3900" s="134"/>
    </row>
    <row r="3901" spans="4:10" x14ac:dyDescent="0.3">
      <c r="D3901" s="40"/>
      <c r="J3901" s="134"/>
    </row>
    <row r="3902" spans="4:10" x14ac:dyDescent="0.3">
      <c r="D3902" s="40"/>
      <c r="J3902" s="134"/>
    </row>
    <row r="3903" spans="4:10" x14ac:dyDescent="0.3">
      <c r="D3903" s="40"/>
      <c r="J3903" s="134"/>
    </row>
    <row r="3904" spans="4:10" x14ac:dyDescent="0.3">
      <c r="D3904" s="40"/>
      <c r="J3904" s="134"/>
    </row>
    <row r="3905" spans="4:10" x14ac:dyDescent="0.3">
      <c r="D3905" s="40"/>
      <c r="J3905" s="134"/>
    </row>
    <row r="3906" spans="4:10" x14ac:dyDescent="0.3">
      <c r="D3906" s="40"/>
      <c r="J3906" s="134"/>
    </row>
    <row r="3907" spans="4:10" x14ac:dyDescent="0.3">
      <c r="D3907" s="40"/>
      <c r="J3907" s="134"/>
    </row>
    <row r="3908" spans="4:10" x14ac:dyDescent="0.3">
      <c r="D3908" s="40"/>
      <c r="J3908" s="134"/>
    </row>
    <row r="3909" spans="4:10" x14ac:dyDescent="0.3">
      <c r="D3909" s="40"/>
      <c r="J3909" s="134"/>
    </row>
    <row r="3910" spans="4:10" x14ac:dyDescent="0.3">
      <c r="D3910" s="40"/>
      <c r="J3910" s="134"/>
    </row>
    <row r="3911" spans="4:10" x14ac:dyDescent="0.3">
      <c r="D3911" s="40"/>
      <c r="J3911" s="134"/>
    </row>
    <row r="3912" spans="4:10" x14ac:dyDescent="0.3">
      <c r="D3912" s="40"/>
      <c r="J3912" s="134"/>
    </row>
    <row r="3913" spans="4:10" x14ac:dyDescent="0.3">
      <c r="D3913" s="40"/>
      <c r="J3913" s="134"/>
    </row>
    <row r="3914" spans="4:10" x14ac:dyDescent="0.3">
      <c r="D3914" s="40"/>
      <c r="J3914" s="134"/>
    </row>
    <row r="3915" spans="4:10" x14ac:dyDescent="0.3">
      <c r="D3915" s="40"/>
      <c r="J3915" s="134"/>
    </row>
    <row r="3916" spans="4:10" x14ac:dyDescent="0.3">
      <c r="D3916" s="40"/>
      <c r="J3916" s="134"/>
    </row>
    <row r="3917" spans="4:10" x14ac:dyDescent="0.3">
      <c r="D3917" s="40"/>
      <c r="J3917" s="134"/>
    </row>
    <row r="3918" spans="4:10" x14ac:dyDescent="0.3">
      <c r="D3918" s="40"/>
      <c r="J3918" s="134"/>
    </row>
    <row r="3919" spans="4:10" x14ac:dyDescent="0.3">
      <c r="D3919" s="40"/>
      <c r="J3919" s="134"/>
    </row>
    <row r="3920" spans="4:10" x14ac:dyDescent="0.3">
      <c r="D3920" s="40"/>
      <c r="J3920" s="134"/>
    </row>
    <row r="3921" spans="4:10" x14ac:dyDescent="0.3">
      <c r="D3921" s="40"/>
      <c r="J3921" s="134"/>
    </row>
    <row r="3922" spans="4:10" x14ac:dyDescent="0.3">
      <c r="D3922" s="40"/>
      <c r="J3922" s="134"/>
    </row>
    <row r="3923" spans="4:10" x14ac:dyDescent="0.3">
      <c r="D3923" s="40"/>
      <c r="J3923" s="134"/>
    </row>
    <row r="3924" spans="4:10" x14ac:dyDescent="0.3">
      <c r="D3924" s="40"/>
      <c r="J3924" s="134"/>
    </row>
    <row r="3925" spans="4:10" x14ac:dyDescent="0.3">
      <c r="D3925" s="40"/>
      <c r="J3925" s="134"/>
    </row>
    <row r="3926" spans="4:10" x14ac:dyDescent="0.3">
      <c r="D3926" s="40"/>
      <c r="J3926" s="134"/>
    </row>
    <row r="3927" spans="4:10" x14ac:dyDescent="0.3">
      <c r="D3927" s="40"/>
      <c r="J3927" s="134"/>
    </row>
    <row r="3928" spans="4:10" x14ac:dyDescent="0.3">
      <c r="D3928" s="40"/>
      <c r="J3928" s="134"/>
    </row>
    <row r="3929" spans="4:10" x14ac:dyDescent="0.3">
      <c r="D3929" s="40"/>
      <c r="J3929" s="134"/>
    </row>
    <row r="3930" spans="4:10" x14ac:dyDescent="0.3">
      <c r="D3930" s="40"/>
      <c r="J3930" s="134"/>
    </row>
    <row r="3931" spans="4:10" x14ac:dyDescent="0.3">
      <c r="D3931" s="40"/>
      <c r="J3931" s="134"/>
    </row>
    <row r="3932" spans="4:10" x14ac:dyDescent="0.3">
      <c r="D3932" s="40"/>
      <c r="J3932" s="134"/>
    </row>
    <row r="3933" spans="4:10" x14ac:dyDescent="0.3">
      <c r="D3933" s="40"/>
      <c r="J3933" s="134"/>
    </row>
    <row r="3934" spans="4:10" x14ac:dyDescent="0.3">
      <c r="D3934" s="40"/>
      <c r="J3934" s="134"/>
    </row>
    <row r="3935" spans="4:10" x14ac:dyDescent="0.3">
      <c r="D3935" s="40"/>
      <c r="J3935" s="134"/>
    </row>
    <row r="3936" spans="4:10" x14ac:dyDescent="0.3">
      <c r="D3936" s="40"/>
      <c r="J3936" s="134"/>
    </row>
    <row r="3937" spans="4:10" x14ac:dyDescent="0.3">
      <c r="D3937" s="40"/>
      <c r="J3937" s="134"/>
    </row>
    <row r="3938" spans="4:10" x14ac:dyDescent="0.3">
      <c r="D3938" s="40"/>
      <c r="J3938" s="134"/>
    </row>
    <row r="3939" spans="4:10" x14ac:dyDescent="0.3">
      <c r="D3939" s="40"/>
      <c r="J3939" s="134"/>
    </row>
    <row r="3940" spans="4:10" x14ac:dyDescent="0.3">
      <c r="D3940" s="40"/>
      <c r="J3940" s="134"/>
    </row>
    <row r="3941" spans="4:10" x14ac:dyDescent="0.3">
      <c r="D3941" s="40"/>
      <c r="J3941" s="134"/>
    </row>
    <row r="3942" spans="4:10" x14ac:dyDescent="0.3">
      <c r="D3942" s="40"/>
      <c r="J3942" s="134"/>
    </row>
    <row r="3943" spans="4:10" x14ac:dyDescent="0.3">
      <c r="D3943" s="40"/>
      <c r="J3943" s="134"/>
    </row>
    <row r="3944" spans="4:10" x14ac:dyDescent="0.3">
      <c r="D3944" s="40"/>
      <c r="J3944" s="134"/>
    </row>
    <row r="3945" spans="4:10" x14ac:dyDescent="0.3">
      <c r="D3945" s="40"/>
      <c r="J3945" s="134"/>
    </row>
    <row r="3946" spans="4:10" x14ac:dyDescent="0.3">
      <c r="D3946" s="40"/>
      <c r="J3946" s="134"/>
    </row>
    <row r="3947" spans="4:10" x14ac:dyDescent="0.3">
      <c r="D3947" s="40"/>
      <c r="J3947" s="134"/>
    </row>
    <row r="3948" spans="4:10" x14ac:dyDescent="0.3">
      <c r="D3948" s="40"/>
      <c r="J3948" s="134"/>
    </row>
    <row r="3949" spans="4:10" x14ac:dyDescent="0.3">
      <c r="D3949" s="40"/>
      <c r="J3949" s="134"/>
    </row>
    <row r="3950" spans="4:10" x14ac:dyDescent="0.3">
      <c r="D3950" s="40"/>
      <c r="J3950" s="134"/>
    </row>
    <row r="3951" spans="4:10" x14ac:dyDescent="0.3">
      <c r="D3951" s="40"/>
      <c r="J3951" s="134"/>
    </row>
    <row r="3952" spans="4:10" x14ac:dyDescent="0.3">
      <c r="D3952" s="40"/>
      <c r="J3952" s="134"/>
    </row>
    <row r="3953" spans="4:10" x14ac:dyDescent="0.3">
      <c r="D3953" s="40"/>
      <c r="J3953" s="134"/>
    </row>
    <row r="3954" spans="4:10" x14ac:dyDescent="0.3">
      <c r="D3954" s="40"/>
      <c r="J3954" s="134"/>
    </row>
    <row r="3955" spans="4:10" x14ac:dyDescent="0.3">
      <c r="D3955" s="40"/>
      <c r="J3955" s="134"/>
    </row>
    <row r="3956" spans="4:10" x14ac:dyDescent="0.3">
      <c r="D3956" s="40"/>
      <c r="J3956" s="134"/>
    </row>
    <row r="3957" spans="4:10" x14ac:dyDescent="0.3">
      <c r="D3957" s="40"/>
      <c r="J3957" s="134"/>
    </row>
    <row r="3958" spans="4:10" x14ac:dyDescent="0.3">
      <c r="D3958" s="40"/>
      <c r="J3958" s="134"/>
    </row>
    <row r="3959" spans="4:10" x14ac:dyDescent="0.3">
      <c r="D3959" s="40"/>
      <c r="J3959" s="134"/>
    </row>
    <row r="3960" spans="4:10" x14ac:dyDescent="0.3">
      <c r="D3960" s="40"/>
      <c r="J3960" s="134"/>
    </row>
    <row r="3961" spans="4:10" x14ac:dyDescent="0.3">
      <c r="D3961" s="40"/>
      <c r="J3961" s="134"/>
    </row>
    <row r="3962" spans="4:10" x14ac:dyDescent="0.3">
      <c r="D3962" s="40"/>
      <c r="J3962" s="134"/>
    </row>
    <row r="3963" spans="4:10" x14ac:dyDescent="0.3">
      <c r="D3963" s="40"/>
      <c r="J3963" s="134"/>
    </row>
    <row r="3964" spans="4:10" x14ac:dyDescent="0.3">
      <c r="D3964" s="40"/>
      <c r="J3964" s="134"/>
    </row>
    <row r="3965" spans="4:10" x14ac:dyDescent="0.3">
      <c r="D3965" s="40"/>
      <c r="J3965" s="134"/>
    </row>
    <row r="3966" spans="4:10" x14ac:dyDescent="0.3">
      <c r="D3966" s="40"/>
      <c r="J3966" s="134"/>
    </row>
    <row r="3967" spans="4:10" x14ac:dyDescent="0.3">
      <c r="D3967" s="40"/>
      <c r="J3967" s="134"/>
    </row>
    <row r="3968" spans="4:10" x14ac:dyDescent="0.3">
      <c r="D3968" s="40"/>
      <c r="J3968" s="134"/>
    </row>
    <row r="3969" spans="4:10" x14ac:dyDescent="0.3">
      <c r="D3969" s="40"/>
      <c r="J3969" s="134"/>
    </row>
    <row r="3970" spans="4:10" x14ac:dyDescent="0.3">
      <c r="D3970" s="40"/>
      <c r="J3970" s="134"/>
    </row>
    <row r="3971" spans="4:10" x14ac:dyDescent="0.3">
      <c r="D3971" s="40"/>
      <c r="J3971" s="134"/>
    </row>
    <row r="3972" spans="4:10" x14ac:dyDescent="0.3">
      <c r="D3972" s="40"/>
      <c r="J3972" s="134"/>
    </row>
    <row r="3973" spans="4:10" x14ac:dyDescent="0.3">
      <c r="D3973" s="40"/>
      <c r="J3973" s="134"/>
    </row>
    <row r="3974" spans="4:10" x14ac:dyDescent="0.3">
      <c r="D3974" s="40"/>
      <c r="J3974" s="134"/>
    </row>
    <row r="3975" spans="4:10" x14ac:dyDescent="0.3">
      <c r="D3975" s="40"/>
      <c r="J3975" s="134"/>
    </row>
    <row r="3976" spans="4:10" x14ac:dyDescent="0.3">
      <c r="D3976" s="40"/>
      <c r="J3976" s="134"/>
    </row>
    <row r="3977" spans="4:10" x14ac:dyDescent="0.3">
      <c r="D3977" s="40"/>
      <c r="J3977" s="134"/>
    </row>
    <row r="3978" spans="4:10" x14ac:dyDescent="0.3">
      <c r="D3978" s="40"/>
      <c r="J3978" s="134"/>
    </row>
    <row r="3979" spans="4:10" x14ac:dyDescent="0.3">
      <c r="D3979" s="40"/>
      <c r="J3979" s="134"/>
    </row>
    <row r="3980" spans="4:10" x14ac:dyDescent="0.3">
      <c r="D3980" s="40"/>
      <c r="J3980" s="134"/>
    </row>
    <row r="3981" spans="4:10" x14ac:dyDescent="0.3">
      <c r="D3981" s="40"/>
      <c r="J3981" s="134"/>
    </row>
    <row r="3982" spans="4:10" x14ac:dyDescent="0.3">
      <c r="D3982" s="40"/>
      <c r="J3982" s="134"/>
    </row>
    <row r="3983" spans="4:10" x14ac:dyDescent="0.3">
      <c r="D3983" s="40"/>
      <c r="J3983" s="134"/>
    </row>
    <row r="3984" spans="4:10" x14ac:dyDescent="0.3">
      <c r="D3984" s="40"/>
      <c r="J3984" s="134"/>
    </row>
    <row r="3985" spans="4:10" x14ac:dyDescent="0.3">
      <c r="D3985" s="40"/>
      <c r="J3985" s="134"/>
    </row>
    <row r="3986" spans="4:10" x14ac:dyDescent="0.3">
      <c r="D3986" s="40"/>
      <c r="J3986" s="134"/>
    </row>
    <row r="3987" spans="4:10" x14ac:dyDescent="0.3">
      <c r="D3987" s="40"/>
      <c r="J3987" s="134"/>
    </row>
    <row r="3988" spans="4:10" x14ac:dyDescent="0.3">
      <c r="D3988" s="40"/>
      <c r="J3988" s="134"/>
    </row>
    <row r="3989" spans="4:10" x14ac:dyDescent="0.3">
      <c r="D3989" s="40"/>
      <c r="J3989" s="134"/>
    </row>
    <row r="3990" spans="4:10" x14ac:dyDescent="0.3">
      <c r="D3990" s="40"/>
      <c r="J3990" s="134"/>
    </row>
    <row r="3991" spans="4:10" x14ac:dyDescent="0.3">
      <c r="D3991" s="40"/>
      <c r="J3991" s="134"/>
    </row>
    <row r="3992" spans="4:10" x14ac:dyDescent="0.3">
      <c r="D3992" s="40"/>
      <c r="J3992" s="134"/>
    </row>
    <row r="3993" spans="4:10" x14ac:dyDescent="0.3">
      <c r="D3993" s="40"/>
      <c r="J3993" s="134"/>
    </row>
    <row r="3994" spans="4:10" x14ac:dyDescent="0.3">
      <c r="D3994" s="40"/>
      <c r="J3994" s="134"/>
    </row>
    <row r="3995" spans="4:10" x14ac:dyDescent="0.3">
      <c r="D3995" s="40"/>
      <c r="J3995" s="134"/>
    </row>
    <row r="3996" spans="4:10" x14ac:dyDescent="0.3">
      <c r="D3996" s="40"/>
      <c r="J3996" s="134"/>
    </row>
    <row r="3997" spans="4:10" x14ac:dyDescent="0.3">
      <c r="D3997" s="40"/>
      <c r="J3997" s="134"/>
    </row>
    <row r="3998" spans="4:10" x14ac:dyDescent="0.3">
      <c r="D3998" s="40"/>
      <c r="J3998" s="134"/>
    </row>
    <row r="3999" spans="4:10" x14ac:dyDescent="0.3">
      <c r="D3999" s="40"/>
      <c r="J3999" s="134"/>
    </row>
    <row r="4000" spans="4:10" x14ac:dyDescent="0.3">
      <c r="D4000" s="40"/>
      <c r="J4000" s="134"/>
    </row>
    <row r="4001" spans="4:10" x14ac:dyDescent="0.3">
      <c r="D4001" s="40"/>
      <c r="J4001" s="134"/>
    </row>
    <row r="4002" spans="4:10" x14ac:dyDescent="0.3">
      <c r="D4002" s="40"/>
      <c r="J4002" s="134"/>
    </row>
    <row r="4003" spans="4:10" x14ac:dyDescent="0.3">
      <c r="D4003" s="40"/>
      <c r="J4003" s="134"/>
    </row>
    <row r="4004" spans="4:10" x14ac:dyDescent="0.3">
      <c r="D4004" s="40"/>
      <c r="J4004" s="134"/>
    </row>
    <row r="4005" spans="4:10" x14ac:dyDescent="0.3">
      <c r="D4005" s="40"/>
      <c r="J4005" s="134"/>
    </row>
    <row r="4006" spans="4:10" x14ac:dyDescent="0.3">
      <c r="D4006" s="40"/>
      <c r="J4006" s="134"/>
    </row>
    <row r="4007" spans="4:10" x14ac:dyDescent="0.3">
      <c r="D4007" s="40"/>
      <c r="J4007" s="134"/>
    </row>
    <row r="4008" spans="4:10" x14ac:dyDescent="0.3">
      <c r="D4008" s="40"/>
      <c r="J4008" s="134"/>
    </row>
    <row r="4009" spans="4:10" x14ac:dyDescent="0.3">
      <c r="D4009" s="40"/>
      <c r="J4009" s="134"/>
    </row>
    <row r="4010" spans="4:10" x14ac:dyDescent="0.3">
      <c r="D4010" s="40"/>
      <c r="J4010" s="134"/>
    </row>
    <row r="4011" spans="4:10" x14ac:dyDescent="0.3">
      <c r="D4011" s="40"/>
      <c r="J4011" s="134"/>
    </row>
    <row r="4012" spans="4:10" x14ac:dyDescent="0.3">
      <c r="D4012" s="40"/>
      <c r="J4012" s="134"/>
    </row>
    <row r="4013" spans="4:10" x14ac:dyDescent="0.3">
      <c r="D4013" s="40"/>
      <c r="J4013" s="134"/>
    </row>
    <row r="4014" spans="4:10" x14ac:dyDescent="0.3">
      <c r="D4014" s="40"/>
      <c r="J4014" s="134"/>
    </row>
    <row r="4015" spans="4:10" x14ac:dyDescent="0.3">
      <c r="D4015" s="40"/>
      <c r="J4015" s="134"/>
    </row>
    <row r="4016" spans="4:10" x14ac:dyDescent="0.3">
      <c r="D4016" s="40"/>
      <c r="J4016" s="134"/>
    </row>
    <row r="4017" spans="4:10" x14ac:dyDescent="0.3">
      <c r="D4017" s="40"/>
      <c r="J4017" s="134"/>
    </row>
    <row r="4018" spans="4:10" x14ac:dyDescent="0.3">
      <c r="D4018" s="40"/>
      <c r="J4018" s="134"/>
    </row>
    <row r="4019" spans="4:10" x14ac:dyDescent="0.3">
      <c r="D4019" s="40"/>
      <c r="J4019" s="134"/>
    </row>
    <row r="4020" spans="4:10" x14ac:dyDescent="0.3">
      <c r="D4020" s="40"/>
      <c r="J4020" s="134"/>
    </row>
    <row r="4021" spans="4:10" x14ac:dyDescent="0.3">
      <c r="D4021" s="40"/>
      <c r="J4021" s="134"/>
    </row>
    <row r="4022" spans="4:10" x14ac:dyDescent="0.3">
      <c r="D4022" s="40"/>
      <c r="J4022" s="134"/>
    </row>
    <row r="4023" spans="4:10" x14ac:dyDescent="0.3">
      <c r="D4023" s="40"/>
      <c r="J4023" s="134"/>
    </row>
    <row r="4024" spans="4:10" x14ac:dyDescent="0.3">
      <c r="D4024" s="40"/>
      <c r="J4024" s="134"/>
    </row>
    <row r="4025" spans="4:10" x14ac:dyDescent="0.3">
      <c r="D4025" s="40"/>
      <c r="J4025" s="134"/>
    </row>
    <row r="4026" spans="4:10" x14ac:dyDescent="0.3">
      <c r="D4026" s="40"/>
      <c r="J4026" s="134"/>
    </row>
    <row r="4027" spans="4:10" x14ac:dyDescent="0.3">
      <c r="D4027" s="40"/>
      <c r="J4027" s="134"/>
    </row>
    <row r="4028" spans="4:10" x14ac:dyDescent="0.3">
      <c r="D4028" s="40"/>
      <c r="J4028" s="134"/>
    </row>
    <row r="4029" spans="4:10" x14ac:dyDescent="0.3">
      <c r="D4029" s="40"/>
      <c r="J4029" s="134"/>
    </row>
    <row r="4030" spans="4:10" x14ac:dyDescent="0.3">
      <c r="D4030" s="40"/>
      <c r="J4030" s="134"/>
    </row>
    <row r="4031" spans="4:10" x14ac:dyDescent="0.3">
      <c r="D4031" s="40"/>
      <c r="J4031" s="134"/>
    </row>
    <row r="4032" spans="4:10" x14ac:dyDescent="0.3">
      <c r="D4032" s="40"/>
      <c r="J4032" s="134"/>
    </row>
    <row r="4033" spans="4:10" x14ac:dyDescent="0.3">
      <c r="D4033" s="40"/>
      <c r="J4033" s="134"/>
    </row>
    <row r="4034" spans="4:10" x14ac:dyDescent="0.3">
      <c r="D4034" s="40"/>
      <c r="J4034" s="134"/>
    </row>
    <row r="4035" spans="4:10" x14ac:dyDescent="0.3">
      <c r="D4035" s="40"/>
      <c r="J4035" s="134"/>
    </row>
    <row r="4036" spans="4:10" x14ac:dyDescent="0.3">
      <c r="D4036" s="40"/>
      <c r="J4036" s="134"/>
    </row>
    <row r="4037" spans="4:10" x14ac:dyDescent="0.3">
      <c r="D4037" s="40"/>
      <c r="J4037" s="134"/>
    </row>
    <row r="4038" spans="4:10" x14ac:dyDescent="0.3">
      <c r="D4038" s="40"/>
      <c r="J4038" s="134"/>
    </row>
    <row r="4039" spans="4:10" x14ac:dyDescent="0.3">
      <c r="D4039" s="40"/>
      <c r="J4039" s="134"/>
    </row>
    <row r="4040" spans="4:10" x14ac:dyDescent="0.3">
      <c r="D4040" s="40"/>
      <c r="J4040" s="134"/>
    </row>
    <row r="4041" spans="4:10" x14ac:dyDescent="0.3">
      <c r="D4041" s="40"/>
      <c r="J4041" s="134"/>
    </row>
    <row r="4042" spans="4:10" x14ac:dyDescent="0.3">
      <c r="D4042" s="40"/>
      <c r="J4042" s="134"/>
    </row>
    <row r="4043" spans="4:10" x14ac:dyDescent="0.3">
      <c r="D4043" s="40"/>
      <c r="J4043" s="134"/>
    </row>
    <row r="4044" spans="4:10" x14ac:dyDescent="0.3">
      <c r="D4044" s="40"/>
      <c r="J4044" s="134"/>
    </row>
    <row r="4045" spans="4:10" x14ac:dyDescent="0.3">
      <c r="D4045" s="40"/>
      <c r="J4045" s="134"/>
    </row>
    <row r="4046" spans="4:10" x14ac:dyDescent="0.3">
      <c r="D4046" s="40"/>
      <c r="J4046" s="134"/>
    </row>
    <row r="4047" spans="4:10" x14ac:dyDescent="0.3">
      <c r="D4047" s="40"/>
      <c r="J4047" s="134"/>
    </row>
    <row r="4048" spans="4:10" x14ac:dyDescent="0.3">
      <c r="D4048" s="40"/>
      <c r="J4048" s="134"/>
    </row>
    <row r="4049" spans="4:10" x14ac:dyDescent="0.3">
      <c r="D4049" s="40"/>
      <c r="J4049" s="134"/>
    </row>
    <row r="4050" spans="4:10" x14ac:dyDescent="0.3">
      <c r="D4050" s="40"/>
      <c r="J4050" s="134"/>
    </row>
    <row r="4051" spans="4:10" x14ac:dyDescent="0.3">
      <c r="D4051" s="40"/>
      <c r="J4051" s="134"/>
    </row>
    <row r="4052" spans="4:10" x14ac:dyDescent="0.3">
      <c r="D4052" s="40"/>
      <c r="J4052" s="134"/>
    </row>
    <row r="4053" spans="4:10" x14ac:dyDescent="0.3">
      <c r="D4053" s="40"/>
      <c r="J4053" s="134"/>
    </row>
    <row r="4054" spans="4:10" x14ac:dyDescent="0.3">
      <c r="D4054" s="40"/>
      <c r="J4054" s="134"/>
    </row>
    <row r="4055" spans="4:10" x14ac:dyDescent="0.3">
      <c r="D4055" s="40"/>
      <c r="J4055" s="134"/>
    </row>
    <row r="4056" spans="4:10" x14ac:dyDescent="0.3">
      <c r="D4056" s="40"/>
      <c r="J4056" s="134"/>
    </row>
    <row r="4057" spans="4:10" x14ac:dyDescent="0.3">
      <c r="D4057" s="40"/>
      <c r="J4057" s="134"/>
    </row>
    <row r="4058" spans="4:10" x14ac:dyDescent="0.3">
      <c r="D4058" s="40"/>
      <c r="J4058" s="134"/>
    </row>
    <row r="4059" spans="4:10" x14ac:dyDescent="0.3">
      <c r="D4059" s="40"/>
      <c r="J4059" s="134"/>
    </row>
    <row r="4060" spans="4:10" x14ac:dyDescent="0.3">
      <c r="D4060" s="40"/>
      <c r="J4060" s="134"/>
    </row>
    <row r="4061" spans="4:10" x14ac:dyDescent="0.3">
      <c r="D4061" s="40"/>
      <c r="J4061" s="134"/>
    </row>
    <row r="4062" spans="4:10" x14ac:dyDescent="0.3">
      <c r="D4062" s="40"/>
      <c r="J4062" s="134"/>
    </row>
    <row r="4063" spans="4:10" x14ac:dyDescent="0.3">
      <c r="D4063" s="40"/>
      <c r="J4063" s="134"/>
    </row>
    <row r="4064" spans="4:10" x14ac:dyDescent="0.3">
      <c r="D4064" s="40"/>
      <c r="J4064" s="134"/>
    </row>
    <row r="4065" spans="4:10" x14ac:dyDescent="0.3">
      <c r="D4065" s="40"/>
      <c r="J4065" s="134"/>
    </row>
    <row r="4066" spans="4:10" x14ac:dyDescent="0.3">
      <c r="D4066" s="40"/>
      <c r="J4066" s="134"/>
    </row>
    <row r="4067" spans="4:10" x14ac:dyDescent="0.3">
      <c r="D4067" s="40"/>
      <c r="J4067" s="134"/>
    </row>
    <row r="4068" spans="4:10" x14ac:dyDescent="0.3">
      <c r="D4068" s="40"/>
      <c r="J4068" s="134"/>
    </row>
    <row r="4069" spans="4:10" x14ac:dyDescent="0.3">
      <c r="D4069" s="40"/>
      <c r="J4069" s="134"/>
    </row>
    <row r="4070" spans="4:10" x14ac:dyDescent="0.3">
      <c r="D4070" s="40"/>
      <c r="J4070" s="134"/>
    </row>
    <row r="4071" spans="4:10" x14ac:dyDescent="0.3">
      <c r="D4071" s="40"/>
      <c r="J4071" s="134"/>
    </row>
    <row r="4072" spans="4:10" x14ac:dyDescent="0.3">
      <c r="D4072" s="40"/>
      <c r="J4072" s="134"/>
    </row>
    <row r="4073" spans="4:10" x14ac:dyDescent="0.3">
      <c r="D4073" s="40"/>
      <c r="J4073" s="134"/>
    </row>
    <row r="4074" spans="4:10" x14ac:dyDescent="0.3">
      <c r="D4074" s="40"/>
      <c r="J4074" s="134"/>
    </row>
    <row r="4075" spans="4:10" x14ac:dyDescent="0.3">
      <c r="D4075" s="40"/>
      <c r="J4075" s="134"/>
    </row>
    <row r="4076" spans="4:10" x14ac:dyDescent="0.3">
      <c r="D4076" s="40"/>
      <c r="J4076" s="134"/>
    </row>
    <row r="4077" spans="4:10" x14ac:dyDescent="0.3">
      <c r="D4077" s="40"/>
      <c r="J4077" s="134"/>
    </row>
    <row r="4078" spans="4:10" x14ac:dyDescent="0.3">
      <c r="D4078" s="40"/>
      <c r="J4078" s="134"/>
    </row>
    <row r="4079" spans="4:10" x14ac:dyDescent="0.3">
      <c r="D4079" s="40"/>
      <c r="J4079" s="134"/>
    </row>
    <row r="4080" spans="4:10" x14ac:dyDescent="0.3">
      <c r="D4080" s="40"/>
      <c r="J4080" s="134"/>
    </row>
    <row r="4081" spans="4:10" x14ac:dyDescent="0.3">
      <c r="D4081" s="40"/>
      <c r="J4081" s="134"/>
    </row>
    <row r="4082" spans="4:10" x14ac:dyDescent="0.3">
      <c r="D4082" s="40"/>
      <c r="J4082" s="134"/>
    </row>
    <row r="4083" spans="4:10" x14ac:dyDescent="0.3">
      <c r="D4083" s="40"/>
      <c r="J4083" s="134"/>
    </row>
    <row r="4084" spans="4:10" x14ac:dyDescent="0.3">
      <c r="D4084" s="40"/>
      <c r="J4084" s="134"/>
    </row>
    <row r="4085" spans="4:10" x14ac:dyDescent="0.3">
      <c r="D4085" s="40"/>
      <c r="J4085" s="134"/>
    </row>
    <row r="4086" spans="4:10" x14ac:dyDescent="0.3">
      <c r="D4086" s="40"/>
      <c r="J4086" s="134"/>
    </row>
    <row r="4087" spans="4:10" x14ac:dyDescent="0.3">
      <c r="D4087" s="40"/>
      <c r="J4087" s="134"/>
    </row>
    <row r="4088" spans="4:10" x14ac:dyDescent="0.3">
      <c r="D4088" s="40"/>
      <c r="J4088" s="134"/>
    </row>
    <row r="4089" spans="4:10" x14ac:dyDescent="0.3">
      <c r="D4089" s="40"/>
      <c r="J4089" s="134"/>
    </row>
    <row r="4090" spans="4:10" x14ac:dyDescent="0.3">
      <c r="D4090" s="40"/>
      <c r="J4090" s="134"/>
    </row>
    <row r="4091" spans="4:10" x14ac:dyDescent="0.3">
      <c r="D4091" s="40"/>
      <c r="J4091" s="134"/>
    </row>
    <row r="4092" spans="4:10" x14ac:dyDescent="0.3">
      <c r="D4092" s="40"/>
      <c r="J4092" s="134"/>
    </row>
    <row r="4093" spans="4:10" x14ac:dyDescent="0.3">
      <c r="D4093" s="40"/>
      <c r="J4093" s="134"/>
    </row>
    <row r="4094" spans="4:10" x14ac:dyDescent="0.3">
      <c r="D4094" s="40"/>
      <c r="J4094" s="134"/>
    </row>
    <row r="4095" spans="4:10" x14ac:dyDescent="0.3">
      <c r="D4095" s="40"/>
      <c r="J4095" s="134"/>
    </row>
    <row r="4096" spans="4:10" x14ac:dyDescent="0.3">
      <c r="D4096" s="40"/>
      <c r="J4096" s="134"/>
    </row>
    <row r="4097" spans="4:10" x14ac:dyDescent="0.3">
      <c r="D4097" s="40"/>
      <c r="J4097" s="134"/>
    </row>
    <row r="4098" spans="4:10" x14ac:dyDescent="0.3">
      <c r="D4098" s="40"/>
      <c r="J4098" s="134"/>
    </row>
    <row r="4099" spans="4:10" x14ac:dyDescent="0.3">
      <c r="D4099" s="40"/>
      <c r="J4099" s="134"/>
    </row>
    <row r="4100" spans="4:10" x14ac:dyDescent="0.3">
      <c r="D4100" s="40"/>
      <c r="J4100" s="134"/>
    </row>
    <row r="4101" spans="4:10" x14ac:dyDescent="0.3">
      <c r="D4101" s="40"/>
      <c r="J4101" s="134"/>
    </row>
    <row r="4102" spans="4:10" x14ac:dyDescent="0.3">
      <c r="D4102" s="40"/>
      <c r="J4102" s="134"/>
    </row>
    <row r="4103" spans="4:10" x14ac:dyDescent="0.3">
      <c r="D4103" s="40"/>
      <c r="J4103" s="134"/>
    </row>
    <row r="4104" spans="4:10" x14ac:dyDescent="0.3">
      <c r="D4104" s="40"/>
      <c r="J4104" s="134"/>
    </row>
    <row r="4105" spans="4:10" x14ac:dyDescent="0.3">
      <c r="D4105" s="40"/>
      <c r="J4105" s="134"/>
    </row>
    <row r="4106" spans="4:10" x14ac:dyDescent="0.3">
      <c r="D4106" s="40"/>
      <c r="J4106" s="134"/>
    </row>
    <row r="4107" spans="4:10" x14ac:dyDescent="0.3">
      <c r="D4107" s="40"/>
      <c r="J4107" s="134"/>
    </row>
    <row r="4108" spans="4:10" x14ac:dyDescent="0.3">
      <c r="D4108" s="40"/>
      <c r="J4108" s="134"/>
    </row>
    <row r="4109" spans="4:10" x14ac:dyDescent="0.3">
      <c r="D4109" s="40"/>
      <c r="J4109" s="134"/>
    </row>
    <row r="4110" spans="4:10" x14ac:dyDescent="0.3">
      <c r="D4110" s="40"/>
      <c r="J4110" s="134"/>
    </row>
    <row r="4111" spans="4:10" x14ac:dyDescent="0.3">
      <c r="D4111" s="40"/>
      <c r="J4111" s="134"/>
    </row>
    <row r="4112" spans="4:10" x14ac:dyDescent="0.3">
      <c r="D4112" s="40"/>
      <c r="J4112" s="134"/>
    </row>
    <row r="4113" spans="4:10" x14ac:dyDescent="0.3">
      <c r="D4113" s="40"/>
      <c r="J4113" s="134"/>
    </row>
    <row r="4114" spans="4:10" x14ac:dyDescent="0.3">
      <c r="D4114" s="40"/>
      <c r="J4114" s="134"/>
    </row>
    <row r="4115" spans="4:10" x14ac:dyDescent="0.3">
      <c r="D4115" s="40"/>
      <c r="J4115" s="134"/>
    </row>
    <row r="4116" spans="4:10" x14ac:dyDescent="0.3">
      <c r="D4116" s="40"/>
      <c r="J4116" s="134"/>
    </row>
    <row r="4117" spans="4:10" x14ac:dyDescent="0.3">
      <c r="D4117" s="40"/>
      <c r="J4117" s="134"/>
    </row>
    <row r="4118" spans="4:10" x14ac:dyDescent="0.3">
      <c r="D4118" s="40"/>
      <c r="J4118" s="134"/>
    </row>
    <row r="4119" spans="4:10" x14ac:dyDescent="0.3">
      <c r="D4119" s="40"/>
      <c r="J4119" s="134"/>
    </row>
    <row r="4120" spans="4:10" x14ac:dyDescent="0.3">
      <c r="D4120" s="40"/>
      <c r="J4120" s="134"/>
    </row>
    <row r="4121" spans="4:10" x14ac:dyDescent="0.3">
      <c r="D4121" s="40"/>
      <c r="J4121" s="134"/>
    </row>
    <row r="4122" spans="4:10" x14ac:dyDescent="0.3">
      <c r="D4122" s="40"/>
      <c r="J4122" s="134"/>
    </row>
    <row r="4123" spans="4:10" x14ac:dyDescent="0.3">
      <c r="D4123" s="40"/>
      <c r="J4123" s="134"/>
    </row>
    <row r="4124" spans="4:10" x14ac:dyDescent="0.3">
      <c r="D4124" s="40"/>
      <c r="J4124" s="134"/>
    </row>
    <row r="4125" spans="4:10" x14ac:dyDescent="0.3">
      <c r="D4125" s="40"/>
      <c r="J4125" s="134"/>
    </row>
    <row r="4126" spans="4:10" x14ac:dyDescent="0.3">
      <c r="D4126" s="40"/>
      <c r="J4126" s="134"/>
    </row>
    <row r="4127" spans="4:10" x14ac:dyDescent="0.3">
      <c r="D4127" s="40"/>
      <c r="J4127" s="134"/>
    </row>
    <row r="4128" spans="4:10" x14ac:dyDescent="0.3">
      <c r="D4128" s="40"/>
      <c r="J4128" s="134"/>
    </row>
    <row r="4129" spans="4:10" x14ac:dyDescent="0.3">
      <c r="D4129" s="40"/>
      <c r="J4129" s="134"/>
    </row>
    <row r="4130" spans="4:10" x14ac:dyDescent="0.3">
      <c r="D4130" s="40"/>
      <c r="J4130" s="134"/>
    </row>
    <row r="4131" spans="4:10" x14ac:dyDescent="0.3">
      <c r="D4131" s="40"/>
      <c r="J4131" s="134"/>
    </row>
    <row r="4132" spans="4:10" x14ac:dyDescent="0.3">
      <c r="D4132" s="40"/>
      <c r="J4132" s="134"/>
    </row>
    <row r="4133" spans="4:10" x14ac:dyDescent="0.3">
      <c r="D4133" s="40"/>
      <c r="J4133" s="134"/>
    </row>
    <row r="4134" spans="4:10" x14ac:dyDescent="0.3">
      <c r="D4134" s="40"/>
      <c r="J4134" s="134"/>
    </row>
    <row r="4135" spans="4:10" x14ac:dyDescent="0.3">
      <c r="D4135" s="40"/>
      <c r="J4135" s="134"/>
    </row>
    <row r="4136" spans="4:10" x14ac:dyDescent="0.3">
      <c r="D4136" s="40"/>
      <c r="J4136" s="134"/>
    </row>
    <row r="4137" spans="4:10" x14ac:dyDescent="0.3">
      <c r="D4137" s="40"/>
      <c r="J4137" s="134"/>
    </row>
    <row r="4138" spans="4:10" x14ac:dyDescent="0.3">
      <c r="D4138" s="40"/>
      <c r="J4138" s="134"/>
    </row>
    <row r="4139" spans="4:10" x14ac:dyDescent="0.3">
      <c r="D4139" s="40"/>
      <c r="J4139" s="134"/>
    </row>
    <row r="4140" spans="4:10" x14ac:dyDescent="0.3">
      <c r="D4140" s="40"/>
      <c r="J4140" s="134"/>
    </row>
    <row r="4141" spans="4:10" x14ac:dyDescent="0.3">
      <c r="D4141" s="40"/>
      <c r="J4141" s="134"/>
    </row>
    <row r="4142" spans="4:10" x14ac:dyDescent="0.3">
      <c r="D4142" s="40"/>
      <c r="J4142" s="134"/>
    </row>
    <row r="4143" spans="4:10" x14ac:dyDescent="0.3">
      <c r="D4143" s="40"/>
      <c r="J4143" s="134"/>
    </row>
    <row r="4144" spans="4:10" x14ac:dyDescent="0.3">
      <c r="D4144" s="40"/>
      <c r="J4144" s="134"/>
    </row>
    <row r="4145" spans="4:10" x14ac:dyDescent="0.3">
      <c r="D4145" s="40"/>
      <c r="J4145" s="134"/>
    </row>
    <row r="4146" spans="4:10" x14ac:dyDescent="0.3">
      <c r="D4146" s="40"/>
      <c r="J4146" s="134"/>
    </row>
    <row r="4147" spans="4:10" x14ac:dyDescent="0.3">
      <c r="D4147" s="40"/>
      <c r="J4147" s="134"/>
    </row>
    <row r="4148" spans="4:10" x14ac:dyDescent="0.3">
      <c r="D4148" s="40"/>
      <c r="J4148" s="134"/>
    </row>
    <row r="4149" spans="4:10" x14ac:dyDescent="0.3">
      <c r="D4149" s="40"/>
      <c r="J4149" s="134"/>
    </row>
    <row r="4150" spans="4:10" x14ac:dyDescent="0.3">
      <c r="D4150" s="40"/>
      <c r="J4150" s="134"/>
    </row>
    <row r="4151" spans="4:10" x14ac:dyDescent="0.3">
      <c r="D4151" s="40"/>
      <c r="J4151" s="134"/>
    </row>
    <row r="4152" spans="4:10" x14ac:dyDescent="0.3">
      <c r="D4152" s="40"/>
      <c r="J4152" s="134"/>
    </row>
    <row r="4153" spans="4:10" x14ac:dyDescent="0.3">
      <c r="D4153" s="40"/>
      <c r="J4153" s="134"/>
    </row>
    <row r="4154" spans="4:10" x14ac:dyDescent="0.3">
      <c r="D4154" s="40"/>
      <c r="J4154" s="134"/>
    </row>
    <row r="4155" spans="4:10" x14ac:dyDescent="0.3">
      <c r="D4155" s="40"/>
      <c r="J4155" s="134"/>
    </row>
    <row r="4156" spans="4:10" x14ac:dyDescent="0.3">
      <c r="D4156" s="40"/>
      <c r="J4156" s="134"/>
    </row>
    <row r="4157" spans="4:10" x14ac:dyDescent="0.3">
      <c r="D4157" s="40"/>
      <c r="J4157" s="134"/>
    </row>
    <row r="4158" spans="4:10" x14ac:dyDescent="0.3">
      <c r="D4158" s="40"/>
      <c r="J4158" s="134"/>
    </row>
    <row r="4159" spans="4:10" x14ac:dyDescent="0.3">
      <c r="D4159" s="40"/>
      <c r="J4159" s="134"/>
    </row>
    <row r="4160" spans="4:10" x14ac:dyDescent="0.3">
      <c r="D4160" s="40"/>
      <c r="J4160" s="134"/>
    </row>
    <row r="4161" spans="4:10" x14ac:dyDescent="0.3">
      <c r="D4161" s="40"/>
      <c r="J4161" s="134"/>
    </row>
    <row r="4162" spans="4:10" x14ac:dyDescent="0.3">
      <c r="D4162" s="40"/>
      <c r="J4162" s="134"/>
    </row>
    <row r="4163" spans="4:10" x14ac:dyDescent="0.3">
      <c r="D4163" s="40"/>
      <c r="J4163" s="134"/>
    </row>
    <row r="4164" spans="4:10" x14ac:dyDescent="0.3">
      <c r="D4164" s="40"/>
      <c r="J4164" s="134"/>
    </row>
    <row r="4165" spans="4:10" x14ac:dyDescent="0.3">
      <c r="D4165" s="40"/>
      <c r="J4165" s="134"/>
    </row>
    <row r="4166" spans="4:10" x14ac:dyDescent="0.3">
      <c r="D4166" s="40"/>
      <c r="J4166" s="134"/>
    </row>
    <row r="4167" spans="4:10" x14ac:dyDescent="0.3">
      <c r="D4167" s="40"/>
      <c r="J4167" s="134"/>
    </row>
    <row r="4168" spans="4:10" x14ac:dyDescent="0.3">
      <c r="D4168" s="40"/>
      <c r="J4168" s="134"/>
    </row>
    <row r="4169" spans="4:10" x14ac:dyDescent="0.3">
      <c r="D4169" s="40"/>
      <c r="J4169" s="134"/>
    </row>
    <row r="4170" spans="4:10" x14ac:dyDescent="0.3">
      <c r="D4170" s="40"/>
      <c r="J4170" s="134"/>
    </row>
    <row r="4171" spans="4:10" x14ac:dyDescent="0.3">
      <c r="D4171" s="40"/>
      <c r="J4171" s="134"/>
    </row>
    <row r="4172" spans="4:10" x14ac:dyDescent="0.3">
      <c r="D4172" s="40"/>
      <c r="J4172" s="134"/>
    </row>
    <row r="4173" spans="4:10" x14ac:dyDescent="0.3">
      <c r="D4173" s="40"/>
      <c r="J4173" s="134"/>
    </row>
    <row r="4174" spans="4:10" x14ac:dyDescent="0.3">
      <c r="D4174" s="40"/>
      <c r="J4174" s="134"/>
    </row>
    <row r="4175" spans="4:10" x14ac:dyDescent="0.3">
      <c r="D4175" s="40"/>
      <c r="J4175" s="134"/>
    </row>
    <row r="4176" spans="4:10" x14ac:dyDescent="0.3">
      <c r="D4176" s="40"/>
      <c r="J4176" s="134"/>
    </row>
    <row r="4177" spans="4:10" x14ac:dyDescent="0.3">
      <c r="D4177" s="40"/>
      <c r="J4177" s="134"/>
    </row>
    <row r="4178" spans="4:10" x14ac:dyDescent="0.3">
      <c r="D4178" s="40"/>
      <c r="J4178" s="134"/>
    </row>
    <row r="4179" spans="4:10" x14ac:dyDescent="0.3">
      <c r="D4179" s="40"/>
      <c r="J4179" s="134"/>
    </row>
    <row r="4180" spans="4:10" x14ac:dyDescent="0.3">
      <c r="D4180" s="40"/>
      <c r="J4180" s="134"/>
    </row>
    <row r="4181" spans="4:10" x14ac:dyDescent="0.3">
      <c r="D4181" s="40"/>
      <c r="J4181" s="134"/>
    </row>
    <row r="4182" spans="4:10" x14ac:dyDescent="0.3">
      <c r="D4182" s="40"/>
      <c r="J4182" s="134"/>
    </row>
    <row r="4183" spans="4:10" x14ac:dyDescent="0.3">
      <c r="D4183" s="40"/>
      <c r="J4183" s="134"/>
    </row>
    <row r="4184" spans="4:10" x14ac:dyDescent="0.3">
      <c r="D4184" s="40"/>
      <c r="J4184" s="134"/>
    </row>
    <row r="4185" spans="4:10" x14ac:dyDescent="0.3">
      <c r="D4185" s="40"/>
      <c r="J4185" s="134"/>
    </row>
    <row r="4186" spans="4:10" x14ac:dyDescent="0.3">
      <c r="D4186" s="40"/>
      <c r="J4186" s="134"/>
    </row>
    <row r="4187" spans="4:10" x14ac:dyDescent="0.3">
      <c r="D4187" s="40"/>
      <c r="J4187" s="134"/>
    </row>
    <row r="4188" spans="4:10" x14ac:dyDescent="0.3">
      <c r="D4188" s="40"/>
      <c r="J4188" s="134"/>
    </row>
    <row r="4189" spans="4:10" x14ac:dyDescent="0.3">
      <c r="D4189" s="40"/>
      <c r="J4189" s="134"/>
    </row>
    <row r="4190" spans="4:10" x14ac:dyDescent="0.3">
      <c r="D4190" s="40"/>
      <c r="J4190" s="134"/>
    </row>
    <row r="4191" spans="4:10" x14ac:dyDescent="0.3">
      <c r="D4191" s="40"/>
      <c r="J4191" s="134"/>
    </row>
    <row r="4192" spans="4:10" x14ac:dyDescent="0.3">
      <c r="D4192" s="40"/>
      <c r="J4192" s="134"/>
    </row>
    <row r="4193" spans="4:10" x14ac:dyDescent="0.3">
      <c r="D4193" s="40"/>
      <c r="J4193" s="134"/>
    </row>
    <row r="4194" spans="4:10" x14ac:dyDescent="0.3">
      <c r="D4194" s="40"/>
      <c r="J4194" s="134"/>
    </row>
    <row r="4195" spans="4:10" x14ac:dyDescent="0.3">
      <c r="D4195" s="40"/>
      <c r="J4195" s="134"/>
    </row>
    <row r="4196" spans="4:10" x14ac:dyDescent="0.3">
      <c r="D4196" s="40"/>
      <c r="J4196" s="134"/>
    </row>
    <row r="4197" spans="4:10" x14ac:dyDescent="0.3">
      <c r="D4197" s="40"/>
      <c r="J4197" s="134"/>
    </row>
    <row r="4198" spans="4:10" x14ac:dyDescent="0.3">
      <c r="D4198" s="40"/>
      <c r="J4198" s="134"/>
    </row>
    <row r="4199" spans="4:10" x14ac:dyDescent="0.3">
      <c r="D4199" s="40"/>
      <c r="J4199" s="134"/>
    </row>
    <row r="4200" spans="4:10" x14ac:dyDescent="0.3">
      <c r="D4200" s="40"/>
      <c r="J4200" s="134"/>
    </row>
    <row r="4201" spans="4:10" x14ac:dyDescent="0.3">
      <c r="D4201" s="40"/>
      <c r="J4201" s="134"/>
    </row>
    <row r="4202" spans="4:10" x14ac:dyDescent="0.3">
      <c r="D4202" s="40"/>
      <c r="J4202" s="134"/>
    </row>
    <row r="4203" spans="4:10" x14ac:dyDescent="0.3">
      <c r="D4203" s="40"/>
      <c r="J4203" s="134"/>
    </row>
    <row r="4204" spans="4:10" x14ac:dyDescent="0.3">
      <c r="D4204" s="40"/>
      <c r="J4204" s="134"/>
    </row>
    <row r="4205" spans="4:10" x14ac:dyDescent="0.3">
      <c r="D4205" s="40"/>
      <c r="J4205" s="134"/>
    </row>
    <row r="4206" spans="4:10" x14ac:dyDescent="0.3">
      <c r="D4206" s="40"/>
      <c r="J4206" s="134"/>
    </row>
    <row r="4207" spans="4:10" x14ac:dyDescent="0.3">
      <c r="D4207" s="40"/>
      <c r="J4207" s="134"/>
    </row>
    <row r="4208" spans="4:10" x14ac:dyDescent="0.3">
      <c r="D4208" s="40"/>
      <c r="J4208" s="134"/>
    </row>
    <row r="4209" spans="4:10" x14ac:dyDescent="0.3">
      <c r="D4209" s="40"/>
      <c r="J4209" s="134"/>
    </row>
    <row r="4210" spans="4:10" x14ac:dyDescent="0.3">
      <c r="D4210" s="40"/>
      <c r="J4210" s="134"/>
    </row>
    <row r="4211" spans="4:10" x14ac:dyDescent="0.3">
      <c r="D4211" s="40"/>
      <c r="J4211" s="134"/>
    </row>
    <row r="4212" spans="4:10" x14ac:dyDescent="0.3">
      <c r="D4212" s="40"/>
      <c r="J4212" s="134"/>
    </row>
    <row r="4213" spans="4:10" x14ac:dyDescent="0.3">
      <c r="D4213" s="40"/>
      <c r="J4213" s="134"/>
    </row>
    <row r="4214" spans="4:10" x14ac:dyDescent="0.3">
      <c r="D4214" s="40"/>
      <c r="J4214" s="134"/>
    </row>
    <row r="4215" spans="4:10" x14ac:dyDescent="0.3">
      <c r="D4215" s="40"/>
      <c r="J4215" s="134"/>
    </row>
    <row r="4216" spans="4:10" x14ac:dyDescent="0.3">
      <c r="D4216" s="40"/>
      <c r="J4216" s="134"/>
    </row>
    <row r="4217" spans="4:10" x14ac:dyDescent="0.3">
      <c r="D4217" s="40"/>
      <c r="J4217" s="134"/>
    </row>
    <row r="4218" spans="4:10" x14ac:dyDescent="0.3">
      <c r="D4218" s="40"/>
      <c r="J4218" s="134"/>
    </row>
    <row r="4219" spans="4:10" x14ac:dyDescent="0.3">
      <c r="D4219" s="40"/>
      <c r="J4219" s="134"/>
    </row>
    <row r="4220" spans="4:10" x14ac:dyDescent="0.3">
      <c r="D4220" s="40"/>
      <c r="J4220" s="134"/>
    </row>
    <row r="4221" spans="4:10" x14ac:dyDescent="0.3">
      <c r="D4221" s="40"/>
      <c r="J4221" s="134"/>
    </row>
    <row r="4222" spans="4:10" x14ac:dyDescent="0.3">
      <c r="D4222" s="40"/>
      <c r="J4222" s="134"/>
    </row>
    <row r="4223" spans="4:10" x14ac:dyDescent="0.3">
      <c r="D4223" s="40"/>
      <c r="J4223" s="134"/>
    </row>
    <row r="4224" spans="4:10" x14ac:dyDescent="0.3">
      <c r="D4224" s="40"/>
      <c r="J4224" s="134"/>
    </row>
    <row r="4225" spans="4:10" x14ac:dyDescent="0.3">
      <c r="D4225" s="40"/>
      <c r="J4225" s="134"/>
    </row>
    <row r="4226" spans="4:10" x14ac:dyDescent="0.3">
      <c r="D4226" s="40"/>
      <c r="J4226" s="134"/>
    </row>
    <row r="4227" spans="4:10" x14ac:dyDescent="0.3">
      <c r="D4227" s="40"/>
      <c r="J4227" s="134"/>
    </row>
    <row r="4228" spans="4:10" x14ac:dyDescent="0.3">
      <c r="D4228" s="40"/>
      <c r="J4228" s="134"/>
    </row>
    <row r="4229" spans="4:10" x14ac:dyDescent="0.3">
      <c r="D4229" s="40"/>
      <c r="J4229" s="134"/>
    </row>
    <row r="4230" spans="4:10" x14ac:dyDescent="0.3">
      <c r="D4230" s="40"/>
      <c r="J4230" s="134"/>
    </row>
    <row r="4231" spans="4:10" x14ac:dyDescent="0.3">
      <c r="D4231" s="40"/>
      <c r="J4231" s="134"/>
    </row>
    <row r="4232" spans="4:10" x14ac:dyDescent="0.3">
      <c r="D4232" s="40"/>
      <c r="J4232" s="134"/>
    </row>
    <row r="4233" spans="4:10" x14ac:dyDescent="0.3">
      <c r="D4233" s="40"/>
      <c r="J4233" s="134"/>
    </row>
    <row r="4234" spans="4:10" x14ac:dyDescent="0.3">
      <c r="D4234" s="40"/>
      <c r="J4234" s="134"/>
    </row>
    <row r="4235" spans="4:10" x14ac:dyDescent="0.3">
      <c r="D4235" s="40"/>
      <c r="J4235" s="134"/>
    </row>
    <row r="4236" spans="4:10" x14ac:dyDescent="0.3">
      <c r="D4236" s="40"/>
      <c r="J4236" s="134"/>
    </row>
    <row r="4237" spans="4:10" x14ac:dyDescent="0.3">
      <c r="D4237" s="40"/>
      <c r="J4237" s="134"/>
    </row>
    <row r="4238" spans="4:10" x14ac:dyDescent="0.3">
      <c r="D4238" s="40"/>
      <c r="J4238" s="134"/>
    </row>
    <row r="4239" spans="4:10" x14ac:dyDescent="0.3">
      <c r="D4239" s="40"/>
      <c r="J4239" s="134"/>
    </row>
    <row r="4240" spans="4:10" x14ac:dyDescent="0.3">
      <c r="D4240" s="40"/>
      <c r="J4240" s="134"/>
    </row>
    <row r="4241" spans="4:10" x14ac:dyDescent="0.3">
      <c r="D4241" s="40"/>
      <c r="J4241" s="134"/>
    </row>
    <row r="4242" spans="4:10" x14ac:dyDescent="0.3">
      <c r="D4242" s="40"/>
      <c r="J4242" s="134"/>
    </row>
    <row r="4243" spans="4:10" x14ac:dyDescent="0.3">
      <c r="D4243" s="40"/>
      <c r="J4243" s="134"/>
    </row>
    <row r="4244" spans="4:10" x14ac:dyDescent="0.3">
      <c r="D4244" s="40"/>
      <c r="J4244" s="134"/>
    </row>
    <row r="4245" spans="4:10" x14ac:dyDescent="0.3">
      <c r="D4245" s="40"/>
      <c r="J4245" s="134"/>
    </row>
    <row r="4246" spans="4:10" x14ac:dyDescent="0.3">
      <c r="D4246" s="40"/>
      <c r="J4246" s="134"/>
    </row>
    <row r="4247" spans="4:10" x14ac:dyDescent="0.3">
      <c r="D4247" s="40"/>
      <c r="J4247" s="134"/>
    </row>
    <row r="4248" spans="4:10" x14ac:dyDescent="0.3">
      <c r="D4248" s="40"/>
      <c r="J4248" s="134"/>
    </row>
    <row r="4249" spans="4:10" x14ac:dyDescent="0.3">
      <c r="D4249" s="40"/>
      <c r="J4249" s="134"/>
    </row>
    <row r="4250" spans="4:10" x14ac:dyDescent="0.3">
      <c r="D4250" s="40"/>
      <c r="J4250" s="134"/>
    </row>
    <row r="4251" spans="4:10" x14ac:dyDescent="0.3">
      <c r="D4251" s="40"/>
      <c r="J4251" s="134"/>
    </row>
    <row r="4252" spans="4:10" x14ac:dyDescent="0.3">
      <c r="D4252" s="40"/>
      <c r="J4252" s="134"/>
    </row>
    <row r="4253" spans="4:10" x14ac:dyDescent="0.3">
      <c r="D4253" s="40"/>
      <c r="J4253" s="134"/>
    </row>
    <row r="4254" spans="4:10" x14ac:dyDescent="0.3">
      <c r="D4254" s="40"/>
      <c r="J4254" s="134"/>
    </row>
    <row r="4255" spans="4:10" x14ac:dyDescent="0.3">
      <c r="D4255" s="40"/>
      <c r="J4255" s="134"/>
    </row>
    <row r="4256" spans="4:10" x14ac:dyDescent="0.3">
      <c r="D4256" s="40"/>
      <c r="J4256" s="134"/>
    </row>
    <row r="4257" spans="4:10" x14ac:dyDescent="0.3">
      <c r="D4257" s="40"/>
      <c r="J4257" s="134"/>
    </row>
    <row r="4258" spans="4:10" x14ac:dyDescent="0.3">
      <c r="D4258" s="40"/>
      <c r="J4258" s="134"/>
    </row>
    <row r="4259" spans="4:10" x14ac:dyDescent="0.3">
      <c r="D4259" s="40"/>
      <c r="J4259" s="134"/>
    </row>
    <row r="4260" spans="4:10" x14ac:dyDescent="0.3">
      <c r="D4260" s="40"/>
      <c r="J4260" s="134"/>
    </row>
    <row r="4261" spans="4:10" x14ac:dyDescent="0.3">
      <c r="D4261" s="40"/>
      <c r="J4261" s="134"/>
    </row>
    <row r="4262" spans="4:10" x14ac:dyDescent="0.3">
      <c r="D4262" s="40"/>
      <c r="J4262" s="134"/>
    </row>
    <row r="4263" spans="4:10" x14ac:dyDescent="0.3">
      <c r="D4263" s="40"/>
      <c r="J4263" s="134"/>
    </row>
    <row r="4264" spans="4:10" x14ac:dyDescent="0.3">
      <c r="D4264" s="40"/>
      <c r="J4264" s="134"/>
    </row>
    <row r="4265" spans="4:10" x14ac:dyDescent="0.3">
      <c r="D4265" s="40"/>
      <c r="J4265" s="134"/>
    </row>
    <row r="4266" spans="4:10" x14ac:dyDescent="0.3">
      <c r="D4266" s="40"/>
      <c r="J4266" s="134"/>
    </row>
    <row r="4267" spans="4:10" x14ac:dyDescent="0.3">
      <c r="D4267" s="40"/>
      <c r="J4267" s="134"/>
    </row>
    <row r="4268" spans="4:10" x14ac:dyDescent="0.3">
      <c r="D4268" s="40"/>
      <c r="J4268" s="134"/>
    </row>
    <row r="4269" spans="4:10" x14ac:dyDescent="0.3">
      <c r="D4269" s="40"/>
      <c r="J4269" s="134"/>
    </row>
    <row r="4270" spans="4:10" x14ac:dyDescent="0.3">
      <c r="D4270" s="40"/>
      <c r="J4270" s="134"/>
    </row>
    <row r="4271" spans="4:10" x14ac:dyDescent="0.3">
      <c r="D4271" s="40"/>
      <c r="J4271" s="134"/>
    </row>
    <row r="4272" spans="4:10" x14ac:dyDescent="0.3">
      <c r="D4272" s="40"/>
      <c r="J4272" s="134"/>
    </row>
    <row r="4273" spans="4:10" x14ac:dyDescent="0.3">
      <c r="D4273" s="40"/>
      <c r="J4273" s="134"/>
    </row>
    <row r="4274" spans="4:10" x14ac:dyDescent="0.3">
      <c r="D4274" s="40"/>
      <c r="J4274" s="134"/>
    </row>
    <row r="4275" spans="4:10" x14ac:dyDescent="0.3">
      <c r="D4275" s="40"/>
      <c r="J4275" s="134"/>
    </row>
    <row r="4276" spans="4:10" x14ac:dyDescent="0.3">
      <c r="D4276" s="40"/>
      <c r="J4276" s="134"/>
    </row>
    <row r="4277" spans="4:10" x14ac:dyDescent="0.3">
      <c r="D4277" s="40"/>
      <c r="J4277" s="134"/>
    </row>
    <row r="4278" spans="4:10" x14ac:dyDescent="0.3">
      <c r="D4278" s="40"/>
      <c r="J4278" s="134"/>
    </row>
    <row r="4279" spans="4:10" x14ac:dyDescent="0.3">
      <c r="D4279" s="40"/>
      <c r="J4279" s="134"/>
    </row>
    <row r="4280" spans="4:10" x14ac:dyDescent="0.3">
      <c r="D4280" s="40"/>
      <c r="J4280" s="134"/>
    </row>
    <row r="4281" spans="4:10" x14ac:dyDescent="0.3">
      <c r="D4281" s="40"/>
      <c r="J4281" s="134"/>
    </row>
    <row r="4282" spans="4:10" x14ac:dyDescent="0.3">
      <c r="D4282" s="40"/>
      <c r="J4282" s="134"/>
    </row>
    <row r="4283" spans="4:10" x14ac:dyDescent="0.3">
      <c r="D4283" s="40"/>
      <c r="J4283" s="134"/>
    </row>
    <row r="4284" spans="4:10" x14ac:dyDescent="0.3">
      <c r="D4284" s="40"/>
      <c r="J4284" s="134"/>
    </row>
    <row r="4285" spans="4:10" x14ac:dyDescent="0.3">
      <c r="D4285" s="40"/>
      <c r="J4285" s="134"/>
    </row>
    <row r="4286" spans="4:10" x14ac:dyDescent="0.3">
      <c r="D4286" s="40"/>
      <c r="J4286" s="134"/>
    </row>
    <row r="4287" spans="4:10" x14ac:dyDescent="0.3">
      <c r="D4287" s="40"/>
      <c r="J4287" s="134"/>
    </row>
    <row r="4288" spans="4:10" x14ac:dyDescent="0.3">
      <c r="D4288" s="40"/>
      <c r="J4288" s="134"/>
    </row>
    <row r="4289" spans="4:10" x14ac:dyDescent="0.3">
      <c r="D4289" s="40"/>
      <c r="J4289" s="134"/>
    </row>
    <row r="4290" spans="4:10" x14ac:dyDescent="0.3">
      <c r="D4290" s="40"/>
      <c r="J4290" s="134"/>
    </row>
    <row r="4291" spans="4:10" x14ac:dyDescent="0.3">
      <c r="D4291" s="40"/>
      <c r="J4291" s="134"/>
    </row>
    <row r="4292" spans="4:10" x14ac:dyDescent="0.3">
      <c r="D4292" s="40"/>
      <c r="J4292" s="134"/>
    </row>
    <row r="4293" spans="4:10" x14ac:dyDescent="0.3">
      <c r="D4293" s="40"/>
      <c r="J4293" s="134"/>
    </row>
    <row r="4294" spans="4:10" x14ac:dyDescent="0.3">
      <c r="D4294" s="40"/>
      <c r="J4294" s="134"/>
    </row>
    <row r="4295" spans="4:10" x14ac:dyDescent="0.3">
      <c r="D4295" s="40"/>
      <c r="J4295" s="134"/>
    </row>
    <row r="4296" spans="4:10" x14ac:dyDescent="0.3">
      <c r="D4296" s="40"/>
      <c r="J4296" s="134"/>
    </row>
    <row r="4297" spans="4:10" x14ac:dyDescent="0.3">
      <c r="D4297" s="40"/>
      <c r="J4297" s="134"/>
    </row>
    <row r="4298" spans="4:10" x14ac:dyDescent="0.3">
      <c r="D4298" s="40"/>
      <c r="J4298" s="134"/>
    </row>
    <row r="4299" spans="4:10" x14ac:dyDescent="0.3">
      <c r="D4299" s="40"/>
      <c r="J4299" s="134"/>
    </row>
    <row r="4300" spans="4:10" x14ac:dyDescent="0.3">
      <c r="D4300" s="40"/>
      <c r="J4300" s="134"/>
    </row>
    <row r="4301" spans="4:10" x14ac:dyDescent="0.3">
      <c r="D4301" s="40"/>
      <c r="J4301" s="134"/>
    </row>
    <row r="4302" spans="4:10" x14ac:dyDescent="0.3">
      <c r="D4302" s="40"/>
      <c r="J4302" s="134"/>
    </row>
    <row r="4303" spans="4:10" x14ac:dyDescent="0.3">
      <c r="D4303" s="40"/>
      <c r="J4303" s="134"/>
    </row>
    <row r="4304" spans="4:10" x14ac:dyDescent="0.3">
      <c r="D4304" s="40"/>
      <c r="J4304" s="134"/>
    </row>
    <row r="4305" spans="4:10" x14ac:dyDescent="0.3">
      <c r="D4305" s="40"/>
      <c r="J4305" s="134"/>
    </row>
    <row r="4306" spans="4:10" x14ac:dyDescent="0.3">
      <c r="D4306" s="40"/>
      <c r="J4306" s="134"/>
    </row>
    <row r="4307" spans="4:10" x14ac:dyDescent="0.3">
      <c r="D4307" s="40"/>
      <c r="J4307" s="134"/>
    </row>
    <row r="4308" spans="4:10" x14ac:dyDescent="0.3">
      <c r="D4308" s="40"/>
      <c r="J4308" s="134"/>
    </row>
    <row r="4309" spans="4:10" x14ac:dyDescent="0.3">
      <c r="D4309" s="40"/>
      <c r="J4309" s="134"/>
    </row>
    <row r="4310" spans="4:10" x14ac:dyDescent="0.3">
      <c r="D4310" s="40"/>
      <c r="J4310" s="134"/>
    </row>
    <row r="4311" spans="4:10" x14ac:dyDescent="0.3">
      <c r="D4311" s="40"/>
      <c r="J4311" s="134"/>
    </row>
    <row r="4312" spans="4:10" x14ac:dyDescent="0.3">
      <c r="D4312" s="40"/>
      <c r="J4312" s="134"/>
    </row>
    <row r="4313" spans="4:10" x14ac:dyDescent="0.3">
      <c r="D4313" s="40"/>
      <c r="J4313" s="134"/>
    </row>
    <row r="4314" spans="4:10" x14ac:dyDescent="0.3">
      <c r="D4314" s="40"/>
      <c r="J4314" s="134"/>
    </row>
    <row r="4315" spans="4:10" x14ac:dyDescent="0.3">
      <c r="D4315" s="40"/>
      <c r="J4315" s="134"/>
    </row>
    <row r="4316" spans="4:10" x14ac:dyDescent="0.3">
      <c r="D4316" s="40"/>
      <c r="J4316" s="134"/>
    </row>
    <row r="4317" spans="4:10" x14ac:dyDescent="0.3">
      <c r="D4317" s="40"/>
      <c r="J4317" s="134"/>
    </row>
    <row r="4318" spans="4:10" x14ac:dyDescent="0.3">
      <c r="D4318" s="40"/>
      <c r="J4318" s="134"/>
    </row>
    <row r="4319" spans="4:10" x14ac:dyDescent="0.3">
      <c r="D4319" s="40"/>
      <c r="J4319" s="134"/>
    </row>
    <row r="4320" spans="4:10" x14ac:dyDescent="0.3">
      <c r="D4320" s="40"/>
      <c r="J4320" s="134"/>
    </row>
    <row r="4321" spans="4:10" x14ac:dyDescent="0.3">
      <c r="D4321" s="40"/>
      <c r="J4321" s="134"/>
    </row>
    <row r="4322" spans="4:10" x14ac:dyDescent="0.3">
      <c r="D4322" s="40"/>
      <c r="J4322" s="134"/>
    </row>
    <row r="4323" spans="4:10" x14ac:dyDescent="0.3">
      <c r="D4323" s="40"/>
      <c r="J4323" s="134"/>
    </row>
    <row r="4324" spans="4:10" x14ac:dyDescent="0.3">
      <c r="D4324" s="40"/>
      <c r="J4324" s="134"/>
    </row>
    <row r="4325" spans="4:10" x14ac:dyDescent="0.3">
      <c r="D4325" s="40"/>
      <c r="J4325" s="134"/>
    </row>
    <row r="4326" spans="4:10" x14ac:dyDescent="0.3">
      <c r="D4326" s="40"/>
      <c r="J4326" s="134"/>
    </row>
    <row r="4327" spans="4:10" x14ac:dyDescent="0.3">
      <c r="D4327" s="40"/>
      <c r="J4327" s="134"/>
    </row>
    <row r="4328" spans="4:10" x14ac:dyDescent="0.3">
      <c r="D4328" s="40"/>
      <c r="J4328" s="134"/>
    </row>
    <row r="4329" spans="4:10" x14ac:dyDescent="0.3">
      <c r="D4329" s="40"/>
      <c r="J4329" s="134"/>
    </row>
    <row r="4330" spans="4:10" x14ac:dyDescent="0.3">
      <c r="D4330" s="40"/>
      <c r="J4330" s="134"/>
    </row>
    <row r="4331" spans="4:10" x14ac:dyDescent="0.3">
      <c r="D4331" s="40"/>
      <c r="J4331" s="134"/>
    </row>
    <row r="4332" spans="4:10" x14ac:dyDescent="0.3">
      <c r="D4332" s="40"/>
      <c r="J4332" s="134"/>
    </row>
    <row r="4333" spans="4:10" x14ac:dyDescent="0.3">
      <c r="D4333" s="40"/>
      <c r="J4333" s="134"/>
    </row>
    <row r="4334" spans="4:10" x14ac:dyDescent="0.3">
      <c r="D4334" s="40"/>
      <c r="J4334" s="134"/>
    </row>
    <row r="4335" spans="4:10" x14ac:dyDescent="0.3">
      <c r="D4335" s="40"/>
      <c r="J4335" s="134"/>
    </row>
    <row r="4336" spans="4:10" x14ac:dyDescent="0.3">
      <c r="D4336" s="40"/>
      <c r="J4336" s="134"/>
    </row>
    <row r="4337" spans="4:10" x14ac:dyDescent="0.3">
      <c r="D4337" s="40"/>
      <c r="J4337" s="134"/>
    </row>
    <row r="4338" spans="4:10" x14ac:dyDescent="0.3">
      <c r="D4338" s="40"/>
      <c r="J4338" s="134"/>
    </row>
    <row r="4339" spans="4:10" x14ac:dyDescent="0.3">
      <c r="D4339" s="40"/>
      <c r="J4339" s="134"/>
    </row>
    <row r="4340" spans="4:10" x14ac:dyDescent="0.3">
      <c r="D4340" s="40"/>
      <c r="J4340" s="134"/>
    </row>
    <row r="4341" spans="4:10" x14ac:dyDescent="0.3">
      <c r="D4341" s="40"/>
      <c r="J4341" s="134"/>
    </row>
    <row r="4342" spans="4:10" x14ac:dyDescent="0.3">
      <c r="D4342" s="40"/>
      <c r="J4342" s="134"/>
    </row>
    <row r="4343" spans="4:10" x14ac:dyDescent="0.3">
      <c r="D4343" s="40"/>
      <c r="J4343" s="134"/>
    </row>
    <row r="4344" spans="4:10" x14ac:dyDescent="0.3">
      <c r="D4344" s="40"/>
      <c r="J4344" s="134"/>
    </row>
    <row r="4345" spans="4:10" x14ac:dyDescent="0.3">
      <c r="D4345" s="40"/>
      <c r="J4345" s="134"/>
    </row>
    <row r="4346" spans="4:10" x14ac:dyDescent="0.3">
      <c r="D4346" s="40"/>
      <c r="J4346" s="134"/>
    </row>
    <row r="4347" spans="4:10" x14ac:dyDescent="0.3">
      <c r="D4347" s="40"/>
      <c r="J4347" s="134"/>
    </row>
    <row r="4348" spans="4:10" x14ac:dyDescent="0.3">
      <c r="D4348" s="40"/>
      <c r="J4348" s="134"/>
    </row>
    <row r="4349" spans="4:10" x14ac:dyDescent="0.3">
      <c r="D4349" s="40"/>
      <c r="J4349" s="134"/>
    </row>
    <row r="4350" spans="4:10" x14ac:dyDescent="0.3">
      <c r="D4350" s="40"/>
      <c r="J4350" s="134"/>
    </row>
    <row r="4351" spans="4:10" x14ac:dyDescent="0.3">
      <c r="D4351" s="40"/>
      <c r="J4351" s="134"/>
    </row>
    <row r="4352" spans="4:10" x14ac:dyDescent="0.3">
      <c r="D4352" s="40"/>
      <c r="J4352" s="134"/>
    </row>
    <row r="4353" spans="4:10" x14ac:dyDescent="0.3">
      <c r="D4353" s="40"/>
      <c r="J4353" s="134"/>
    </row>
    <row r="4354" spans="4:10" x14ac:dyDescent="0.3">
      <c r="D4354" s="40"/>
      <c r="J4354" s="134"/>
    </row>
    <row r="4355" spans="4:10" x14ac:dyDescent="0.3">
      <c r="D4355" s="40"/>
      <c r="J4355" s="134"/>
    </row>
    <row r="4356" spans="4:10" x14ac:dyDescent="0.3">
      <c r="D4356" s="40"/>
      <c r="J4356" s="134"/>
    </row>
    <row r="4357" spans="4:10" x14ac:dyDescent="0.3">
      <c r="D4357" s="40"/>
      <c r="J4357" s="134"/>
    </row>
    <row r="4358" spans="4:10" x14ac:dyDescent="0.3">
      <c r="D4358" s="40"/>
      <c r="J4358" s="134"/>
    </row>
    <row r="4359" spans="4:10" x14ac:dyDescent="0.3">
      <c r="D4359" s="40"/>
      <c r="J4359" s="134"/>
    </row>
    <row r="4360" spans="4:10" x14ac:dyDescent="0.3">
      <c r="D4360" s="40"/>
      <c r="J4360" s="134"/>
    </row>
    <row r="4361" spans="4:10" x14ac:dyDescent="0.3">
      <c r="D4361" s="40"/>
      <c r="J4361" s="134"/>
    </row>
    <row r="4362" spans="4:10" x14ac:dyDescent="0.3">
      <c r="D4362" s="40"/>
      <c r="J4362" s="134"/>
    </row>
    <row r="4363" spans="4:10" x14ac:dyDescent="0.3">
      <c r="D4363" s="40"/>
      <c r="J4363" s="134"/>
    </row>
    <row r="4364" spans="4:10" x14ac:dyDescent="0.3">
      <c r="D4364" s="40"/>
      <c r="J4364" s="134"/>
    </row>
    <row r="4365" spans="4:10" x14ac:dyDescent="0.3">
      <c r="D4365" s="40"/>
      <c r="J4365" s="134"/>
    </row>
    <row r="4366" spans="4:10" x14ac:dyDescent="0.3">
      <c r="D4366" s="40"/>
      <c r="J4366" s="134"/>
    </row>
    <row r="4367" spans="4:10" x14ac:dyDescent="0.3">
      <c r="D4367" s="40"/>
      <c r="J4367" s="134"/>
    </row>
    <row r="4368" spans="4:10" x14ac:dyDescent="0.3">
      <c r="D4368" s="40"/>
      <c r="J4368" s="134"/>
    </row>
    <row r="4369" spans="4:10" x14ac:dyDescent="0.3">
      <c r="D4369" s="40"/>
      <c r="J4369" s="134"/>
    </row>
    <row r="4370" spans="4:10" x14ac:dyDescent="0.3">
      <c r="D4370" s="40"/>
      <c r="J4370" s="134"/>
    </row>
    <row r="4371" spans="4:10" x14ac:dyDescent="0.3">
      <c r="D4371" s="40"/>
      <c r="J4371" s="134"/>
    </row>
    <row r="4372" spans="4:10" x14ac:dyDescent="0.3">
      <c r="D4372" s="40"/>
      <c r="J4372" s="134"/>
    </row>
    <row r="4373" spans="4:10" x14ac:dyDescent="0.3">
      <c r="D4373" s="40"/>
      <c r="J4373" s="134"/>
    </row>
    <row r="4374" spans="4:10" x14ac:dyDescent="0.3">
      <c r="D4374" s="40"/>
      <c r="J4374" s="134"/>
    </row>
    <row r="4375" spans="4:10" x14ac:dyDescent="0.3">
      <c r="D4375" s="40"/>
      <c r="J4375" s="134"/>
    </row>
    <row r="4376" spans="4:10" x14ac:dyDescent="0.3">
      <c r="D4376" s="40"/>
      <c r="J4376" s="134"/>
    </row>
    <row r="4377" spans="4:10" x14ac:dyDescent="0.3">
      <c r="D4377" s="40"/>
      <c r="J4377" s="134"/>
    </row>
    <row r="4378" spans="4:10" x14ac:dyDescent="0.3">
      <c r="D4378" s="40"/>
      <c r="J4378" s="134"/>
    </row>
    <row r="4379" spans="4:10" x14ac:dyDescent="0.3">
      <c r="D4379" s="40"/>
      <c r="J4379" s="134"/>
    </row>
    <row r="4380" spans="4:10" x14ac:dyDescent="0.3">
      <c r="D4380" s="40"/>
      <c r="J4380" s="134"/>
    </row>
    <row r="4381" spans="4:10" x14ac:dyDescent="0.3">
      <c r="D4381" s="40"/>
      <c r="J4381" s="134"/>
    </row>
    <row r="4382" spans="4:10" x14ac:dyDescent="0.3">
      <c r="D4382" s="40"/>
      <c r="J4382" s="134"/>
    </row>
    <row r="4383" spans="4:10" x14ac:dyDescent="0.3">
      <c r="D4383" s="40"/>
      <c r="J4383" s="134"/>
    </row>
    <row r="4384" spans="4:10" x14ac:dyDescent="0.3">
      <c r="D4384" s="40"/>
      <c r="J4384" s="134"/>
    </row>
    <row r="4385" spans="4:10" x14ac:dyDescent="0.3">
      <c r="D4385" s="40"/>
      <c r="J4385" s="134"/>
    </row>
    <row r="4386" spans="4:10" x14ac:dyDescent="0.3">
      <c r="D4386" s="40"/>
      <c r="J4386" s="134"/>
    </row>
    <row r="4387" spans="4:10" x14ac:dyDescent="0.3">
      <c r="D4387" s="40"/>
      <c r="J4387" s="134"/>
    </row>
    <row r="4388" spans="4:10" x14ac:dyDescent="0.3">
      <c r="D4388" s="40"/>
      <c r="J4388" s="134"/>
    </row>
    <row r="4389" spans="4:10" x14ac:dyDescent="0.3">
      <c r="D4389" s="40"/>
      <c r="J4389" s="134"/>
    </row>
    <row r="4390" spans="4:10" x14ac:dyDescent="0.3">
      <c r="D4390" s="40"/>
      <c r="J4390" s="134"/>
    </row>
    <row r="4391" spans="4:10" x14ac:dyDescent="0.3">
      <c r="D4391" s="40"/>
      <c r="J4391" s="134"/>
    </row>
    <row r="4392" spans="4:10" x14ac:dyDescent="0.3">
      <c r="D4392" s="40"/>
      <c r="J4392" s="134"/>
    </row>
    <row r="4393" spans="4:10" x14ac:dyDescent="0.3">
      <c r="D4393" s="40"/>
      <c r="J4393" s="134"/>
    </row>
    <row r="4394" spans="4:10" x14ac:dyDescent="0.3">
      <c r="D4394" s="40"/>
      <c r="J4394" s="134"/>
    </row>
    <row r="4395" spans="4:10" x14ac:dyDescent="0.3">
      <c r="D4395" s="40"/>
      <c r="J4395" s="134"/>
    </row>
    <row r="4396" spans="4:10" x14ac:dyDescent="0.3">
      <c r="D4396" s="40"/>
      <c r="J4396" s="134"/>
    </row>
    <row r="4397" spans="4:10" x14ac:dyDescent="0.3">
      <c r="D4397" s="40"/>
      <c r="J4397" s="134"/>
    </row>
    <row r="4398" spans="4:10" x14ac:dyDescent="0.3">
      <c r="D4398" s="40"/>
      <c r="J4398" s="134"/>
    </row>
    <row r="4399" spans="4:10" x14ac:dyDescent="0.3">
      <c r="D4399" s="40"/>
      <c r="J4399" s="134"/>
    </row>
    <row r="4400" spans="4:10" x14ac:dyDescent="0.3">
      <c r="D4400" s="40"/>
      <c r="J4400" s="134"/>
    </row>
    <row r="4401" spans="4:10" x14ac:dyDescent="0.3">
      <c r="D4401" s="40"/>
      <c r="J4401" s="134"/>
    </row>
    <row r="4402" spans="4:10" x14ac:dyDescent="0.3">
      <c r="D4402" s="40"/>
      <c r="J4402" s="134"/>
    </row>
    <row r="4403" spans="4:10" x14ac:dyDescent="0.3">
      <c r="D4403" s="40"/>
      <c r="J4403" s="134"/>
    </row>
    <row r="4404" spans="4:10" x14ac:dyDescent="0.3">
      <c r="D4404" s="40"/>
      <c r="J4404" s="134"/>
    </row>
    <row r="4405" spans="4:10" x14ac:dyDescent="0.3">
      <c r="D4405" s="40"/>
      <c r="J4405" s="134"/>
    </row>
    <row r="4406" spans="4:10" x14ac:dyDescent="0.3">
      <c r="D4406" s="40"/>
      <c r="J4406" s="134"/>
    </row>
    <row r="4407" spans="4:10" x14ac:dyDescent="0.3">
      <c r="D4407" s="40"/>
      <c r="J4407" s="134"/>
    </row>
    <row r="4408" spans="4:10" x14ac:dyDescent="0.3">
      <c r="D4408" s="40"/>
      <c r="J4408" s="134"/>
    </row>
    <row r="4409" spans="4:10" x14ac:dyDescent="0.3">
      <c r="D4409" s="40"/>
      <c r="J4409" s="134"/>
    </row>
    <row r="4410" spans="4:10" x14ac:dyDescent="0.3">
      <c r="D4410" s="40"/>
      <c r="J4410" s="134"/>
    </row>
    <row r="4411" spans="4:10" x14ac:dyDescent="0.3">
      <c r="D4411" s="40"/>
      <c r="J4411" s="134"/>
    </row>
    <row r="4412" spans="4:10" x14ac:dyDescent="0.3">
      <c r="D4412" s="40"/>
      <c r="J4412" s="134"/>
    </row>
    <row r="4413" spans="4:10" x14ac:dyDescent="0.3">
      <c r="D4413" s="40"/>
      <c r="J4413" s="134"/>
    </row>
    <row r="4414" spans="4:10" x14ac:dyDescent="0.3">
      <c r="D4414" s="40"/>
      <c r="J4414" s="134"/>
    </row>
    <row r="4415" spans="4:10" x14ac:dyDescent="0.3">
      <c r="D4415" s="40"/>
      <c r="J4415" s="134"/>
    </row>
    <row r="4416" spans="4:10" x14ac:dyDescent="0.3">
      <c r="D4416" s="40"/>
      <c r="J4416" s="134"/>
    </row>
    <row r="4417" spans="4:10" x14ac:dyDescent="0.3">
      <c r="D4417" s="40"/>
      <c r="J4417" s="134"/>
    </row>
    <row r="4418" spans="4:10" x14ac:dyDescent="0.3">
      <c r="D4418" s="40"/>
      <c r="J4418" s="134"/>
    </row>
    <row r="4419" spans="4:10" x14ac:dyDescent="0.3">
      <c r="D4419" s="40"/>
      <c r="J4419" s="134"/>
    </row>
    <row r="4420" spans="4:10" x14ac:dyDescent="0.3">
      <c r="D4420" s="40"/>
      <c r="J4420" s="134"/>
    </row>
    <row r="4421" spans="4:10" x14ac:dyDescent="0.3">
      <c r="D4421" s="40"/>
      <c r="J4421" s="134"/>
    </row>
    <row r="4422" spans="4:10" x14ac:dyDescent="0.3">
      <c r="D4422" s="40"/>
      <c r="J4422" s="134"/>
    </row>
    <row r="4423" spans="4:10" x14ac:dyDescent="0.3">
      <c r="D4423" s="40"/>
      <c r="J4423" s="134"/>
    </row>
    <row r="4424" spans="4:10" x14ac:dyDescent="0.3">
      <c r="D4424" s="40"/>
      <c r="J4424" s="134"/>
    </row>
    <row r="4425" spans="4:10" x14ac:dyDescent="0.3">
      <c r="D4425" s="40"/>
      <c r="J4425" s="134"/>
    </row>
    <row r="4426" spans="4:10" x14ac:dyDescent="0.3">
      <c r="D4426" s="40"/>
      <c r="J4426" s="134"/>
    </row>
    <row r="4427" spans="4:10" x14ac:dyDescent="0.3">
      <c r="D4427" s="40"/>
      <c r="J4427" s="134"/>
    </row>
    <row r="4428" spans="4:10" x14ac:dyDescent="0.3">
      <c r="D4428" s="40"/>
      <c r="J4428" s="134"/>
    </row>
    <row r="4429" spans="4:10" x14ac:dyDescent="0.3">
      <c r="D4429" s="40"/>
      <c r="J4429" s="134"/>
    </row>
    <row r="4430" spans="4:10" x14ac:dyDescent="0.3">
      <c r="D4430" s="40"/>
      <c r="J4430" s="134"/>
    </row>
    <row r="4431" spans="4:10" x14ac:dyDescent="0.3">
      <c r="D4431" s="40"/>
      <c r="J4431" s="134"/>
    </row>
    <row r="4432" spans="4:10" x14ac:dyDescent="0.3">
      <c r="D4432" s="40"/>
      <c r="J4432" s="134"/>
    </row>
    <row r="4433" spans="4:10" x14ac:dyDescent="0.3">
      <c r="D4433" s="40"/>
      <c r="J4433" s="134"/>
    </row>
    <row r="4434" spans="4:10" x14ac:dyDescent="0.3">
      <c r="D4434" s="40"/>
      <c r="J4434" s="134"/>
    </row>
    <row r="4435" spans="4:10" x14ac:dyDescent="0.3">
      <c r="D4435" s="40"/>
      <c r="J4435" s="134"/>
    </row>
    <row r="4436" spans="4:10" x14ac:dyDescent="0.3">
      <c r="D4436" s="40"/>
      <c r="J4436" s="134"/>
    </row>
    <row r="4437" spans="4:10" x14ac:dyDescent="0.3">
      <c r="D4437" s="40"/>
      <c r="J4437" s="134"/>
    </row>
    <row r="4438" spans="4:10" x14ac:dyDescent="0.3">
      <c r="D4438" s="40"/>
      <c r="J4438" s="134"/>
    </row>
    <row r="4439" spans="4:10" x14ac:dyDescent="0.3">
      <c r="D4439" s="40"/>
      <c r="J4439" s="134"/>
    </row>
    <row r="4440" spans="4:10" x14ac:dyDescent="0.3">
      <c r="D4440" s="40"/>
      <c r="J4440" s="134"/>
    </row>
    <row r="4441" spans="4:10" x14ac:dyDescent="0.3">
      <c r="D4441" s="40"/>
      <c r="J4441" s="134"/>
    </row>
    <row r="4442" spans="4:10" x14ac:dyDescent="0.3">
      <c r="D4442" s="40"/>
      <c r="J4442" s="134"/>
    </row>
    <row r="4443" spans="4:10" x14ac:dyDescent="0.3">
      <c r="D4443" s="40"/>
      <c r="J4443" s="134"/>
    </row>
    <row r="4444" spans="4:10" x14ac:dyDescent="0.3">
      <c r="D4444" s="40"/>
      <c r="J4444" s="134"/>
    </row>
    <row r="4445" spans="4:10" x14ac:dyDescent="0.3">
      <c r="D4445" s="40"/>
      <c r="J4445" s="134"/>
    </row>
    <row r="4446" spans="4:10" x14ac:dyDescent="0.3">
      <c r="D4446" s="40"/>
      <c r="J4446" s="134"/>
    </row>
    <row r="4447" spans="4:10" x14ac:dyDescent="0.3">
      <c r="D4447" s="40"/>
      <c r="J4447" s="134"/>
    </row>
    <row r="4448" spans="4:10" x14ac:dyDescent="0.3">
      <c r="D4448" s="40"/>
      <c r="J4448" s="134"/>
    </row>
    <row r="4449" spans="4:10" x14ac:dyDescent="0.3">
      <c r="D4449" s="40"/>
      <c r="J4449" s="134"/>
    </row>
    <row r="4450" spans="4:10" x14ac:dyDescent="0.3">
      <c r="D4450" s="40"/>
      <c r="J4450" s="134"/>
    </row>
    <row r="4451" spans="4:10" x14ac:dyDescent="0.3">
      <c r="D4451" s="40"/>
      <c r="J4451" s="134"/>
    </row>
    <row r="4452" spans="4:10" x14ac:dyDescent="0.3">
      <c r="D4452" s="40"/>
      <c r="J4452" s="134"/>
    </row>
    <row r="4453" spans="4:10" x14ac:dyDescent="0.3">
      <c r="D4453" s="40"/>
      <c r="J4453" s="134"/>
    </row>
    <row r="4454" spans="4:10" x14ac:dyDescent="0.3">
      <c r="D4454" s="40"/>
      <c r="J4454" s="134"/>
    </row>
    <row r="4455" spans="4:10" x14ac:dyDescent="0.3">
      <c r="D4455" s="40"/>
      <c r="J4455" s="134"/>
    </row>
    <row r="4456" spans="4:10" x14ac:dyDescent="0.3">
      <c r="D4456" s="40"/>
      <c r="J4456" s="134"/>
    </row>
    <row r="4457" spans="4:10" x14ac:dyDescent="0.3">
      <c r="D4457" s="40"/>
      <c r="J4457" s="134"/>
    </row>
    <row r="4458" spans="4:10" x14ac:dyDescent="0.3">
      <c r="D4458" s="40"/>
      <c r="J4458" s="134"/>
    </row>
    <row r="4459" spans="4:10" x14ac:dyDescent="0.3">
      <c r="D4459" s="40"/>
      <c r="J4459" s="134"/>
    </row>
    <row r="4460" spans="4:10" x14ac:dyDescent="0.3">
      <c r="D4460" s="40"/>
      <c r="J4460" s="134"/>
    </row>
    <row r="4461" spans="4:10" x14ac:dyDescent="0.3">
      <c r="D4461" s="40"/>
      <c r="J4461" s="134"/>
    </row>
    <row r="4462" spans="4:10" x14ac:dyDescent="0.3">
      <c r="D4462" s="40"/>
      <c r="J4462" s="134"/>
    </row>
    <row r="4463" spans="4:10" x14ac:dyDescent="0.3">
      <c r="D4463" s="40"/>
      <c r="J4463" s="134"/>
    </row>
    <row r="4464" spans="4:10" x14ac:dyDescent="0.3">
      <c r="D4464" s="40"/>
      <c r="J4464" s="134"/>
    </row>
    <row r="4465" spans="4:10" x14ac:dyDescent="0.3">
      <c r="D4465" s="40"/>
      <c r="J4465" s="134"/>
    </row>
    <row r="4466" spans="4:10" x14ac:dyDescent="0.3">
      <c r="D4466" s="40"/>
      <c r="J4466" s="134"/>
    </row>
    <row r="4467" spans="4:10" x14ac:dyDescent="0.3">
      <c r="D4467" s="40"/>
      <c r="J4467" s="134"/>
    </row>
    <row r="4468" spans="4:10" x14ac:dyDescent="0.3">
      <c r="D4468" s="40"/>
      <c r="J4468" s="134"/>
    </row>
    <row r="4469" spans="4:10" x14ac:dyDescent="0.3">
      <c r="D4469" s="40"/>
      <c r="J4469" s="134"/>
    </row>
    <row r="4470" spans="4:10" x14ac:dyDescent="0.3">
      <c r="D4470" s="40"/>
      <c r="J4470" s="134"/>
    </row>
    <row r="4471" spans="4:10" x14ac:dyDescent="0.3">
      <c r="D4471" s="40"/>
      <c r="J4471" s="134"/>
    </row>
    <row r="4472" spans="4:10" x14ac:dyDescent="0.3">
      <c r="D4472" s="40"/>
      <c r="J4472" s="134"/>
    </row>
    <row r="4473" spans="4:10" x14ac:dyDescent="0.3">
      <c r="D4473" s="40"/>
      <c r="J4473" s="134"/>
    </row>
    <row r="4474" spans="4:10" x14ac:dyDescent="0.3">
      <c r="D4474" s="40"/>
      <c r="J4474" s="134"/>
    </row>
    <row r="4475" spans="4:10" x14ac:dyDescent="0.3">
      <c r="D4475" s="40"/>
      <c r="J4475" s="134"/>
    </row>
    <row r="4476" spans="4:10" x14ac:dyDescent="0.3">
      <c r="D4476" s="40"/>
      <c r="J4476" s="134"/>
    </row>
    <row r="4477" spans="4:10" x14ac:dyDescent="0.3">
      <c r="D4477" s="40"/>
      <c r="J4477" s="134"/>
    </row>
    <row r="4478" spans="4:10" x14ac:dyDescent="0.3">
      <c r="D4478" s="40"/>
      <c r="J4478" s="134"/>
    </row>
    <row r="4479" spans="4:10" x14ac:dyDescent="0.3">
      <c r="D4479" s="40"/>
      <c r="J4479" s="134"/>
    </row>
    <row r="4480" spans="4:10" x14ac:dyDescent="0.3">
      <c r="D4480" s="40"/>
      <c r="J4480" s="134"/>
    </row>
    <row r="4481" spans="4:10" x14ac:dyDescent="0.3">
      <c r="D4481" s="40"/>
      <c r="J4481" s="134"/>
    </row>
    <row r="4482" spans="4:10" x14ac:dyDescent="0.3">
      <c r="D4482" s="40"/>
      <c r="J4482" s="134"/>
    </row>
    <row r="4483" spans="4:10" x14ac:dyDescent="0.3">
      <c r="D4483" s="40"/>
      <c r="J4483" s="134"/>
    </row>
    <row r="4484" spans="4:10" x14ac:dyDescent="0.3">
      <c r="D4484" s="40"/>
      <c r="J4484" s="134"/>
    </row>
    <row r="4485" spans="4:10" x14ac:dyDescent="0.3">
      <c r="D4485" s="40"/>
      <c r="J4485" s="134"/>
    </row>
    <row r="4486" spans="4:10" x14ac:dyDescent="0.3">
      <c r="D4486" s="40"/>
      <c r="J4486" s="134"/>
    </row>
    <row r="4487" spans="4:10" x14ac:dyDescent="0.3">
      <c r="D4487" s="40"/>
      <c r="J4487" s="134"/>
    </row>
    <row r="4488" spans="4:10" x14ac:dyDescent="0.3">
      <c r="D4488" s="40"/>
      <c r="J4488" s="134"/>
    </row>
    <row r="4489" spans="4:10" x14ac:dyDescent="0.3">
      <c r="D4489" s="40"/>
      <c r="J4489" s="134"/>
    </row>
    <row r="4490" spans="4:10" x14ac:dyDescent="0.3">
      <c r="D4490" s="40"/>
      <c r="J4490" s="134"/>
    </row>
    <row r="4491" spans="4:10" x14ac:dyDescent="0.3">
      <c r="D4491" s="40"/>
      <c r="J4491" s="134"/>
    </row>
    <row r="4492" spans="4:10" x14ac:dyDescent="0.3">
      <c r="D4492" s="40"/>
      <c r="J4492" s="134"/>
    </row>
    <row r="4493" spans="4:10" x14ac:dyDescent="0.3">
      <c r="D4493" s="40"/>
      <c r="J4493" s="134"/>
    </row>
    <row r="4494" spans="4:10" x14ac:dyDescent="0.3">
      <c r="D4494" s="40"/>
      <c r="J4494" s="134"/>
    </row>
    <row r="4495" spans="4:10" x14ac:dyDescent="0.3">
      <c r="D4495" s="40"/>
      <c r="J4495" s="134"/>
    </row>
    <row r="4496" spans="4:10" x14ac:dyDescent="0.3">
      <c r="D4496" s="40"/>
      <c r="J4496" s="134"/>
    </row>
    <row r="4497" spans="4:10" x14ac:dyDescent="0.3">
      <c r="D4497" s="40"/>
      <c r="J4497" s="134"/>
    </row>
    <row r="4498" spans="4:10" x14ac:dyDescent="0.3">
      <c r="D4498" s="40"/>
      <c r="J4498" s="134"/>
    </row>
    <row r="4499" spans="4:10" x14ac:dyDescent="0.3">
      <c r="D4499" s="40"/>
      <c r="J4499" s="134"/>
    </row>
    <row r="4500" spans="4:10" x14ac:dyDescent="0.3">
      <c r="D4500" s="40"/>
      <c r="J4500" s="134"/>
    </row>
    <row r="4501" spans="4:10" x14ac:dyDescent="0.3">
      <c r="D4501" s="40"/>
      <c r="J4501" s="134"/>
    </row>
    <row r="4502" spans="4:10" x14ac:dyDescent="0.3">
      <c r="D4502" s="40"/>
      <c r="J4502" s="134"/>
    </row>
    <row r="4503" spans="4:10" x14ac:dyDescent="0.3">
      <c r="D4503" s="40"/>
      <c r="J4503" s="134"/>
    </row>
    <row r="4504" spans="4:10" x14ac:dyDescent="0.3">
      <c r="D4504" s="40"/>
      <c r="J4504" s="134"/>
    </row>
    <row r="4505" spans="4:10" x14ac:dyDescent="0.3">
      <c r="D4505" s="40"/>
      <c r="J4505" s="134"/>
    </row>
    <row r="4506" spans="4:10" x14ac:dyDescent="0.3">
      <c r="D4506" s="40"/>
      <c r="J4506" s="134"/>
    </row>
    <row r="4507" spans="4:10" x14ac:dyDescent="0.3">
      <c r="D4507" s="40"/>
      <c r="J4507" s="134"/>
    </row>
    <row r="4508" spans="4:10" x14ac:dyDescent="0.3">
      <c r="D4508" s="40"/>
      <c r="J4508" s="134"/>
    </row>
    <row r="4509" spans="4:10" x14ac:dyDescent="0.3">
      <c r="D4509" s="40"/>
      <c r="J4509" s="134"/>
    </row>
    <row r="4510" spans="4:10" x14ac:dyDescent="0.3">
      <c r="D4510" s="40"/>
      <c r="J4510" s="134"/>
    </row>
    <row r="4511" spans="4:10" x14ac:dyDescent="0.3">
      <c r="D4511" s="40"/>
      <c r="J4511" s="134"/>
    </row>
    <row r="4512" spans="4:10" x14ac:dyDescent="0.3">
      <c r="D4512" s="40"/>
      <c r="J4512" s="134"/>
    </row>
    <row r="4513" spans="4:10" x14ac:dyDescent="0.3">
      <c r="D4513" s="40"/>
      <c r="J4513" s="134"/>
    </row>
    <row r="4514" spans="4:10" x14ac:dyDescent="0.3">
      <c r="D4514" s="40"/>
      <c r="J4514" s="134"/>
    </row>
    <row r="4515" spans="4:10" x14ac:dyDescent="0.3">
      <c r="D4515" s="40"/>
      <c r="J4515" s="134"/>
    </row>
    <row r="4516" spans="4:10" x14ac:dyDescent="0.3">
      <c r="D4516" s="40"/>
      <c r="J4516" s="134"/>
    </row>
    <row r="4517" spans="4:10" x14ac:dyDescent="0.3">
      <c r="D4517" s="40"/>
      <c r="J4517" s="134"/>
    </row>
    <row r="4518" spans="4:10" x14ac:dyDescent="0.3">
      <c r="D4518" s="40"/>
      <c r="J4518" s="134"/>
    </row>
    <row r="4519" spans="4:10" x14ac:dyDescent="0.3">
      <c r="D4519" s="40"/>
      <c r="J4519" s="134"/>
    </row>
    <row r="4520" spans="4:10" x14ac:dyDescent="0.3">
      <c r="D4520" s="40"/>
      <c r="J4520" s="134"/>
    </row>
    <row r="4521" spans="4:10" x14ac:dyDescent="0.3">
      <c r="D4521" s="40"/>
      <c r="J4521" s="134"/>
    </row>
    <row r="4522" spans="4:10" x14ac:dyDescent="0.3">
      <c r="D4522" s="40"/>
      <c r="J4522" s="134"/>
    </row>
    <row r="4523" spans="4:10" x14ac:dyDescent="0.3">
      <c r="D4523" s="40"/>
      <c r="J4523" s="134"/>
    </row>
    <row r="4524" spans="4:10" x14ac:dyDescent="0.3">
      <c r="D4524" s="40"/>
      <c r="J4524" s="134"/>
    </row>
    <row r="4525" spans="4:10" x14ac:dyDescent="0.3">
      <c r="D4525" s="40"/>
      <c r="J4525" s="134"/>
    </row>
    <row r="4526" spans="4:10" x14ac:dyDescent="0.3">
      <c r="D4526" s="40"/>
      <c r="J4526" s="134"/>
    </row>
    <row r="4527" spans="4:10" x14ac:dyDescent="0.3">
      <c r="D4527" s="40"/>
      <c r="J4527" s="134"/>
    </row>
    <row r="4528" spans="4:10" x14ac:dyDescent="0.3">
      <c r="D4528" s="40"/>
      <c r="J4528" s="134"/>
    </row>
    <row r="4529" spans="4:10" x14ac:dyDescent="0.3">
      <c r="D4529" s="40"/>
      <c r="J4529" s="134"/>
    </row>
    <row r="4530" spans="4:10" x14ac:dyDescent="0.3">
      <c r="D4530" s="40"/>
      <c r="J4530" s="134"/>
    </row>
    <row r="4531" spans="4:10" x14ac:dyDescent="0.3">
      <c r="D4531" s="40"/>
      <c r="J4531" s="134"/>
    </row>
    <row r="4532" spans="4:10" x14ac:dyDescent="0.3">
      <c r="D4532" s="40"/>
      <c r="J4532" s="134"/>
    </row>
    <row r="4533" spans="4:10" x14ac:dyDescent="0.3">
      <c r="D4533" s="40"/>
      <c r="J4533" s="134"/>
    </row>
    <row r="4534" spans="4:10" x14ac:dyDescent="0.3">
      <c r="D4534" s="40"/>
      <c r="J4534" s="134"/>
    </row>
    <row r="4535" spans="4:10" x14ac:dyDescent="0.3">
      <c r="D4535" s="40"/>
      <c r="J4535" s="134"/>
    </row>
    <row r="4536" spans="4:10" x14ac:dyDescent="0.3">
      <c r="D4536" s="40"/>
      <c r="J4536" s="134"/>
    </row>
    <row r="4537" spans="4:10" x14ac:dyDescent="0.3">
      <c r="D4537" s="40"/>
      <c r="J4537" s="134"/>
    </row>
    <row r="4538" spans="4:10" x14ac:dyDescent="0.3">
      <c r="D4538" s="40"/>
      <c r="J4538" s="134"/>
    </row>
    <row r="4539" spans="4:10" x14ac:dyDescent="0.3">
      <c r="D4539" s="40"/>
      <c r="J4539" s="134"/>
    </row>
    <row r="4540" spans="4:10" x14ac:dyDescent="0.3">
      <c r="D4540" s="40"/>
      <c r="J4540" s="134"/>
    </row>
    <row r="4541" spans="4:10" x14ac:dyDescent="0.3">
      <c r="D4541" s="40"/>
      <c r="J4541" s="134"/>
    </row>
    <row r="4542" spans="4:10" x14ac:dyDescent="0.3">
      <c r="D4542" s="40"/>
      <c r="J4542" s="134"/>
    </row>
    <row r="4543" spans="4:10" x14ac:dyDescent="0.3">
      <c r="D4543" s="40"/>
      <c r="J4543" s="134"/>
    </row>
    <row r="4544" spans="4:10" x14ac:dyDescent="0.3">
      <c r="D4544" s="40"/>
      <c r="J4544" s="134"/>
    </row>
    <row r="4545" spans="4:10" x14ac:dyDescent="0.3">
      <c r="D4545" s="40"/>
      <c r="J4545" s="134"/>
    </row>
    <row r="4546" spans="4:10" x14ac:dyDescent="0.3">
      <c r="D4546" s="40"/>
      <c r="J4546" s="134"/>
    </row>
    <row r="4547" spans="4:10" x14ac:dyDescent="0.3">
      <c r="D4547" s="40"/>
      <c r="J4547" s="134"/>
    </row>
    <row r="4548" spans="4:10" x14ac:dyDescent="0.3">
      <c r="D4548" s="40"/>
      <c r="J4548" s="134"/>
    </row>
    <row r="4549" spans="4:10" x14ac:dyDescent="0.3">
      <c r="D4549" s="40"/>
      <c r="J4549" s="134"/>
    </row>
    <row r="4550" spans="4:10" x14ac:dyDescent="0.3">
      <c r="D4550" s="40"/>
      <c r="J4550" s="134"/>
    </row>
    <row r="4551" spans="4:10" x14ac:dyDescent="0.3">
      <c r="D4551" s="40"/>
      <c r="J4551" s="134"/>
    </row>
    <row r="4552" spans="4:10" x14ac:dyDescent="0.3">
      <c r="D4552" s="40"/>
      <c r="J4552" s="134"/>
    </row>
    <row r="4553" spans="4:10" x14ac:dyDescent="0.3">
      <c r="D4553" s="40"/>
      <c r="J4553" s="134"/>
    </row>
    <row r="4554" spans="4:10" x14ac:dyDescent="0.3">
      <c r="D4554" s="40"/>
      <c r="J4554" s="134"/>
    </row>
    <row r="4555" spans="4:10" x14ac:dyDescent="0.3">
      <c r="D4555" s="40"/>
      <c r="J4555" s="134"/>
    </row>
    <row r="4556" spans="4:10" x14ac:dyDescent="0.3">
      <c r="D4556" s="40"/>
      <c r="J4556" s="134"/>
    </row>
    <row r="4557" spans="4:10" x14ac:dyDescent="0.3">
      <c r="D4557" s="40"/>
      <c r="J4557" s="134"/>
    </row>
    <row r="4558" spans="4:10" x14ac:dyDescent="0.3">
      <c r="D4558" s="40"/>
      <c r="J4558" s="134"/>
    </row>
    <row r="4559" spans="4:10" x14ac:dyDescent="0.3">
      <c r="D4559" s="40"/>
      <c r="J4559" s="134"/>
    </row>
    <row r="4560" spans="4:10" x14ac:dyDescent="0.3">
      <c r="D4560" s="40"/>
      <c r="J4560" s="134"/>
    </row>
    <row r="4561" spans="4:10" x14ac:dyDescent="0.3">
      <c r="D4561" s="40"/>
      <c r="J4561" s="134"/>
    </row>
    <row r="4562" spans="4:10" x14ac:dyDescent="0.3">
      <c r="D4562" s="40"/>
      <c r="J4562" s="134"/>
    </row>
    <row r="4563" spans="4:10" x14ac:dyDescent="0.3">
      <c r="D4563" s="40"/>
      <c r="J4563" s="134"/>
    </row>
    <row r="4564" spans="4:10" x14ac:dyDescent="0.3">
      <c r="D4564" s="40"/>
      <c r="J4564" s="134"/>
    </row>
    <row r="4565" spans="4:10" x14ac:dyDescent="0.3">
      <c r="D4565" s="40"/>
      <c r="J4565" s="134"/>
    </row>
    <row r="4566" spans="4:10" x14ac:dyDescent="0.3">
      <c r="D4566" s="40"/>
      <c r="J4566" s="134"/>
    </row>
    <row r="4567" spans="4:10" x14ac:dyDescent="0.3">
      <c r="D4567" s="40"/>
      <c r="J4567" s="134"/>
    </row>
    <row r="4568" spans="4:10" x14ac:dyDescent="0.3">
      <c r="D4568" s="40"/>
      <c r="J4568" s="134"/>
    </row>
    <row r="4569" spans="4:10" x14ac:dyDescent="0.3">
      <c r="D4569" s="40"/>
      <c r="J4569" s="134"/>
    </row>
    <row r="4570" spans="4:10" x14ac:dyDescent="0.3">
      <c r="D4570" s="40"/>
      <c r="J4570" s="134"/>
    </row>
    <row r="4571" spans="4:10" x14ac:dyDescent="0.3">
      <c r="D4571" s="40"/>
      <c r="J4571" s="134"/>
    </row>
    <row r="4572" spans="4:10" x14ac:dyDescent="0.3">
      <c r="D4572" s="40"/>
      <c r="J4572" s="134"/>
    </row>
    <row r="4573" spans="4:10" x14ac:dyDescent="0.3">
      <c r="D4573" s="40"/>
      <c r="J4573" s="134"/>
    </row>
    <row r="4574" spans="4:10" x14ac:dyDescent="0.3">
      <c r="D4574" s="40"/>
      <c r="J4574" s="134"/>
    </row>
    <row r="4575" spans="4:10" x14ac:dyDescent="0.3">
      <c r="D4575" s="40"/>
      <c r="J4575" s="134"/>
    </row>
    <row r="4576" spans="4:10" x14ac:dyDescent="0.3">
      <c r="D4576" s="40"/>
      <c r="J4576" s="134"/>
    </row>
    <row r="4577" spans="4:10" x14ac:dyDescent="0.3">
      <c r="D4577" s="40"/>
      <c r="J4577" s="134"/>
    </row>
    <row r="4578" spans="4:10" x14ac:dyDescent="0.3">
      <c r="D4578" s="40"/>
      <c r="J4578" s="134"/>
    </row>
    <row r="4579" spans="4:10" x14ac:dyDescent="0.3">
      <c r="D4579" s="40"/>
      <c r="J4579" s="134"/>
    </row>
    <row r="4580" spans="4:10" x14ac:dyDescent="0.3">
      <c r="D4580" s="40"/>
      <c r="J4580" s="134"/>
    </row>
    <row r="4581" spans="4:10" x14ac:dyDescent="0.3">
      <c r="D4581" s="40"/>
      <c r="J4581" s="134"/>
    </row>
    <row r="4582" spans="4:10" x14ac:dyDescent="0.3">
      <c r="D4582" s="40"/>
      <c r="J4582" s="134"/>
    </row>
    <row r="4583" spans="4:10" x14ac:dyDescent="0.3">
      <c r="D4583" s="40"/>
      <c r="J4583" s="134"/>
    </row>
    <row r="4584" spans="4:10" x14ac:dyDescent="0.3">
      <c r="D4584" s="40"/>
      <c r="J4584" s="134"/>
    </row>
    <row r="4585" spans="4:10" x14ac:dyDescent="0.3">
      <c r="D4585" s="40"/>
      <c r="J4585" s="134"/>
    </row>
    <row r="4586" spans="4:10" x14ac:dyDescent="0.3">
      <c r="D4586" s="40"/>
      <c r="J4586" s="134"/>
    </row>
    <row r="4587" spans="4:10" x14ac:dyDescent="0.3">
      <c r="D4587" s="40"/>
      <c r="J4587" s="134"/>
    </row>
    <row r="4588" spans="4:10" x14ac:dyDescent="0.3">
      <c r="D4588" s="40"/>
      <c r="J4588" s="134"/>
    </row>
    <row r="4589" spans="4:10" x14ac:dyDescent="0.3">
      <c r="D4589" s="40"/>
      <c r="J4589" s="134"/>
    </row>
    <row r="4590" spans="4:10" x14ac:dyDescent="0.3">
      <c r="D4590" s="40"/>
      <c r="J4590" s="134"/>
    </row>
    <row r="4591" spans="4:10" x14ac:dyDescent="0.3">
      <c r="D4591" s="40"/>
      <c r="J4591" s="134"/>
    </row>
    <row r="4592" spans="4:10" x14ac:dyDescent="0.3">
      <c r="D4592" s="40"/>
      <c r="J4592" s="134"/>
    </row>
    <row r="4593" spans="4:10" x14ac:dyDescent="0.3">
      <c r="D4593" s="40"/>
      <c r="J4593" s="134"/>
    </row>
    <row r="4594" spans="4:10" x14ac:dyDescent="0.3">
      <c r="D4594" s="40"/>
      <c r="J4594" s="134"/>
    </row>
    <row r="4595" spans="4:10" x14ac:dyDescent="0.3">
      <c r="D4595" s="40"/>
      <c r="J4595" s="134"/>
    </row>
    <row r="4596" spans="4:10" x14ac:dyDescent="0.3">
      <c r="D4596" s="40"/>
      <c r="J4596" s="134"/>
    </row>
    <row r="4597" spans="4:10" x14ac:dyDescent="0.3">
      <c r="D4597" s="40"/>
      <c r="J4597" s="134"/>
    </row>
    <row r="4598" spans="4:10" x14ac:dyDescent="0.3">
      <c r="D4598" s="40"/>
      <c r="J4598" s="134"/>
    </row>
    <row r="4599" spans="4:10" x14ac:dyDescent="0.3">
      <c r="D4599" s="40"/>
      <c r="J4599" s="134"/>
    </row>
    <row r="4600" spans="4:10" x14ac:dyDescent="0.3">
      <c r="D4600" s="40"/>
      <c r="J4600" s="134"/>
    </row>
    <row r="4601" spans="4:10" x14ac:dyDescent="0.3">
      <c r="D4601" s="40"/>
      <c r="J4601" s="134"/>
    </row>
    <row r="4602" spans="4:10" x14ac:dyDescent="0.3">
      <c r="D4602" s="40"/>
      <c r="J4602" s="134"/>
    </row>
    <row r="4603" spans="4:10" x14ac:dyDescent="0.3">
      <c r="D4603" s="40"/>
      <c r="J4603" s="134"/>
    </row>
    <row r="4604" spans="4:10" x14ac:dyDescent="0.3">
      <c r="D4604" s="40"/>
      <c r="J4604" s="134"/>
    </row>
    <row r="4605" spans="4:10" x14ac:dyDescent="0.3">
      <c r="D4605" s="40"/>
      <c r="J4605" s="134"/>
    </row>
    <row r="4606" spans="4:10" x14ac:dyDescent="0.3">
      <c r="D4606" s="40"/>
      <c r="J4606" s="134"/>
    </row>
    <row r="4607" spans="4:10" x14ac:dyDescent="0.3">
      <c r="D4607" s="40"/>
      <c r="J4607" s="134"/>
    </row>
    <row r="4608" spans="4:10" x14ac:dyDescent="0.3">
      <c r="D4608" s="40"/>
      <c r="J4608" s="134"/>
    </row>
    <row r="4609" spans="4:10" x14ac:dyDescent="0.3">
      <c r="D4609" s="40"/>
      <c r="J4609" s="134"/>
    </row>
    <row r="4610" spans="4:10" x14ac:dyDescent="0.3">
      <c r="D4610" s="40"/>
      <c r="J4610" s="134"/>
    </row>
    <row r="4611" spans="4:10" x14ac:dyDescent="0.3">
      <c r="D4611" s="40"/>
      <c r="J4611" s="134"/>
    </row>
    <row r="4612" spans="4:10" x14ac:dyDescent="0.3">
      <c r="D4612" s="40"/>
      <c r="J4612" s="134"/>
    </row>
    <row r="4613" spans="4:10" x14ac:dyDescent="0.3">
      <c r="D4613" s="40"/>
      <c r="J4613" s="134"/>
    </row>
    <row r="4614" spans="4:10" x14ac:dyDescent="0.3">
      <c r="D4614" s="40"/>
      <c r="J4614" s="134"/>
    </row>
    <row r="4615" spans="4:10" x14ac:dyDescent="0.3">
      <c r="D4615" s="40"/>
      <c r="J4615" s="134"/>
    </row>
    <row r="4616" spans="4:10" x14ac:dyDescent="0.3">
      <c r="D4616" s="40"/>
      <c r="J4616" s="134"/>
    </row>
    <row r="4617" spans="4:10" x14ac:dyDescent="0.3">
      <c r="D4617" s="40"/>
      <c r="J4617" s="134"/>
    </row>
    <row r="4618" spans="4:10" x14ac:dyDescent="0.3">
      <c r="D4618" s="40"/>
      <c r="J4618" s="134"/>
    </row>
    <row r="4619" spans="4:10" x14ac:dyDescent="0.3">
      <c r="D4619" s="40"/>
      <c r="J4619" s="134"/>
    </row>
    <row r="4620" spans="4:10" x14ac:dyDescent="0.3">
      <c r="D4620" s="40"/>
      <c r="J4620" s="134"/>
    </row>
    <row r="4621" spans="4:10" x14ac:dyDescent="0.3">
      <c r="D4621" s="40"/>
      <c r="J4621" s="134"/>
    </row>
    <row r="4622" spans="4:10" x14ac:dyDescent="0.3">
      <c r="D4622" s="40"/>
      <c r="J4622" s="134"/>
    </row>
    <row r="4623" spans="4:10" x14ac:dyDescent="0.3">
      <c r="D4623" s="40"/>
      <c r="J4623" s="134"/>
    </row>
    <row r="4624" spans="4:10" x14ac:dyDescent="0.3">
      <c r="D4624" s="40"/>
      <c r="J4624" s="134"/>
    </row>
    <row r="4625" spans="4:10" x14ac:dyDescent="0.3">
      <c r="D4625" s="40"/>
      <c r="J4625" s="134"/>
    </row>
    <row r="4626" spans="4:10" x14ac:dyDescent="0.3">
      <c r="D4626" s="40"/>
      <c r="J4626" s="134"/>
    </row>
    <row r="4627" spans="4:10" x14ac:dyDescent="0.3">
      <c r="D4627" s="40"/>
      <c r="J4627" s="134"/>
    </row>
    <row r="4628" spans="4:10" x14ac:dyDescent="0.3">
      <c r="D4628" s="40"/>
      <c r="J4628" s="134"/>
    </row>
    <row r="4629" spans="4:10" x14ac:dyDescent="0.3">
      <c r="D4629" s="40"/>
      <c r="J4629" s="134"/>
    </row>
    <row r="4630" spans="4:10" x14ac:dyDescent="0.3">
      <c r="D4630" s="40"/>
      <c r="J4630" s="134"/>
    </row>
    <row r="4631" spans="4:10" x14ac:dyDescent="0.3">
      <c r="D4631" s="40"/>
      <c r="J4631" s="134"/>
    </row>
    <row r="4632" spans="4:10" x14ac:dyDescent="0.3">
      <c r="D4632" s="40"/>
      <c r="J4632" s="134"/>
    </row>
    <row r="4633" spans="4:10" x14ac:dyDescent="0.3">
      <c r="D4633" s="40"/>
      <c r="J4633" s="134"/>
    </row>
    <row r="4634" spans="4:10" x14ac:dyDescent="0.3">
      <c r="D4634" s="40"/>
      <c r="J4634" s="134"/>
    </row>
    <row r="4635" spans="4:10" x14ac:dyDescent="0.3">
      <c r="D4635" s="40"/>
      <c r="J4635" s="134"/>
    </row>
    <row r="4636" spans="4:10" x14ac:dyDescent="0.3">
      <c r="D4636" s="40"/>
      <c r="J4636" s="134"/>
    </row>
    <row r="4637" spans="4:10" x14ac:dyDescent="0.3">
      <c r="D4637" s="40"/>
      <c r="J4637" s="134"/>
    </row>
    <row r="4638" spans="4:10" x14ac:dyDescent="0.3">
      <c r="D4638" s="40"/>
      <c r="J4638" s="134"/>
    </row>
    <row r="4639" spans="4:10" x14ac:dyDescent="0.3">
      <c r="D4639" s="40"/>
      <c r="J4639" s="134"/>
    </row>
    <row r="4640" spans="4:10" x14ac:dyDescent="0.3">
      <c r="D4640" s="40"/>
      <c r="J4640" s="134"/>
    </row>
    <row r="4641" spans="4:10" x14ac:dyDescent="0.3">
      <c r="D4641" s="40"/>
      <c r="J4641" s="134"/>
    </row>
    <row r="4642" spans="4:10" x14ac:dyDescent="0.3">
      <c r="D4642" s="40"/>
      <c r="J4642" s="134"/>
    </row>
    <row r="4643" spans="4:10" x14ac:dyDescent="0.3">
      <c r="D4643" s="40"/>
      <c r="J4643" s="134"/>
    </row>
    <row r="4644" spans="4:10" x14ac:dyDescent="0.3">
      <c r="D4644" s="40"/>
      <c r="J4644" s="134"/>
    </row>
    <row r="4645" spans="4:10" x14ac:dyDescent="0.3">
      <c r="D4645" s="40"/>
      <c r="J4645" s="134"/>
    </row>
    <row r="4646" spans="4:10" x14ac:dyDescent="0.3">
      <c r="D4646" s="40"/>
      <c r="J4646" s="134"/>
    </row>
    <row r="4647" spans="4:10" x14ac:dyDescent="0.3">
      <c r="D4647" s="40"/>
      <c r="J4647" s="134"/>
    </row>
    <row r="4648" spans="4:10" x14ac:dyDescent="0.3">
      <c r="D4648" s="40"/>
      <c r="J4648" s="134"/>
    </row>
    <row r="4649" spans="4:10" x14ac:dyDescent="0.3">
      <c r="D4649" s="40"/>
      <c r="J4649" s="134"/>
    </row>
    <row r="4650" spans="4:10" x14ac:dyDescent="0.3">
      <c r="D4650" s="40"/>
      <c r="J4650" s="134"/>
    </row>
    <row r="4651" spans="4:10" x14ac:dyDescent="0.3">
      <c r="D4651" s="40"/>
      <c r="J4651" s="134"/>
    </row>
    <row r="4652" spans="4:10" x14ac:dyDescent="0.3">
      <c r="D4652" s="40"/>
      <c r="J4652" s="134"/>
    </row>
    <row r="4653" spans="4:10" x14ac:dyDescent="0.3">
      <c r="D4653" s="40"/>
      <c r="J4653" s="134"/>
    </row>
    <row r="4654" spans="4:10" x14ac:dyDescent="0.3">
      <c r="D4654" s="40"/>
      <c r="J4654" s="134"/>
    </row>
    <row r="4655" spans="4:10" x14ac:dyDescent="0.3">
      <c r="D4655" s="40"/>
      <c r="J4655" s="134"/>
    </row>
    <row r="4656" spans="4:10" x14ac:dyDescent="0.3">
      <c r="D4656" s="40"/>
      <c r="J4656" s="134"/>
    </row>
    <row r="4657" spans="4:10" x14ac:dyDescent="0.3">
      <c r="D4657" s="40"/>
      <c r="J4657" s="134"/>
    </row>
    <row r="4658" spans="4:10" x14ac:dyDescent="0.3">
      <c r="D4658" s="40"/>
      <c r="J4658" s="134"/>
    </row>
    <row r="4659" spans="4:10" x14ac:dyDescent="0.3">
      <c r="D4659" s="40"/>
      <c r="J4659" s="134"/>
    </row>
    <row r="4660" spans="4:10" x14ac:dyDescent="0.3">
      <c r="D4660" s="40"/>
      <c r="J4660" s="134"/>
    </row>
    <row r="4661" spans="4:10" x14ac:dyDescent="0.3">
      <c r="D4661" s="40"/>
      <c r="J4661" s="134"/>
    </row>
    <row r="4662" spans="4:10" x14ac:dyDescent="0.3">
      <c r="D4662" s="40"/>
      <c r="J4662" s="134"/>
    </row>
    <row r="4663" spans="4:10" x14ac:dyDescent="0.3">
      <c r="D4663" s="40"/>
      <c r="J4663" s="134"/>
    </row>
    <row r="4664" spans="4:10" x14ac:dyDescent="0.3">
      <c r="D4664" s="40"/>
      <c r="J4664" s="134"/>
    </row>
    <row r="4665" spans="4:10" x14ac:dyDescent="0.3">
      <c r="D4665" s="40"/>
      <c r="J4665" s="134"/>
    </row>
    <row r="4666" spans="4:10" x14ac:dyDescent="0.3">
      <c r="D4666" s="40"/>
      <c r="J4666" s="134"/>
    </row>
    <row r="4667" spans="4:10" x14ac:dyDescent="0.3">
      <c r="D4667" s="40"/>
      <c r="J4667" s="134"/>
    </row>
    <row r="4668" spans="4:10" x14ac:dyDescent="0.3">
      <c r="D4668" s="40"/>
      <c r="J4668" s="134"/>
    </row>
    <row r="4669" spans="4:10" x14ac:dyDescent="0.3">
      <c r="D4669" s="40"/>
      <c r="J4669" s="134"/>
    </row>
    <row r="4670" spans="4:10" x14ac:dyDescent="0.3">
      <c r="D4670" s="40"/>
      <c r="J4670" s="134"/>
    </row>
    <row r="4671" spans="4:10" x14ac:dyDescent="0.3">
      <c r="D4671" s="40"/>
      <c r="J4671" s="134"/>
    </row>
    <row r="4672" spans="4:10" x14ac:dyDescent="0.3">
      <c r="D4672" s="40"/>
      <c r="J4672" s="134"/>
    </row>
    <row r="4673" spans="4:10" x14ac:dyDescent="0.3">
      <c r="D4673" s="40"/>
      <c r="J4673" s="134"/>
    </row>
    <row r="4674" spans="4:10" x14ac:dyDescent="0.3">
      <c r="D4674" s="40"/>
      <c r="J4674" s="134"/>
    </row>
    <row r="4675" spans="4:10" x14ac:dyDescent="0.3">
      <c r="D4675" s="40"/>
      <c r="J4675" s="134"/>
    </row>
    <row r="4676" spans="4:10" x14ac:dyDescent="0.3">
      <c r="D4676" s="40"/>
      <c r="J4676" s="134"/>
    </row>
    <row r="4677" spans="4:10" x14ac:dyDescent="0.3">
      <c r="D4677" s="40"/>
      <c r="J4677" s="134"/>
    </row>
    <row r="4678" spans="4:10" x14ac:dyDescent="0.3">
      <c r="D4678" s="40"/>
      <c r="J4678" s="134"/>
    </row>
    <row r="4679" spans="4:10" x14ac:dyDescent="0.3">
      <c r="D4679" s="40"/>
      <c r="J4679" s="134"/>
    </row>
    <row r="4680" spans="4:10" x14ac:dyDescent="0.3">
      <c r="D4680" s="40"/>
      <c r="J4680" s="134"/>
    </row>
    <row r="4681" spans="4:10" x14ac:dyDescent="0.3">
      <c r="D4681" s="40"/>
      <c r="J4681" s="134"/>
    </row>
    <row r="4682" spans="4:10" x14ac:dyDescent="0.3">
      <c r="D4682" s="40"/>
      <c r="J4682" s="134"/>
    </row>
    <row r="4683" spans="4:10" x14ac:dyDescent="0.3">
      <c r="D4683" s="40"/>
      <c r="J4683" s="134"/>
    </row>
    <row r="4684" spans="4:10" x14ac:dyDescent="0.3">
      <c r="D4684" s="40"/>
      <c r="J4684" s="134"/>
    </row>
    <row r="4685" spans="4:10" x14ac:dyDescent="0.3">
      <c r="D4685" s="40"/>
      <c r="J4685" s="134"/>
    </row>
    <row r="4686" spans="4:10" x14ac:dyDescent="0.3">
      <c r="D4686" s="40"/>
      <c r="J4686" s="134"/>
    </row>
    <row r="4687" spans="4:10" x14ac:dyDescent="0.3">
      <c r="D4687" s="40"/>
      <c r="J4687" s="134"/>
    </row>
    <row r="4688" spans="4:10" x14ac:dyDescent="0.3">
      <c r="D4688" s="40"/>
      <c r="J4688" s="134"/>
    </row>
    <row r="4689" spans="4:10" x14ac:dyDescent="0.3">
      <c r="D4689" s="40"/>
      <c r="J4689" s="134"/>
    </row>
    <row r="4690" spans="4:10" x14ac:dyDescent="0.3">
      <c r="D4690" s="40"/>
      <c r="J4690" s="134"/>
    </row>
    <row r="4691" spans="4:10" x14ac:dyDescent="0.3">
      <c r="D4691" s="40"/>
      <c r="J4691" s="134"/>
    </row>
    <row r="4692" spans="4:10" x14ac:dyDescent="0.3">
      <c r="D4692" s="40"/>
      <c r="J4692" s="134"/>
    </row>
    <row r="4693" spans="4:10" x14ac:dyDescent="0.3">
      <c r="D4693" s="40"/>
      <c r="J4693" s="134"/>
    </row>
    <row r="4694" spans="4:10" x14ac:dyDescent="0.3">
      <c r="D4694" s="40"/>
      <c r="J4694" s="134"/>
    </row>
    <row r="4695" spans="4:10" x14ac:dyDescent="0.3">
      <c r="D4695" s="40"/>
      <c r="J4695" s="134"/>
    </row>
    <row r="4696" spans="4:10" x14ac:dyDescent="0.3">
      <c r="D4696" s="40"/>
      <c r="J4696" s="134"/>
    </row>
    <row r="4697" spans="4:10" x14ac:dyDescent="0.3">
      <c r="D4697" s="40"/>
      <c r="J4697" s="134"/>
    </row>
    <row r="4698" spans="4:10" x14ac:dyDescent="0.3">
      <c r="D4698" s="40"/>
      <c r="J4698" s="134"/>
    </row>
    <row r="4699" spans="4:10" x14ac:dyDescent="0.3">
      <c r="D4699" s="40"/>
      <c r="J4699" s="134"/>
    </row>
    <row r="4700" spans="4:10" x14ac:dyDescent="0.3">
      <c r="D4700" s="40"/>
      <c r="J4700" s="134"/>
    </row>
    <row r="4701" spans="4:10" x14ac:dyDescent="0.3">
      <c r="D4701" s="40"/>
      <c r="J4701" s="134"/>
    </row>
    <row r="4702" spans="4:10" x14ac:dyDescent="0.3">
      <c r="D4702" s="40"/>
      <c r="J4702" s="134"/>
    </row>
    <row r="4703" spans="4:10" x14ac:dyDescent="0.3">
      <c r="D4703" s="40"/>
      <c r="J4703" s="134"/>
    </row>
    <row r="4704" spans="4:10" x14ac:dyDescent="0.3">
      <c r="D4704" s="40"/>
      <c r="J4704" s="134"/>
    </row>
    <row r="4705" spans="4:10" x14ac:dyDescent="0.3">
      <c r="D4705" s="40"/>
      <c r="J4705" s="134"/>
    </row>
    <row r="4706" spans="4:10" x14ac:dyDescent="0.3">
      <c r="D4706" s="40"/>
      <c r="J4706" s="134"/>
    </row>
    <row r="4707" spans="4:10" x14ac:dyDescent="0.3">
      <c r="D4707" s="40"/>
      <c r="J4707" s="134"/>
    </row>
    <row r="4708" spans="4:10" x14ac:dyDescent="0.3">
      <c r="D4708" s="40"/>
      <c r="J4708" s="134"/>
    </row>
    <row r="4709" spans="4:10" x14ac:dyDescent="0.3">
      <c r="D4709" s="40"/>
      <c r="J4709" s="134"/>
    </row>
    <row r="4710" spans="4:10" x14ac:dyDescent="0.3">
      <c r="D4710" s="40"/>
      <c r="J4710" s="134"/>
    </row>
    <row r="4711" spans="4:10" x14ac:dyDescent="0.3">
      <c r="D4711" s="40"/>
      <c r="J4711" s="134"/>
    </row>
    <row r="4712" spans="4:10" x14ac:dyDescent="0.3">
      <c r="D4712" s="40"/>
      <c r="J4712" s="134"/>
    </row>
    <row r="4713" spans="4:10" x14ac:dyDescent="0.3">
      <c r="D4713" s="40"/>
      <c r="J4713" s="134"/>
    </row>
    <row r="4714" spans="4:10" x14ac:dyDescent="0.3">
      <c r="D4714" s="40"/>
      <c r="J4714" s="134"/>
    </row>
    <row r="4715" spans="4:10" x14ac:dyDescent="0.3">
      <c r="D4715" s="40"/>
      <c r="J4715" s="134"/>
    </row>
    <row r="4716" spans="4:10" x14ac:dyDescent="0.3">
      <c r="D4716" s="40"/>
      <c r="J4716" s="134"/>
    </row>
    <row r="4717" spans="4:10" x14ac:dyDescent="0.3">
      <c r="D4717" s="40"/>
      <c r="J4717" s="134"/>
    </row>
    <row r="4718" spans="4:10" x14ac:dyDescent="0.3">
      <c r="D4718" s="40"/>
      <c r="J4718" s="134"/>
    </row>
    <row r="4719" spans="4:10" x14ac:dyDescent="0.3">
      <c r="D4719" s="40"/>
      <c r="J4719" s="134"/>
    </row>
    <row r="4720" spans="4:10" x14ac:dyDescent="0.3">
      <c r="D4720" s="40"/>
      <c r="J4720" s="134"/>
    </row>
    <row r="4721" spans="4:10" x14ac:dyDescent="0.3">
      <c r="D4721" s="40"/>
      <c r="J4721" s="134"/>
    </row>
    <row r="4722" spans="4:10" x14ac:dyDescent="0.3">
      <c r="D4722" s="40"/>
      <c r="J4722" s="134"/>
    </row>
    <row r="4723" spans="4:10" x14ac:dyDescent="0.3">
      <c r="D4723" s="40"/>
      <c r="J4723" s="134"/>
    </row>
    <row r="4724" spans="4:10" x14ac:dyDescent="0.3">
      <c r="D4724" s="40"/>
      <c r="J4724" s="134"/>
    </row>
    <row r="4725" spans="4:10" x14ac:dyDescent="0.3">
      <c r="D4725" s="40"/>
      <c r="J4725" s="134"/>
    </row>
    <row r="4726" spans="4:10" x14ac:dyDescent="0.3">
      <c r="D4726" s="40"/>
      <c r="J4726" s="134"/>
    </row>
    <row r="4727" spans="4:10" x14ac:dyDescent="0.3">
      <c r="D4727" s="40"/>
      <c r="J4727" s="134"/>
    </row>
    <row r="4728" spans="4:10" x14ac:dyDescent="0.3">
      <c r="D4728" s="40"/>
      <c r="J4728" s="134"/>
    </row>
    <row r="4729" spans="4:10" x14ac:dyDescent="0.3">
      <c r="D4729" s="40"/>
      <c r="J4729" s="134"/>
    </row>
    <row r="4730" spans="4:10" x14ac:dyDescent="0.3">
      <c r="D4730" s="40"/>
      <c r="J4730" s="134"/>
    </row>
    <row r="4731" spans="4:10" x14ac:dyDescent="0.3">
      <c r="D4731" s="40"/>
      <c r="J4731" s="134"/>
    </row>
    <row r="4732" spans="4:10" x14ac:dyDescent="0.3">
      <c r="D4732" s="40"/>
      <c r="J4732" s="134"/>
    </row>
    <row r="4733" spans="4:10" x14ac:dyDescent="0.3">
      <c r="D4733" s="40"/>
      <c r="J4733" s="134"/>
    </row>
    <row r="4734" spans="4:10" x14ac:dyDescent="0.3">
      <c r="D4734" s="40"/>
      <c r="J4734" s="134"/>
    </row>
    <row r="4735" spans="4:10" x14ac:dyDescent="0.3">
      <c r="D4735" s="40"/>
      <c r="J4735" s="134"/>
    </row>
    <row r="4736" spans="4:10" x14ac:dyDescent="0.3">
      <c r="D4736" s="40"/>
      <c r="J4736" s="134"/>
    </row>
    <row r="4737" spans="4:10" x14ac:dyDescent="0.3">
      <c r="D4737" s="40"/>
      <c r="J4737" s="134"/>
    </row>
    <row r="4738" spans="4:10" x14ac:dyDescent="0.3">
      <c r="D4738" s="40"/>
      <c r="J4738" s="134"/>
    </row>
    <row r="4739" spans="4:10" x14ac:dyDescent="0.3">
      <c r="D4739" s="40"/>
      <c r="J4739" s="134"/>
    </row>
    <row r="4740" spans="4:10" x14ac:dyDescent="0.3">
      <c r="D4740" s="40"/>
      <c r="J4740" s="134"/>
    </row>
    <row r="4741" spans="4:10" x14ac:dyDescent="0.3">
      <c r="D4741" s="40"/>
      <c r="J4741" s="134"/>
    </row>
    <row r="4742" spans="4:10" x14ac:dyDescent="0.3">
      <c r="D4742" s="40"/>
      <c r="J4742" s="134"/>
    </row>
    <row r="4743" spans="4:10" x14ac:dyDescent="0.3">
      <c r="D4743" s="40"/>
      <c r="J4743" s="134"/>
    </row>
    <row r="4744" spans="4:10" x14ac:dyDescent="0.3">
      <c r="D4744" s="40"/>
      <c r="J4744" s="134"/>
    </row>
    <row r="4745" spans="4:10" x14ac:dyDescent="0.3">
      <c r="D4745" s="40"/>
      <c r="J4745" s="134"/>
    </row>
    <row r="4746" spans="4:10" x14ac:dyDescent="0.3">
      <c r="D4746" s="40"/>
      <c r="J4746" s="134"/>
    </row>
    <row r="4747" spans="4:10" x14ac:dyDescent="0.3">
      <c r="D4747" s="40"/>
      <c r="J4747" s="134"/>
    </row>
    <row r="4748" spans="4:10" x14ac:dyDescent="0.3">
      <c r="D4748" s="40"/>
      <c r="J4748" s="134"/>
    </row>
    <row r="4749" spans="4:10" x14ac:dyDescent="0.3">
      <c r="D4749" s="40"/>
      <c r="J4749" s="134"/>
    </row>
    <row r="4750" spans="4:10" x14ac:dyDescent="0.3">
      <c r="D4750" s="40"/>
      <c r="J4750" s="134"/>
    </row>
    <row r="4751" spans="4:10" x14ac:dyDescent="0.3">
      <c r="D4751" s="40"/>
      <c r="J4751" s="134"/>
    </row>
    <row r="4752" spans="4:10" x14ac:dyDescent="0.3">
      <c r="D4752" s="40"/>
      <c r="J4752" s="134"/>
    </row>
    <row r="4753" spans="4:10" x14ac:dyDescent="0.3">
      <c r="D4753" s="40"/>
      <c r="J4753" s="134"/>
    </row>
    <row r="4754" spans="4:10" x14ac:dyDescent="0.3">
      <c r="D4754" s="40"/>
      <c r="J4754" s="134"/>
    </row>
    <row r="4755" spans="4:10" x14ac:dyDescent="0.3">
      <c r="D4755" s="40"/>
      <c r="J4755" s="134"/>
    </row>
    <row r="4756" spans="4:10" x14ac:dyDescent="0.3">
      <c r="D4756" s="40"/>
      <c r="J4756" s="134"/>
    </row>
    <row r="4757" spans="4:10" x14ac:dyDescent="0.3">
      <c r="D4757" s="40"/>
      <c r="J4757" s="134"/>
    </row>
    <row r="4758" spans="4:10" x14ac:dyDescent="0.3">
      <c r="D4758" s="40"/>
      <c r="J4758" s="134"/>
    </row>
    <row r="4759" spans="4:10" x14ac:dyDescent="0.3">
      <c r="D4759" s="40"/>
      <c r="J4759" s="134"/>
    </row>
    <row r="4760" spans="4:10" x14ac:dyDescent="0.3">
      <c r="D4760" s="40"/>
      <c r="J4760" s="134"/>
    </row>
    <row r="4761" spans="4:10" x14ac:dyDescent="0.3">
      <c r="D4761" s="40"/>
      <c r="J4761" s="134"/>
    </row>
    <row r="4762" spans="4:10" x14ac:dyDescent="0.3">
      <c r="D4762" s="40"/>
      <c r="J4762" s="134"/>
    </row>
    <row r="4763" spans="4:10" x14ac:dyDescent="0.3">
      <c r="D4763" s="40"/>
      <c r="J4763" s="134"/>
    </row>
    <row r="4764" spans="4:10" x14ac:dyDescent="0.3">
      <c r="D4764" s="40"/>
      <c r="J4764" s="134"/>
    </row>
    <row r="4765" spans="4:10" x14ac:dyDescent="0.3">
      <c r="D4765" s="40"/>
      <c r="J4765" s="134"/>
    </row>
    <row r="4766" spans="4:10" x14ac:dyDescent="0.3">
      <c r="D4766" s="40"/>
      <c r="J4766" s="134"/>
    </row>
    <row r="4767" spans="4:10" x14ac:dyDescent="0.3">
      <c r="D4767" s="40"/>
      <c r="J4767" s="134"/>
    </row>
    <row r="4768" spans="4:10" x14ac:dyDescent="0.3">
      <c r="D4768" s="40"/>
      <c r="J4768" s="134"/>
    </row>
    <row r="4769" spans="4:10" x14ac:dyDescent="0.3">
      <c r="D4769" s="40"/>
      <c r="J4769" s="134"/>
    </row>
    <row r="4770" spans="4:10" x14ac:dyDescent="0.3">
      <c r="D4770" s="40"/>
      <c r="J4770" s="134"/>
    </row>
    <row r="4771" spans="4:10" x14ac:dyDescent="0.3">
      <c r="D4771" s="40"/>
      <c r="J4771" s="134"/>
    </row>
    <row r="4772" spans="4:10" x14ac:dyDescent="0.3">
      <c r="D4772" s="40"/>
      <c r="J4772" s="134"/>
    </row>
    <row r="4773" spans="4:10" x14ac:dyDescent="0.3">
      <c r="D4773" s="40"/>
      <c r="J4773" s="134"/>
    </row>
    <row r="4774" spans="4:10" x14ac:dyDescent="0.3">
      <c r="D4774" s="40"/>
      <c r="J4774" s="134"/>
    </row>
    <row r="4775" spans="4:10" x14ac:dyDescent="0.3">
      <c r="D4775" s="40"/>
      <c r="J4775" s="134"/>
    </row>
    <row r="4776" spans="4:10" x14ac:dyDescent="0.3">
      <c r="D4776" s="40"/>
      <c r="J4776" s="134"/>
    </row>
    <row r="4777" spans="4:10" x14ac:dyDescent="0.3">
      <c r="D4777" s="40"/>
      <c r="J4777" s="134"/>
    </row>
    <row r="4778" spans="4:10" x14ac:dyDescent="0.3">
      <c r="D4778" s="40"/>
      <c r="J4778" s="134"/>
    </row>
    <row r="4779" spans="4:10" x14ac:dyDescent="0.3">
      <c r="D4779" s="40"/>
      <c r="J4779" s="134"/>
    </row>
    <row r="4780" spans="4:10" x14ac:dyDescent="0.3">
      <c r="D4780" s="40"/>
      <c r="J4780" s="134"/>
    </row>
    <row r="4781" spans="4:10" x14ac:dyDescent="0.3">
      <c r="D4781" s="40"/>
      <c r="J4781" s="134"/>
    </row>
    <row r="4782" spans="4:10" x14ac:dyDescent="0.3">
      <c r="D4782" s="40"/>
      <c r="J4782" s="134"/>
    </row>
    <row r="4783" spans="4:10" x14ac:dyDescent="0.3">
      <c r="D4783" s="40"/>
      <c r="J4783" s="134"/>
    </row>
    <row r="4784" spans="4:10" x14ac:dyDescent="0.3">
      <c r="D4784" s="40"/>
      <c r="J4784" s="134"/>
    </row>
    <row r="4785" spans="4:10" x14ac:dyDescent="0.3">
      <c r="D4785" s="40"/>
      <c r="J4785" s="134"/>
    </row>
    <row r="4786" spans="4:10" x14ac:dyDescent="0.3">
      <c r="D4786" s="40"/>
      <c r="J4786" s="134"/>
    </row>
    <row r="4787" spans="4:10" x14ac:dyDescent="0.3">
      <c r="D4787" s="40"/>
      <c r="J4787" s="134"/>
    </row>
    <row r="4788" spans="4:10" x14ac:dyDescent="0.3">
      <c r="D4788" s="40"/>
      <c r="J4788" s="134"/>
    </row>
    <row r="4789" spans="4:10" x14ac:dyDescent="0.3">
      <c r="D4789" s="40"/>
      <c r="J4789" s="134"/>
    </row>
    <row r="4790" spans="4:10" x14ac:dyDescent="0.3">
      <c r="D4790" s="40"/>
      <c r="J4790" s="134"/>
    </row>
    <row r="4791" spans="4:10" x14ac:dyDescent="0.3">
      <c r="D4791" s="40"/>
      <c r="J4791" s="134"/>
    </row>
    <row r="4792" spans="4:10" x14ac:dyDescent="0.3">
      <c r="D4792" s="40"/>
      <c r="J4792" s="134"/>
    </row>
    <row r="4793" spans="4:10" x14ac:dyDescent="0.3">
      <c r="D4793" s="40"/>
      <c r="J4793" s="134"/>
    </row>
    <row r="4794" spans="4:10" x14ac:dyDescent="0.3">
      <c r="D4794" s="40"/>
      <c r="J4794" s="134"/>
    </row>
    <row r="4795" spans="4:10" x14ac:dyDescent="0.3">
      <c r="D4795" s="40"/>
      <c r="J4795" s="134"/>
    </row>
    <row r="4796" spans="4:10" x14ac:dyDescent="0.3">
      <c r="D4796" s="40"/>
      <c r="J4796" s="134"/>
    </row>
    <row r="4797" spans="4:10" x14ac:dyDescent="0.3">
      <c r="D4797" s="40"/>
      <c r="J4797" s="134"/>
    </row>
    <row r="4798" spans="4:10" x14ac:dyDescent="0.3">
      <c r="D4798" s="40"/>
      <c r="J4798" s="134"/>
    </row>
    <row r="4799" spans="4:10" x14ac:dyDescent="0.3">
      <c r="D4799" s="40"/>
      <c r="J4799" s="134"/>
    </row>
    <row r="4800" spans="4:10" x14ac:dyDescent="0.3">
      <c r="D4800" s="40"/>
      <c r="J4800" s="134"/>
    </row>
    <row r="4801" spans="4:10" x14ac:dyDescent="0.3">
      <c r="D4801" s="40"/>
      <c r="J4801" s="134"/>
    </row>
    <row r="4802" spans="4:10" x14ac:dyDescent="0.3">
      <c r="D4802" s="40"/>
      <c r="J4802" s="134"/>
    </row>
    <row r="4803" spans="4:10" x14ac:dyDescent="0.3">
      <c r="D4803" s="40"/>
      <c r="J4803" s="134"/>
    </row>
    <row r="4804" spans="4:10" x14ac:dyDescent="0.3">
      <c r="D4804" s="40"/>
      <c r="J4804" s="134"/>
    </row>
    <row r="4805" spans="4:10" x14ac:dyDescent="0.3">
      <c r="D4805" s="40"/>
      <c r="J4805" s="134"/>
    </row>
    <row r="4806" spans="4:10" x14ac:dyDescent="0.3">
      <c r="D4806" s="40"/>
      <c r="J4806" s="134"/>
    </row>
    <row r="4807" spans="4:10" x14ac:dyDescent="0.3">
      <c r="D4807" s="40"/>
      <c r="J4807" s="134"/>
    </row>
    <row r="4808" spans="4:10" x14ac:dyDescent="0.3">
      <c r="D4808" s="40"/>
      <c r="J4808" s="134"/>
    </row>
    <row r="4809" spans="4:10" x14ac:dyDescent="0.3">
      <c r="D4809" s="40"/>
      <c r="J4809" s="134"/>
    </row>
    <row r="4810" spans="4:10" x14ac:dyDescent="0.3">
      <c r="D4810" s="40"/>
      <c r="J4810" s="134"/>
    </row>
    <row r="4811" spans="4:10" x14ac:dyDescent="0.3">
      <c r="D4811" s="40"/>
      <c r="J4811" s="134"/>
    </row>
    <row r="4812" spans="4:10" x14ac:dyDescent="0.3">
      <c r="D4812" s="40"/>
      <c r="J4812" s="134"/>
    </row>
    <row r="4813" spans="4:10" x14ac:dyDescent="0.3">
      <c r="D4813" s="40"/>
      <c r="J4813" s="134"/>
    </row>
    <row r="4814" spans="4:10" x14ac:dyDescent="0.3">
      <c r="D4814" s="40"/>
      <c r="J4814" s="134"/>
    </row>
    <row r="4815" spans="4:10" x14ac:dyDescent="0.3">
      <c r="D4815" s="40"/>
      <c r="J4815" s="134"/>
    </row>
    <row r="4816" spans="4:10" x14ac:dyDescent="0.3">
      <c r="D4816" s="40"/>
      <c r="J4816" s="134"/>
    </row>
    <row r="4817" spans="4:10" x14ac:dyDescent="0.3">
      <c r="D4817" s="40"/>
      <c r="J4817" s="134"/>
    </row>
    <row r="4818" spans="4:10" x14ac:dyDescent="0.3">
      <c r="D4818" s="40"/>
      <c r="J4818" s="134"/>
    </row>
    <row r="4819" spans="4:10" x14ac:dyDescent="0.3">
      <c r="D4819" s="40"/>
      <c r="J4819" s="134"/>
    </row>
    <row r="4820" spans="4:10" x14ac:dyDescent="0.3">
      <c r="D4820" s="40"/>
      <c r="J4820" s="134"/>
    </row>
    <row r="4821" spans="4:10" x14ac:dyDescent="0.3">
      <c r="D4821" s="40"/>
      <c r="J4821" s="134"/>
    </row>
    <row r="4822" spans="4:10" x14ac:dyDescent="0.3">
      <c r="D4822" s="40"/>
      <c r="J4822" s="134"/>
    </row>
    <row r="4823" spans="4:10" x14ac:dyDescent="0.3">
      <c r="D4823" s="40"/>
      <c r="J4823" s="134"/>
    </row>
    <row r="4824" spans="4:10" x14ac:dyDescent="0.3">
      <c r="D4824" s="40"/>
      <c r="J4824" s="134"/>
    </row>
    <row r="4825" spans="4:10" x14ac:dyDescent="0.3">
      <c r="D4825" s="40"/>
      <c r="J4825" s="134"/>
    </row>
    <row r="4826" spans="4:10" x14ac:dyDescent="0.3">
      <c r="D4826" s="40"/>
      <c r="J4826" s="134"/>
    </row>
    <row r="4827" spans="4:10" x14ac:dyDescent="0.3">
      <c r="D4827" s="40"/>
      <c r="J4827" s="134"/>
    </row>
    <row r="4828" spans="4:10" x14ac:dyDescent="0.3">
      <c r="D4828" s="40"/>
      <c r="J4828" s="134"/>
    </row>
    <row r="4829" spans="4:10" x14ac:dyDescent="0.3">
      <c r="D4829" s="40"/>
      <c r="J4829" s="134"/>
    </row>
    <row r="4830" spans="4:10" x14ac:dyDescent="0.3">
      <c r="D4830" s="40"/>
      <c r="J4830" s="134"/>
    </row>
    <row r="4831" spans="4:10" x14ac:dyDescent="0.3">
      <c r="D4831" s="40"/>
      <c r="J4831" s="134"/>
    </row>
    <row r="4832" spans="4:10" x14ac:dyDescent="0.3">
      <c r="D4832" s="40"/>
      <c r="J4832" s="134"/>
    </row>
    <row r="4833" spans="4:10" x14ac:dyDescent="0.3">
      <c r="D4833" s="40"/>
      <c r="J4833" s="134"/>
    </row>
    <row r="4834" spans="4:10" x14ac:dyDescent="0.3">
      <c r="D4834" s="40"/>
      <c r="J4834" s="134"/>
    </row>
    <row r="4835" spans="4:10" x14ac:dyDescent="0.3">
      <c r="D4835" s="40"/>
      <c r="J4835" s="134"/>
    </row>
    <row r="4836" spans="4:10" x14ac:dyDescent="0.3">
      <c r="D4836" s="40"/>
      <c r="J4836" s="134"/>
    </row>
    <row r="4837" spans="4:10" x14ac:dyDescent="0.3">
      <c r="D4837" s="40"/>
      <c r="J4837" s="134"/>
    </row>
    <row r="4838" spans="4:10" x14ac:dyDescent="0.3">
      <c r="D4838" s="40"/>
      <c r="J4838" s="134"/>
    </row>
    <row r="4839" spans="4:10" x14ac:dyDescent="0.3">
      <c r="D4839" s="40"/>
      <c r="J4839" s="134"/>
    </row>
    <row r="4840" spans="4:10" x14ac:dyDescent="0.3">
      <c r="D4840" s="40"/>
      <c r="J4840" s="134"/>
    </row>
    <row r="4841" spans="4:10" x14ac:dyDescent="0.3">
      <c r="D4841" s="40"/>
      <c r="J4841" s="134"/>
    </row>
    <row r="4842" spans="4:10" x14ac:dyDescent="0.3">
      <c r="D4842" s="40"/>
      <c r="J4842" s="134"/>
    </row>
    <row r="4843" spans="4:10" x14ac:dyDescent="0.3">
      <c r="D4843" s="40"/>
      <c r="J4843" s="134"/>
    </row>
    <row r="4844" spans="4:10" x14ac:dyDescent="0.3">
      <c r="D4844" s="40"/>
      <c r="J4844" s="134"/>
    </row>
    <row r="4845" spans="4:10" x14ac:dyDescent="0.3">
      <c r="D4845" s="40"/>
      <c r="J4845" s="134"/>
    </row>
    <row r="4846" spans="4:10" x14ac:dyDescent="0.3">
      <c r="D4846" s="40"/>
      <c r="J4846" s="134"/>
    </row>
    <row r="4847" spans="4:10" x14ac:dyDescent="0.3">
      <c r="D4847" s="40"/>
      <c r="J4847" s="134"/>
    </row>
    <row r="4848" spans="4:10" x14ac:dyDescent="0.3">
      <c r="D4848" s="40"/>
      <c r="J4848" s="134"/>
    </row>
    <row r="4849" spans="4:10" x14ac:dyDescent="0.3">
      <c r="D4849" s="40"/>
      <c r="J4849" s="134"/>
    </row>
    <row r="4850" spans="4:10" x14ac:dyDescent="0.3">
      <c r="D4850" s="40"/>
      <c r="J4850" s="134"/>
    </row>
    <row r="4851" spans="4:10" x14ac:dyDescent="0.3">
      <c r="D4851" s="40"/>
      <c r="J4851" s="134"/>
    </row>
    <row r="4852" spans="4:10" x14ac:dyDescent="0.3">
      <c r="D4852" s="40"/>
      <c r="J4852" s="134"/>
    </row>
    <row r="4853" spans="4:10" x14ac:dyDescent="0.3">
      <c r="D4853" s="40"/>
      <c r="J4853" s="134"/>
    </row>
    <row r="4854" spans="4:10" x14ac:dyDescent="0.3">
      <c r="D4854" s="40"/>
      <c r="J4854" s="134"/>
    </row>
    <row r="4855" spans="4:10" x14ac:dyDescent="0.3">
      <c r="D4855" s="40"/>
      <c r="J4855" s="134"/>
    </row>
    <row r="4856" spans="4:10" x14ac:dyDescent="0.3">
      <c r="D4856" s="40"/>
      <c r="J4856" s="134"/>
    </row>
    <row r="4857" spans="4:10" x14ac:dyDescent="0.3">
      <c r="D4857" s="40"/>
      <c r="J4857" s="134"/>
    </row>
    <row r="4858" spans="4:10" x14ac:dyDescent="0.3">
      <c r="D4858" s="40"/>
      <c r="J4858" s="134"/>
    </row>
    <row r="4859" spans="4:10" x14ac:dyDescent="0.3">
      <c r="D4859" s="40"/>
      <c r="J4859" s="134"/>
    </row>
    <row r="4860" spans="4:10" x14ac:dyDescent="0.3">
      <c r="D4860" s="40"/>
      <c r="J4860" s="134"/>
    </row>
    <row r="4861" spans="4:10" x14ac:dyDescent="0.3">
      <c r="D4861" s="40"/>
      <c r="J4861" s="134"/>
    </row>
    <row r="4862" spans="4:10" x14ac:dyDescent="0.3">
      <c r="D4862" s="40"/>
      <c r="J4862" s="134"/>
    </row>
    <row r="4863" spans="4:10" x14ac:dyDescent="0.3">
      <c r="D4863" s="40"/>
      <c r="J4863" s="134"/>
    </row>
    <row r="4864" spans="4:10" x14ac:dyDescent="0.3">
      <c r="D4864" s="40"/>
      <c r="J4864" s="134"/>
    </row>
    <row r="4865" spans="4:10" x14ac:dyDescent="0.3">
      <c r="D4865" s="40"/>
      <c r="J4865" s="134"/>
    </row>
    <row r="4866" spans="4:10" x14ac:dyDescent="0.3">
      <c r="D4866" s="40"/>
      <c r="J4866" s="134"/>
    </row>
    <row r="4867" spans="4:10" x14ac:dyDescent="0.3">
      <c r="D4867" s="40"/>
      <c r="J4867" s="134"/>
    </row>
    <row r="4868" spans="4:10" x14ac:dyDescent="0.3">
      <c r="D4868" s="40"/>
      <c r="J4868" s="134"/>
    </row>
    <row r="4869" spans="4:10" x14ac:dyDescent="0.3">
      <c r="D4869" s="40"/>
      <c r="J4869" s="134"/>
    </row>
    <row r="4870" spans="4:10" x14ac:dyDescent="0.3">
      <c r="D4870" s="40"/>
      <c r="J4870" s="134"/>
    </row>
    <row r="4871" spans="4:10" x14ac:dyDescent="0.3">
      <c r="D4871" s="40"/>
      <c r="J4871" s="134"/>
    </row>
    <row r="4872" spans="4:10" x14ac:dyDescent="0.3">
      <c r="D4872" s="40"/>
      <c r="J4872" s="134"/>
    </row>
    <row r="4873" spans="4:10" x14ac:dyDescent="0.3">
      <c r="D4873" s="40"/>
      <c r="J4873" s="134"/>
    </row>
    <row r="4874" spans="4:10" x14ac:dyDescent="0.3">
      <c r="D4874" s="40"/>
      <c r="J4874" s="134"/>
    </row>
    <row r="4875" spans="4:10" x14ac:dyDescent="0.3">
      <c r="D4875" s="40"/>
      <c r="J4875" s="134"/>
    </row>
    <row r="4876" spans="4:10" x14ac:dyDescent="0.3">
      <c r="D4876" s="40"/>
      <c r="J4876" s="134"/>
    </row>
    <row r="4877" spans="4:10" x14ac:dyDescent="0.3">
      <c r="D4877" s="40"/>
      <c r="J4877" s="134"/>
    </row>
    <row r="4878" spans="4:10" x14ac:dyDescent="0.3">
      <c r="D4878" s="40"/>
      <c r="J4878" s="134"/>
    </row>
    <row r="4879" spans="4:10" x14ac:dyDescent="0.3">
      <c r="D4879" s="40"/>
      <c r="J4879" s="134"/>
    </row>
    <row r="4880" spans="4:10" x14ac:dyDescent="0.3">
      <c r="D4880" s="40"/>
      <c r="J4880" s="134"/>
    </row>
    <row r="4881" spans="4:10" x14ac:dyDescent="0.3">
      <c r="D4881" s="40"/>
      <c r="J4881" s="134"/>
    </row>
    <row r="4882" spans="4:10" x14ac:dyDescent="0.3">
      <c r="D4882" s="40"/>
      <c r="J4882" s="134"/>
    </row>
    <row r="4883" spans="4:10" x14ac:dyDescent="0.3">
      <c r="D4883" s="40"/>
      <c r="J4883" s="134"/>
    </row>
    <row r="4884" spans="4:10" x14ac:dyDescent="0.3">
      <c r="D4884" s="40"/>
      <c r="J4884" s="134"/>
    </row>
    <row r="4885" spans="4:10" x14ac:dyDescent="0.3">
      <c r="D4885" s="40"/>
      <c r="J4885" s="134"/>
    </row>
    <row r="4886" spans="4:10" x14ac:dyDescent="0.3">
      <c r="D4886" s="40"/>
      <c r="J4886" s="134"/>
    </row>
    <row r="4887" spans="4:10" x14ac:dyDescent="0.3">
      <c r="D4887" s="40"/>
      <c r="J4887" s="134"/>
    </row>
    <row r="4888" spans="4:10" x14ac:dyDescent="0.3">
      <c r="D4888" s="40"/>
      <c r="J4888" s="134"/>
    </row>
    <row r="4889" spans="4:10" x14ac:dyDescent="0.3">
      <c r="D4889" s="40"/>
      <c r="J4889" s="134"/>
    </row>
    <row r="4890" spans="4:10" x14ac:dyDescent="0.3">
      <c r="D4890" s="40"/>
      <c r="J4890" s="134"/>
    </row>
    <row r="4891" spans="4:10" x14ac:dyDescent="0.3">
      <c r="D4891" s="40"/>
      <c r="J4891" s="134"/>
    </row>
    <row r="4892" spans="4:10" x14ac:dyDescent="0.3">
      <c r="D4892" s="40"/>
      <c r="J4892" s="134"/>
    </row>
    <row r="4893" spans="4:10" x14ac:dyDescent="0.3">
      <c r="D4893" s="40"/>
      <c r="J4893" s="134"/>
    </row>
    <row r="4894" spans="4:10" x14ac:dyDescent="0.3">
      <c r="D4894" s="40"/>
      <c r="J4894" s="134"/>
    </row>
    <row r="4895" spans="4:10" x14ac:dyDescent="0.3">
      <c r="D4895" s="40"/>
      <c r="J4895" s="134"/>
    </row>
    <row r="4896" spans="4:10" x14ac:dyDescent="0.3">
      <c r="D4896" s="40"/>
      <c r="J4896" s="134"/>
    </row>
    <row r="4897" spans="4:10" x14ac:dyDescent="0.3">
      <c r="D4897" s="40"/>
      <c r="J4897" s="134"/>
    </row>
    <row r="4898" spans="4:10" x14ac:dyDescent="0.3">
      <c r="D4898" s="40"/>
      <c r="J4898" s="134"/>
    </row>
    <row r="4899" spans="4:10" x14ac:dyDescent="0.3">
      <c r="D4899" s="40"/>
      <c r="J4899" s="134"/>
    </row>
    <row r="4900" spans="4:10" x14ac:dyDescent="0.3">
      <c r="D4900" s="40"/>
      <c r="J4900" s="134"/>
    </row>
    <row r="4901" spans="4:10" x14ac:dyDescent="0.3">
      <c r="D4901" s="40"/>
      <c r="J4901" s="134"/>
    </row>
    <row r="4902" spans="4:10" x14ac:dyDescent="0.3">
      <c r="D4902" s="40"/>
      <c r="J4902" s="134"/>
    </row>
    <row r="4903" spans="4:10" x14ac:dyDescent="0.3">
      <c r="D4903" s="40"/>
      <c r="J4903" s="134"/>
    </row>
    <row r="4904" spans="4:10" x14ac:dyDescent="0.3">
      <c r="D4904" s="40"/>
      <c r="J4904" s="134"/>
    </row>
    <row r="4905" spans="4:10" x14ac:dyDescent="0.3">
      <c r="D4905" s="40"/>
      <c r="J4905" s="134"/>
    </row>
    <row r="4906" spans="4:10" x14ac:dyDescent="0.3">
      <c r="D4906" s="40"/>
      <c r="J4906" s="134"/>
    </row>
    <row r="4907" spans="4:10" x14ac:dyDescent="0.3">
      <c r="D4907" s="40"/>
      <c r="J4907" s="134"/>
    </row>
    <row r="4908" spans="4:10" x14ac:dyDescent="0.3">
      <c r="D4908" s="40"/>
      <c r="J4908" s="134"/>
    </row>
    <row r="4909" spans="4:10" x14ac:dyDescent="0.3">
      <c r="D4909" s="40"/>
      <c r="J4909" s="134"/>
    </row>
    <row r="4910" spans="4:10" x14ac:dyDescent="0.3">
      <c r="D4910" s="40"/>
      <c r="J4910" s="134"/>
    </row>
    <row r="4911" spans="4:10" x14ac:dyDescent="0.3">
      <c r="D4911" s="40"/>
      <c r="J4911" s="134"/>
    </row>
    <row r="4912" spans="4:10" x14ac:dyDescent="0.3">
      <c r="D4912" s="40"/>
      <c r="J4912" s="134"/>
    </row>
    <row r="4913" spans="4:10" x14ac:dyDescent="0.3">
      <c r="D4913" s="40"/>
      <c r="J4913" s="134"/>
    </row>
    <row r="4914" spans="4:10" x14ac:dyDescent="0.3">
      <c r="D4914" s="40"/>
      <c r="J4914" s="134"/>
    </row>
    <row r="4915" spans="4:10" x14ac:dyDescent="0.3">
      <c r="D4915" s="40"/>
      <c r="J4915" s="134"/>
    </row>
    <row r="4916" spans="4:10" x14ac:dyDescent="0.3">
      <c r="D4916" s="40"/>
      <c r="J4916" s="134"/>
    </row>
    <row r="4917" spans="4:10" x14ac:dyDescent="0.3">
      <c r="D4917" s="40"/>
      <c r="J4917" s="134"/>
    </row>
    <row r="4918" spans="4:10" x14ac:dyDescent="0.3">
      <c r="D4918" s="40"/>
      <c r="J4918" s="134"/>
    </row>
    <row r="4919" spans="4:10" x14ac:dyDescent="0.3">
      <c r="D4919" s="40"/>
      <c r="J4919" s="134"/>
    </row>
    <row r="4920" spans="4:10" x14ac:dyDescent="0.3">
      <c r="D4920" s="40"/>
      <c r="J4920" s="134"/>
    </row>
    <row r="4921" spans="4:10" x14ac:dyDescent="0.3">
      <c r="D4921" s="40"/>
      <c r="J4921" s="134"/>
    </row>
    <row r="4922" spans="4:10" x14ac:dyDescent="0.3">
      <c r="D4922" s="40"/>
      <c r="J4922" s="134"/>
    </row>
    <row r="4923" spans="4:10" x14ac:dyDescent="0.3">
      <c r="D4923" s="40"/>
      <c r="J4923" s="134"/>
    </row>
    <row r="4924" spans="4:10" x14ac:dyDescent="0.3">
      <c r="D4924" s="40"/>
      <c r="J4924" s="134"/>
    </row>
    <row r="4925" spans="4:10" x14ac:dyDescent="0.3">
      <c r="D4925" s="40"/>
      <c r="J4925" s="134"/>
    </row>
    <row r="4926" spans="4:10" x14ac:dyDescent="0.3">
      <c r="D4926" s="40"/>
      <c r="J4926" s="134"/>
    </row>
    <row r="4927" spans="4:10" x14ac:dyDescent="0.3">
      <c r="D4927" s="40"/>
      <c r="J4927" s="134"/>
    </row>
    <row r="4928" spans="4:10" x14ac:dyDescent="0.3">
      <c r="D4928" s="40"/>
      <c r="J4928" s="134"/>
    </row>
    <row r="4929" spans="4:10" x14ac:dyDescent="0.3">
      <c r="D4929" s="40"/>
      <c r="J4929" s="134"/>
    </row>
    <row r="4930" spans="4:10" x14ac:dyDescent="0.3">
      <c r="D4930" s="40"/>
      <c r="J4930" s="134"/>
    </row>
    <row r="4931" spans="4:10" x14ac:dyDescent="0.3">
      <c r="D4931" s="40"/>
      <c r="J4931" s="134"/>
    </row>
    <row r="4932" spans="4:10" x14ac:dyDescent="0.3">
      <c r="D4932" s="40"/>
      <c r="J4932" s="134"/>
    </row>
    <row r="4933" spans="4:10" x14ac:dyDescent="0.3">
      <c r="D4933" s="40"/>
      <c r="J4933" s="134"/>
    </row>
    <row r="4934" spans="4:10" x14ac:dyDescent="0.3">
      <c r="D4934" s="40"/>
      <c r="J4934" s="134"/>
    </row>
    <row r="4935" spans="4:10" x14ac:dyDescent="0.3">
      <c r="D4935" s="40"/>
      <c r="J4935" s="134"/>
    </row>
    <row r="4936" spans="4:10" x14ac:dyDescent="0.3">
      <c r="D4936" s="40"/>
      <c r="J4936" s="134"/>
    </row>
    <row r="4937" spans="4:10" x14ac:dyDescent="0.3">
      <c r="D4937" s="40"/>
      <c r="J4937" s="134"/>
    </row>
    <row r="4938" spans="4:10" x14ac:dyDescent="0.3">
      <c r="D4938" s="40"/>
      <c r="J4938" s="134"/>
    </row>
    <row r="4939" spans="4:10" x14ac:dyDescent="0.3">
      <c r="D4939" s="40"/>
      <c r="J4939" s="134"/>
    </row>
    <row r="4940" spans="4:10" x14ac:dyDescent="0.3">
      <c r="D4940" s="40"/>
      <c r="J4940" s="134"/>
    </row>
    <row r="4941" spans="4:10" x14ac:dyDescent="0.3">
      <c r="D4941" s="40"/>
      <c r="J4941" s="134"/>
    </row>
    <row r="4942" spans="4:10" x14ac:dyDescent="0.3">
      <c r="D4942" s="40"/>
      <c r="J4942" s="134"/>
    </row>
    <row r="4943" spans="4:10" x14ac:dyDescent="0.3">
      <c r="D4943" s="40"/>
      <c r="J4943" s="134"/>
    </row>
    <row r="4944" spans="4:10" x14ac:dyDescent="0.3">
      <c r="D4944" s="40"/>
      <c r="J4944" s="134"/>
    </row>
    <row r="4945" spans="4:10" x14ac:dyDescent="0.3">
      <c r="D4945" s="40"/>
      <c r="J4945" s="134"/>
    </row>
    <row r="4946" spans="4:10" x14ac:dyDescent="0.3">
      <c r="D4946" s="40"/>
      <c r="J4946" s="134"/>
    </row>
    <row r="4947" spans="4:10" x14ac:dyDescent="0.3">
      <c r="D4947" s="40"/>
      <c r="J4947" s="134"/>
    </row>
    <row r="4948" spans="4:10" x14ac:dyDescent="0.3">
      <c r="D4948" s="40"/>
      <c r="J4948" s="134"/>
    </row>
    <row r="4949" spans="4:10" x14ac:dyDescent="0.3">
      <c r="D4949" s="40"/>
      <c r="J4949" s="134"/>
    </row>
    <row r="4950" spans="4:10" x14ac:dyDescent="0.3">
      <c r="D4950" s="40"/>
      <c r="J4950" s="134"/>
    </row>
    <row r="4951" spans="4:10" x14ac:dyDescent="0.3">
      <c r="D4951" s="40"/>
      <c r="J4951" s="134"/>
    </row>
    <row r="4952" spans="4:10" x14ac:dyDescent="0.3">
      <c r="D4952" s="40"/>
      <c r="J4952" s="134"/>
    </row>
    <row r="4953" spans="4:10" x14ac:dyDescent="0.3">
      <c r="D4953" s="40"/>
      <c r="J4953" s="134"/>
    </row>
    <row r="4954" spans="4:10" x14ac:dyDescent="0.3">
      <c r="D4954" s="40"/>
      <c r="J4954" s="134"/>
    </row>
    <row r="4955" spans="4:10" x14ac:dyDescent="0.3">
      <c r="D4955" s="40"/>
      <c r="J4955" s="134"/>
    </row>
    <row r="4956" spans="4:10" x14ac:dyDescent="0.3">
      <c r="D4956" s="40"/>
      <c r="J4956" s="134"/>
    </row>
    <row r="4957" spans="4:10" x14ac:dyDescent="0.3">
      <c r="D4957" s="40"/>
      <c r="J4957" s="134"/>
    </row>
    <row r="4958" spans="4:10" x14ac:dyDescent="0.3">
      <c r="D4958" s="40"/>
      <c r="J4958" s="134"/>
    </row>
    <row r="4959" spans="4:10" x14ac:dyDescent="0.3">
      <c r="D4959" s="40"/>
      <c r="J4959" s="134"/>
    </row>
    <row r="4960" spans="4:10" x14ac:dyDescent="0.3">
      <c r="D4960" s="40"/>
      <c r="J4960" s="134"/>
    </row>
    <row r="4961" spans="4:10" x14ac:dyDescent="0.3">
      <c r="D4961" s="40"/>
      <c r="J4961" s="134"/>
    </row>
    <row r="4962" spans="4:10" x14ac:dyDescent="0.3">
      <c r="D4962" s="40"/>
      <c r="J4962" s="134"/>
    </row>
    <row r="4963" spans="4:10" x14ac:dyDescent="0.3">
      <c r="D4963" s="40"/>
      <c r="J4963" s="134"/>
    </row>
    <row r="4964" spans="4:10" x14ac:dyDescent="0.3">
      <c r="D4964" s="40"/>
      <c r="J4964" s="134"/>
    </row>
    <row r="4965" spans="4:10" x14ac:dyDescent="0.3">
      <c r="D4965" s="40"/>
      <c r="J4965" s="134"/>
    </row>
    <row r="4966" spans="4:10" x14ac:dyDescent="0.3">
      <c r="D4966" s="40"/>
      <c r="J4966" s="134"/>
    </row>
    <row r="4967" spans="4:10" x14ac:dyDescent="0.3">
      <c r="D4967" s="40"/>
      <c r="J4967" s="134"/>
    </row>
    <row r="4968" spans="4:10" x14ac:dyDescent="0.3">
      <c r="D4968" s="40"/>
      <c r="J4968" s="134"/>
    </row>
    <row r="4969" spans="4:10" x14ac:dyDescent="0.3">
      <c r="D4969" s="40"/>
      <c r="J4969" s="134"/>
    </row>
    <row r="4970" spans="4:10" x14ac:dyDescent="0.3">
      <c r="D4970" s="40"/>
      <c r="J4970" s="134"/>
    </row>
    <row r="4971" spans="4:10" x14ac:dyDescent="0.3">
      <c r="D4971" s="40"/>
      <c r="J4971" s="134"/>
    </row>
    <row r="4972" spans="4:10" x14ac:dyDescent="0.3">
      <c r="D4972" s="40"/>
      <c r="J4972" s="134"/>
    </row>
    <row r="4973" spans="4:10" x14ac:dyDescent="0.3">
      <c r="D4973" s="40"/>
      <c r="J4973" s="134"/>
    </row>
    <row r="4974" spans="4:10" x14ac:dyDescent="0.3">
      <c r="D4974" s="40"/>
      <c r="J4974" s="134"/>
    </row>
    <row r="4975" spans="4:10" x14ac:dyDescent="0.3">
      <c r="D4975" s="40"/>
      <c r="J4975" s="134"/>
    </row>
    <row r="4976" spans="4:10" x14ac:dyDescent="0.3">
      <c r="D4976" s="40"/>
      <c r="J4976" s="134"/>
    </row>
    <row r="4977" spans="4:10" x14ac:dyDescent="0.3">
      <c r="D4977" s="40"/>
      <c r="J4977" s="134"/>
    </row>
    <row r="4978" spans="4:10" x14ac:dyDescent="0.3">
      <c r="D4978" s="40"/>
      <c r="J4978" s="134"/>
    </row>
    <row r="4979" spans="4:10" x14ac:dyDescent="0.3">
      <c r="D4979" s="40"/>
      <c r="J4979" s="134"/>
    </row>
    <row r="4980" spans="4:10" x14ac:dyDescent="0.3">
      <c r="D4980" s="40"/>
      <c r="J4980" s="134"/>
    </row>
    <row r="4981" spans="4:10" x14ac:dyDescent="0.3">
      <c r="D4981" s="40"/>
      <c r="J4981" s="134"/>
    </row>
    <row r="4982" spans="4:10" x14ac:dyDescent="0.3">
      <c r="D4982" s="40"/>
      <c r="J4982" s="134"/>
    </row>
    <row r="4983" spans="4:10" x14ac:dyDescent="0.3">
      <c r="D4983" s="40"/>
      <c r="J4983" s="134"/>
    </row>
    <row r="4984" spans="4:10" x14ac:dyDescent="0.3">
      <c r="D4984" s="40"/>
      <c r="J4984" s="134"/>
    </row>
    <row r="4985" spans="4:10" x14ac:dyDescent="0.3">
      <c r="D4985" s="40"/>
      <c r="J4985" s="134"/>
    </row>
    <row r="4986" spans="4:10" x14ac:dyDescent="0.3">
      <c r="D4986" s="40"/>
      <c r="J4986" s="134"/>
    </row>
    <row r="4987" spans="4:10" x14ac:dyDescent="0.3">
      <c r="D4987" s="40"/>
      <c r="J4987" s="134"/>
    </row>
    <row r="4988" spans="4:10" x14ac:dyDescent="0.3">
      <c r="D4988" s="40"/>
      <c r="J4988" s="134"/>
    </row>
    <row r="4989" spans="4:10" x14ac:dyDescent="0.3">
      <c r="D4989" s="40"/>
      <c r="J4989" s="134"/>
    </row>
    <row r="4990" spans="4:10" x14ac:dyDescent="0.3">
      <c r="D4990" s="40"/>
      <c r="J4990" s="134"/>
    </row>
    <row r="4991" spans="4:10" x14ac:dyDescent="0.3">
      <c r="D4991" s="40"/>
      <c r="J4991" s="134"/>
    </row>
    <row r="4992" spans="4:10" x14ac:dyDescent="0.3">
      <c r="D4992" s="40"/>
      <c r="J4992" s="134"/>
    </row>
    <row r="4993" spans="4:10" x14ac:dyDescent="0.3">
      <c r="D4993" s="40"/>
      <c r="J4993" s="134"/>
    </row>
    <row r="4994" spans="4:10" x14ac:dyDescent="0.3">
      <c r="D4994" s="40"/>
      <c r="J4994" s="134"/>
    </row>
    <row r="4995" spans="4:10" x14ac:dyDescent="0.3">
      <c r="D4995" s="40"/>
      <c r="J4995" s="134"/>
    </row>
    <row r="4996" spans="4:10" x14ac:dyDescent="0.3">
      <c r="D4996" s="40"/>
      <c r="J4996" s="134"/>
    </row>
    <row r="4997" spans="4:10" x14ac:dyDescent="0.3">
      <c r="D4997" s="40"/>
      <c r="J4997" s="134"/>
    </row>
    <row r="4998" spans="4:10" x14ac:dyDescent="0.3">
      <c r="D4998" s="40"/>
      <c r="J4998" s="134"/>
    </row>
    <row r="4999" spans="4:10" x14ac:dyDescent="0.3">
      <c r="D4999" s="40"/>
      <c r="J4999" s="134"/>
    </row>
    <row r="5000" spans="4:10" x14ac:dyDescent="0.3">
      <c r="D5000" s="40"/>
      <c r="J5000" s="134"/>
    </row>
    <row r="5001" spans="4:10" x14ac:dyDescent="0.3">
      <c r="D5001" s="40"/>
      <c r="J5001" s="134"/>
    </row>
    <row r="5002" spans="4:10" x14ac:dyDescent="0.3">
      <c r="D5002" s="40"/>
      <c r="J5002" s="134"/>
    </row>
    <row r="5003" spans="4:10" x14ac:dyDescent="0.3">
      <c r="D5003" s="40"/>
      <c r="J5003" s="134"/>
    </row>
    <row r="5004" spans="4:10" x14ac:dyDescent="0.3">
      <c r="D5004" s="40"/>
      <c r="J5004" s="134"/>
    </row>
    <row r="5005" spans="4:10" x14ac:dyDescent="0.3">
      <c r="D5005" s="40"/>
      <c r="J5005" s="134"/>
    </row>
    <row r="5006" spans="4:10" x14ac:dyDescent="0.3">
      <c r="D5006" s="40"/>
      <c r="J5006" s="134"/>
    </row>
    <row r="5007" spans="4:10" x14ac:dyDescent="0.3">
      <c r="D5007" s="40"/>
      <c r="J5007" s="134"/>
    </row>
    <row r="5008" spans="4:10" x14ac:dyDescent="0.3">
      <c r="D5008" s="40"/>
      <c r="J5008" s="134"/>
    </row>
    <row r="5009" spans="4:10" x14ac:dyDescent="0.3">
      <c r="D5009" s="40"/>
      <c r="J5009" s="134"/>
    </row>
    <row r="5010" spans="4:10" x14ac:dyDescent="0.3">
      <c r="D5010" s="40"/>
      <c r="J5010" s="134"/>
    </row>
    <row r="5011" spans="4:10" x14ac:dyDescent="0.3">
      <c r="D5011" s="40"/>
      <c r="J5011" s="134"/>
    </row>
    <row r="5012" spans="4:10" x14ac:dyDescent="0.3">
      <c r="D5012" s="40"/>
      <c r="J5012" s="134"/>
    </row>
    <row r="5013" spans="4:10" x14ac:dyDescent="0.3">
      <c r="D5013" s="40"/>
      <c r="J5013" s="134"/>
    </row>
    <row r="5014" spans="4:10" x14ac:dyDescent="0.3">
      <c r="D5014" s="40"/>
      <c r="J5014" s="134"/>
    </row>
    <row r="5015" spans="4:10" x14ac:dyDescent="0.3">
      <c r="D5015" s="40"/>
      <c r="J5015" s="134"/>
    </row>
    <row r="5016" spans="4:10" x14ac:dyDescent="0.3">
      <c r="D5016" s="40"/>
      <c r="J5016" s="134"/>
    </row>
    <row r="5017" spans="4:10" x14ac:dyDescent="0.3">
      <c r="D5017" s="40"/>
      <c r="J5017" s="134"/>
    </row>
    <row r="5018" spans="4:10" x14ac:dyDescent="0.3">
      <c r="D5018" s="40"/>
      <c r="J5018" s="134"/>
    </row>
    <row r="5019" spans="4:10" x14ac:dyDescent="0.3">
      <c r="D5019" s="40"/>
      <c r="J5019" s="134"/>
    </row>
    <row r="5020" spans="4:10" x14ac:dyDescent="0.3">
      <c r="D5020" s="40"/>
      <c r="J5020" s="134"/>
    </row>
    <row r="5021" spans="4:10" x14ac:dyDescent="0.3">
      <c r="D5021" s="40"/>
      <c r="J5021" s="134"/>
    </row>
    <row r="5022" spans="4:10" x14ac:dyDescent="0.3">
      <c r="D5022" s="40"/>
      <c r="J5022" s="134"/>
    </row>
    <row r="5023" spans="4:10" x14ac:dyDescent="0.3">
      <c r="D5023" s="40"/>
      <c r="J5023" s="134"/>
    </row>
    <row r="5024" spans="4:10" x14ac:dyDescent="0.3">
      <c r="D5024" s="40"/>
      <c r="J5024" s="134"/>
    </row>
    <row r="5025" spans="4:10" x14ac:dyDescent="0.3">
      <c r="D5025" s="40"/>
      <c r="J5025" s="134"/>
    </row>
    <row r="5026" spans="4:10" x14ac:dyDescent="0.3">
      <c r="D5026" s="40"/>
      <c r="J5026" s="134"/>
    </row>
    <row r="5027" spans="4:10" x14ac:dyDescent="0.3">
      <c r="D5027" s="40"/>
      <c r="J5027" s="134"/>
    </row>
    <row r="5028" spans="4:10" x14ac:dyDescent="0.3">
      <c r="D5028" s="40"/>
      <c r="J5028" s="134"/>
    </row>
    <row r="5029" spans="4:10" x14ac:dyDescent="0.3">
      <c r="D5029" s="40"/>
      <c r="J5029" s="134"/>
    </row>
    <row r="5030" spans="4:10" x14ac:dyDescent="0.3">
      <c r="D5030" s="40"/>
      <c r="J5030" s="134"/>
    </row>
    <row r="5031" spans="4:10" x14ac:dyDescent="0.3">
      <c r="D5031" s="40"/>
      <c r="J5031" s="134"/>
    </row>
    <row r="5032" spans="4:10" x14ac:dyDescent="0.3">
      <c r="D5032" s="40"/>
      <c r="J5032" s="134"/>
    </row>
    <row r="5033" spans="4:10" x14ac:dyDescent="0.3">
      <c r="D5033" s="40"/>
      <c r="J5033" s="134"/>
    </row>
    <row r="5034" spans="4:10" x14ac:dyDescent="0.3">
      <c r="D5034" s="40"/>
      <c r="J5034" s="134"/>
    </row>
    <row r="5035" spans="4:10" x14ac:dyDescent="0.3">
      <c r="D5035" s="40"/>
      <c r="J5035" s="134"/>
    </row>
    <row r="5036" spans="4:10" x14ac:dyDescent="0.3">
      <c r="D5036" s="40"/>
      <c r="J5036" s="134"/>
    </row>
    <row r="5037" spans="4:10" x14ac:dyDescent="0.3">
      <c r="D5037" s="40"/>
      <c r="J5037" s="134"/>
    </row>
    <row r="5038" spans="4:10" x14ac:dyDescent="0.3">
      <c r="D5038" s="40"/>
      <c r="J5038" s="134"/>
    </row>
    <row r="5039" spans="4:10" x14ac:dyDescent="0.3">
      <c r="D5039" s="40"/>
      <c r="J5039" s="134"/>
    </row>
    <row r="5040" spans="4:10" x14ac:dyDescent="0.3">
      <c r="D5040" s="40"/>
      <c r="J5040" s="134"/>
    </row>
    <row r="5041" spans="4:10" x14ac:dyDescent="0.3">
      <c r="D5041" s="40"/>
      <c r="J5041" s="134"/>
    </row>
    <row r="5042" spans="4:10" x14ac:dyDescent="0.3">
      <c r="D5042" s="40"/>
      <c r="J5042" s="134"/>
    </row>
    <row r="5043" spans="4:10" x14ac:dyDescent="0.3">
      <c r="D5043" s="40"/>
      <c r="J5043" s="134"/>
    </row>
    <row r="5044" spans="4:10" x14ac:dyDescent="0.3">
      <c r="D5044" s="40"/>
      <c r="J5044" s="134"/>
    </row>
    <row r="5045" spans="4:10" x14ac:dyDescent="0.3">
      <c r="D5045" s="40"/>
      <c r="J5045" s="134"/>
    </row>
    <row r="5046" spans="4:10" x14ac:dyDescent="0.3">
      <c r="D5046" s="40"/>
      <c r="J5046" s="134"/>
    </row>
    <row r="5047" spans="4:10" x14ac:dyDescent="0.3">
      <c r="D5047" s="40"/>
      <c r="J5047" s="134"/>
    </row>
    <row r="5048" spans="4:10" x14ac:dyDescent="0.3">
      <c r="D5048" s="40"/>
      <c r="J5048" s="134"/>
    </row>
    <row r="5049" spans="4:10" x14ac:dyDescent="0.3">
      <c r="D5049" s="40"/>
      <c r="J5049" s="134"/>
    </row>
    <row r="5050" spans="4:10" x14ac:dyDescent="0.3">
      <c r="D5050" s="40"/>
      <c r="J5050" s="134"/>
    </row>
    <row r="5051" spans="4:10" x14ac:dyDescent="0.3">
      <c r="D5051" s="40"/>
      <c r="J5051" s="134"/>
    </row>
    <row r="5052" spans="4:10" x14ac:dyDescent="0.3">
      <c r="D5052" s="40"/>
      <c r="J5052" s="134"/>
    </row>
    <row r="5053" spans="4:10" x14ac:dyDescent="0.3">
      <c r="D5053" s="40"/>
      <c r="J5053" s="134"/>
    </row>
    <row r="5054" spans="4:10" x14ac:dyDescent="0.3">
      <c r="D5054" s="40"/>
      <c r="J5054" s="134"/>
    </row>
    <row r="5055" spans="4:10" x14ac:dyDescent="0.3">
      <c r="D5055" s="40"/>
      <c r="J5055" s="134"/>
    </row>
    <row r="5056" spans="4:10" x14ac:dyDescent="0.3">
      <c r="D5056" s="40"/>
      <c r="J5056" s="134"/>
    </row>
    <row r="5057" spans="4:10" x14ac:dyDescent="0.3">
      <c r="D5057" s="40"/>
      <c r="J5057" s="134"/>
    </row>
    <row r="5058" spans="4:10" x14ac:dyDescent="0.3">
      <c r="D5058" s="40"/>
      <c r="J5058" s="134"/>
    </row>
    <row r="5059" spans="4:10" x14ac:dyDescent="0.3">
      <c r="D5059" s="40"/>
      <c r="J5059" s="134"/>
    </row>
    <row r="5060" spans="4:10" x14ac:dyDescent="0.3">
      <c r="D5060" s="40"/>
      <c r="J5060" s="134"/>
    </row>
    <row r="5061" spans="4:10" x14ac:dyDescent="0.3">
      <c r="D5061" s="40"/>
      <c r="J5061" s="134"/>
    </row>
    <row r="5062" spans="4:10" x14ac:dyDescent="0.3">
      <c r="D5062" s="40"/>
      <c r="J5062" s="134"/>
    </row>
    <row r="5063" spans="4:10" x14ac:dyDescent="0.3">
      <c r="D5063" s="40"/>
      <c r="J5063" s="134"/>
    </row>
    <row r="5064" spans="4:10" x14ac:dyDescent="0.3">
      <c r="D5064" s="40"/>
      <c r="J5064" s="134"/>
    </row>
    <row r="5065" spans="4:10" x14ac:dyDescent="0.3">
      <c r="D5065" s="40"/>
      <c r="J5065" s="134"/>
    </row>
    <row r="5066" spans="4:10" x14ac:dyDescent="0.3">
      <c r="D5066" s="40"/>
      <c r="J5066" s="134"/>
    </row>
    <row r="5067" spans="4:10" x14ac:dyDescent="0.3">
      <c r="D5067" s="40"/>
      <c r="J5067" s="134"/>
    </row>
    <row r="5068" spans="4:10" x14ac:dyDescent="0.3">
      <c r="D5068" s="40"/>
      <c r="J5068" s="134"/>
    </row>
    <row r="5069" spans="4:10" x14ac:dyDescent="0.3">
      <c r="D5069" s="40"/>
      <c r="J5069" s="134"/>
    </row>
    <row r="5070" spans="4:10" x14ac:dyDescent="0.3">
      <c r="D5070" s="40"/>
      <c r="J5070" s="134"/>
    </row>
    <row r="5071" spans="4:10" x14ac:dyDescent="0.3">
      <c r="D5071" s="40"/>
      <c r="J5071" s="134"/>
    </row>
    <row r="5072" spans="4:10" x14ac:dyDescent="0.3">
      <c r="D5072" s="40"/>
      <c r="J5072" s="134"/>
    </row>
    <row r="5073" spans="4:10" x14ac:dyDescent="0.3">
      <c r="D5073" s="40"/>
      <c r="J5073" s="134"/>
    </row>
    <row r="5074" spans="4:10" x14ac:dyDescent="0.3">
      <c r="D5074" s="40"/>
      <c r="J5074" s="134"/>
    </row>
    <row r="5075" spans="4:10" x14ac:dyDescent="0.3">
      <c r="D5075" s="40"/>
      <c r="J5075" s="134"/>
    </row>
    <row r="5076" spans="4:10" x14ac:dyDescent="0.3">
      <c r="D5076" s="40"/>
      <c r="J5076" s="134"/>
    </row>
    <row r="5077" spans="4:10" x14ac:dyDescent="0.3">
      <c r="D5077" s="40"/>
      <c r="J5077" s="134"/>
    </row>
    <row r="5078" spans="4:10" x14ac:dyDescent="0.3">
      <c r="D5078" s="40"/>
      <c r="J5078" s="134"/>
    </row>
    <row r="5079" spans="4:10" x14ac:dyDescent="0.3">
      <c r="D5079" s="40"/>
      <c r="J5079" s="134"/>
    </row>
    <row r="5080" spans="4:10" x14ac:dyDescent="0.3">
      <c r="D5080" s="40"/>
      <c r="J5080" s="134"/>
    </row>
    <row r="5081" spans="4:10" x14ac:dyDescent="0.3">
      <c r="D5081" s="40"/>
      <c r="J5081" s="134"/>
    </row>
    <row r="5082" spans="4:10" x14ac:dyDescent="0.3">
      <c r="D5082" s="40"/>
      <c r="J5082" s="134"/>
    </row>
    <row r="5083" spans="4:10" x14ac:dyDescent="0.3">
      <c r="D5083" s="40"/>
      <c r="J5083" s="134"/>
    </row>
    <row r="5084" spans="4:10" x14ac:dyDescent="0.3">
      <c r="D5084" s="40"/>
      <c r="J5084" s="134"/>
    </row>
    <row r="5085" spans="4:10" x14ac:dyDescent="0.3">
      <c r="D5085" s="40"/>
      <c r="J5085" s="134"/>
    </row>
    <row r="5086" spans="4:10" x14ac:dyDescent="0.3">
      <c r="D5086" s="40"/>
      <c r="J5086" s="134"/>
    </row>
    <row r="5087" spans="4:10" x14ac:dyDescent="0.3">
      <c r="D5087" s="40"/>
      <c r="J5087" s="134"/>
    </row>
    <row r="5088" spans="4:10" x14ac:dyDescent="0.3">
      <c r="D5088" s="40"/>
      <c r="J5088" s="134"/>
    </row>
    <row r="5089" spans="4:10" x14ac:dyDescent="0.3">
      <c r="D5089" s="40"/>
      <c r="J5089" s="134"/>
    </row>
    <row r="5090" spans="4:10" x14ac:dyDescent="0.3">
      <c r="D5090" s="40"/>
      <c r="J5090" s="134"/>
    </row>
    <row r="5091" spans="4:10" x14ac:dyDescent="0.3">
      <c r="D5091" s="40"/>
      <c r="J5091" s="134"/>
    </row>
    <row r="5092" spans="4:10" x14ac:dyDescent="0.3">
      <c r="D5092" s="40"/>
      <c r="J5092" s="134"/>
    </row>
    <row r="5093" spans="4:10" x14ac:dyDescent="0.3">
      <c r="D5093" s="40"/>
      <c r="J5093" s="134"/>
    </row>
    <row r="5094" spans="4:10" x14ac:dyDescent="0.3">
      <c r="D5094" s="40"/>
      <c r="J5094" s="134"/>
    </row>
    <row r="5095" spans="4:10" x14ac:dyDescent="0.3">
      <c r="D5095" s="40"/>
      <c r="J5095" s="134"/>
    </row>
    <row r="5096" spans="4:10" x14ac:dyDescent="0.3">
      <c r="D5096" s="40"/>
      <c r="J5096" s="134"/>
    </row>
    <row r="5097" spans="4:10" x14ac:dyDescent="0.3">
      <c r="D5097" s="40"/>
      <c r="J5097" s="134"/>
    </row>
    <row r="5098" spans="4:10" x14ac:dyDescent="0.3">
      <c r="D5098" s="40"/>
      <c r="J5098" s="134"/>
    </row>
    <row r="5099" spans="4:10" x14ac:dyDescent="0.3">
      <c r="D5099" s="40"/>
      <c r="J5099" s="134"/>
    </row>
    <row r="5100" spans="4:10" x14ac:dyDescent="0.3">
      <c r="D5100" s="40"/>
      <c r="J5100" s="134"/>
    </row>
    <row r="5101" spans="4:10" x14ac:dyDescent="0.3">
      <c r="D5101" s="40"/>
      <c r="J5101" s="134"/>
    </row>
    <row r="5102" spans="4:10" x14ac:dyDescent="0.3">
      <c r="D5102" s="40"/>
      <c r="J5102" s="134"/>
    </row>
    <row r="5103" spans="4:10" x14ac:dyDescent="0.3">
      <c r="D5103" s="40"/>
      <c r="J5103" s="134"/>
    </row>
    <row r="5104" spans="4:10" x14ac:dyDescent="0.3">
      <c r="D5104" s="40"/>
      <c r="J5104" s="134"/>
    </row>
    <row r="5105" spans="4:10" x14ac:dyDescent="0.3">
      <c r="D5105" s="40"/>
      <c r="J5105" s="134"/>
    </row>
    <row r="5106" spans="4:10" x14ac:dyDescent="0.3">
      <c r="D5106" s="40"/>
      <c r="J5106" s="134"/>
    </row>
    <row r="5107" spans="4:10" x14ac:dyDescent="0.3">
      <c r="D5107" s="40"/>
      <c r="J5107" s="134"/>
    </row>
    <row r="5108" spans="4:10" x14ac:dyDescent="0.3">
      <c r="D5108" s="40"/>
      <c r="J5108" s="134"/>
    </row>
    <row r="5109" spans="4:10" x14ac:dyDescent="0.3">
      <c r="D5109" s="40"/>
      <c r="J5109" s="134"/>
    </row>
    <row r="5110" spans="4:10" x14ac:dyDescent="0.3">
      <c r="D5110" s="40"/>
      <c r="J5110" s="134"/>
    </row>
    <row r="5111" spans="4:10" x14ac:dyDescent="0.3">
      <c r="D5111" s="40"/>
      <c r="J5111" s="134"/>
    </row>
    <row r="5112" spans="4:10" x14ac:dyDescent="0.3">
      <c r="D5112" s="40"/>
      <c r="J5112" s="134"/>
    </row>
    <row r="5113" spans="4:10" x14ac:dyDescent="0.3">
      <c r="D5113" s="40"/>
      <c r="J5113" s="134"/>
    </row>
    <row r="5114" spans="4:10" x14ac:dyDescent="0.3">
      <c r="D5114" s="40"/>
      <c r="J5114" s="134"/>
    </row>
    <row r="5115" spans="4:10" x14ac:dyDescent="0.3">
      <c r="D5115" s="40"/>
      <c r="J5115" s="134"/>
    </row>
    <row r="5116" spans="4:10" x14ac:dyDescent="0.3">
      <c r="D5116" s="40"/>
      <c r="J5116" s="134"/>
    </row>
    <row r="5117" spans="4:10" x14ac:dyDescent="0.3">
      <c r="D5117" s="40"/>
      <c r="J5117" s="134"/>
    </row>
    <row r="5118" spans="4:10" x14ac:dyDescent="0.3">
      <c r="D5118" s="40"/>
      <c r="J5118" s="134"/>
    </row>
    <row r="5119" spans="4:10" x14ac:dyDescent="0.3">
      <c r="D5119" s="40"/>
      <c r="J5119" s="134"/>
    </row>
    <row r="5120" spans="4:10" x14ac:dyDescent="0.3">
      <c r="D5120" s="40"/>
      <c r="J5120" s="134"/>
    </row>
    <row r="5121" spans="4:10" x14ac:dyDescent="0.3">
      <c r="D5121" s="40"/>
      <c r="J5121" s="134"/>
    </row>
    <row r="5122" spans="4:10" x14ac:dyDescent="0.3">
      <c r="D5122" s="40"/>
      <c r="J5122" s="134"/>
    </row>
    <row r="5123" spans="4:10" x14ac:dyDescent="0.3">
      <c r="D5123" s="40"/>
      <c r="J5123" s="134"/>
    </row>
    <row r="5124" spans="4:10" x14ac:dyDescent="0.3">
      <c r="D5124" s="40"/>
      <c r="J5124" s="134"/>
    </row>
    <row r="5125" spans="4:10" x14ac:dyDescent="0.3">
      <c r="D5125" s="40"/>
      <c r="J5125" s="134"/>
    </row>
    <row r="5126" spans="4:10" x14ac:dyDescent="0.3">
      <c r="D5126" s="40"/>
      <c r="J5126" s="134"/>
    </row>
    <row r="5127" spans="4:10" x14ac:dyDescent="0.3">
      <c r="D5127" s="40"/>
      <c r="J5127" s="134"/>
    </row>
    <row r="5128" spans="4:10" x14ac:dyDescent="0.3">
      <c r="D5128" s="40"/>
      <c r="J5128" s="134"/>
    </row>
    <row r="5129" spans="4:10" x14ac:dyDescent="0.3">
      <c r="D5129" s="40"/>
      <c r="J5129" s="134"/>
    </row>
    <row r="5130" spans="4:10" x14ac:dyDescent="0.3">
      <c r="D5130" s="40"/>
      <c r="J5130" s="134"/>
    </row>
    <row r="5131" spans="4:10" x14ac:dyDescent="0.3">
      <c r="D5131" s="40"/>
      <c r="J5131" s="134"/>
    </row>
    <row r="5132" spans="4:10" x14ac:dyDescent="0.3">
      <c r="D5132" s="40"/>
      <c r="J5132" s="134"/>
    </row>
    <row r="5133" spans="4:10" x14ac:dyDescent="0.3">
      <c r="D5133" s="40"/>
      <c r="J5133" s="134"/>
    </row>
    <row r="5134" spans="4:10" x14ac:dyDescent="0.3">
      <c r="D5134" s="40"/>
      <c r="J5134" s="134"/>
    </row>
    <row r="5135" spans="4:10" x14ac:dyDescent="0.3">
      <c r="D5135" s="40"/>
      <c r="J5135" s="134"/>
    </row>
    <row r="5136" spans="4:10" x14ac:dyDescent="0.3">
      <c r="D5136" s="40"/>
      <c r="J5136" s="134"/>
    </row>
    <row r="5137" spans="4:10" x14ac:dyDescent="0.3">
      <c r="D5137" s="40"/>
      <c r="J5137" s="134"/>
    </row>
    <row r="5138" spans="4:10" x14ac:dyDescent="0.3">
      <c r="D5138" s="40"/>
      <c r="J5138" s="134"/>
    </row>
    <row r="5139" spans="4:10" x14ac:dyDescent="0.3">
      <c r="D5139" s="40"/>
      <c r="J5139" s="134"/>
    </row>
    <row r="5140" spans="4:10" x14ac:dyDescent="0.3">
      <c r="D5140" s="40"/>
      <c r="J5140" s="134"/>
    </row>
    <row r="5141" spans="4:10" x14ac:dyDescent="0.3">
      <c r="D5141" s="40"/>
      <c r="J5141" s="134"/>
    </row>
    <row r="5142" spans="4:10" x14ac:dyDescent="0.3">
      <c r="D5142" s="40"/>
      <c r="J5142" s="134"/>
    </row>
    <row r="5143" spans="4:10" x14ac:dyDescent="0.3">
      <c r="D5143" s="40"/>
      <c r="J5143" s="134"/>
    </row>
    <row r="5144" spans="4:10" x14ac:dyDescent="0.3">
      <c r="D5144" s="40"/>
      <c r="J5144" s="134"/>
    </row>
    <row r="5145" spans="4:10" x14ac:dyDescent="0.3">
      <c r="D5145" s="40"/>
      <c r="J5145" s="134"/>
    </row>
    <row r="5146" spans="4:10" x14ac:dyDescent="0.3">
      <c r="D5146" s="40"/>
      <c r="J5146" s="134"/>
    </row>
    <row r="5147" spans="4:10" x14ac:dyDescent="0.3">
      <c r="D5147" s="40"/>
      <c r="J5147" s="134"/>
    </row>
    <row r="5148" spans="4:10" x14ac:dyDescent="0.3">
      <c r="D5148" s="40"/>
      <c r="J5148" s="134"/>
    </row>
    <row r="5149" spans="4:10" x14ac:dyDescent="0.3">
      <c r="D5149" s="40"/>
      <c r="J5149" s="134"/>
    </row>
    <row r="5150" spans="4:10" x14ac:dyDescent="0.3">
      <c r="D5150" s="40"/>
      <c r="J5150" s="134"/>
    </row>
    <row r="5151" spans="4:10" x14ac:dyDescent="0.3">
      <c r="D5151" s="40"/>
      <c r="J5151" s="134"/>
    </row>
    <row r="5152" spans="4:10" x14ac:dyDescent="0.3">
      <c r="D5152" s="40"/>
      <c r="J5152" s="134"/>
    </row>
    <row r="5153" spans="4:10" x14ac:dyDescent="0.3">
      <c r="D5153" s="40"/>
      <c r="J5153" s="134"/>
    </row>
    <row r="5154" spans="4:10" x14ac:dyDescent="0.3">
      <c r="D5154" s="40"/>
      <c r="J5154" s="134"/>
    </row>
    <row r="5155" spans="4:10" x14ac:dyDescent="0.3">
      <c r="D5155" s="40"/>
      <c r="J5155" s="134"/>
    </row>
    <row r="5156" spans="4:10" x14ac:dyDescent="0.3">
      <c r="D5156" s="40"/>
      <c r="J5156" s="134"/>
    </row>
    <row r="5157" spans="4:10" x14ac:dyDescent="0.3">
      <c r="D5157" s="40"/>
      <c r="J5157" s="134"/>
    </row>
    <row r="5158" spans="4:10" x14ac:dyDescent="0.3">
      <c r="D5158" s="40"/>
      <c r="J5158" s="134"/>
    </row>
    <row r="5159" spans="4:10" x14ac:dyDescent="0.3">
      <c r="D5159" s="40"/>
      <c r="J5159" s="134"/>
    </row>
    <row r="5160" spans="4:10" x14ac:dyDescent="0.3">
      <c r="D5160" s="40"/>
      <c r="J5160" s="134"/>
    </row>
    <row r="5161" spans="4:10" x14ac:dyDescent="0.3">
      <c r="D5161" s="40"/>
      <c r="J5161" s="134"/>
    </row>
    <row r="5162" spans="4:10" x14ac:dyDescent="0.3">
      <c r="D5162" s="40"/>
      <c r="J5162" s="134"/>
    </row>
    <row r="5163" spans="4:10" x14ac:dyDescent="0.3">
      <c r="D5163" s="40"/>
      <c r="J5163" s="134"/>
    </row>
    <row r="5164" spans="4:10" x14ac:dyDescent="0.3">
      <c r="D5164" s="40"/>
      <c r="J5164" s="134"/>
    </row>
    <row r="5165" spans="4:10" x14ac:dyDescent="0.3">
      <c r="D5165" s="40"/>
      <c r="J5165" s="134"/>
    </row>
    <row r="5166" spans="4:10" x14ac:dyDescent="0.3">
      <c r="D5166" s="40"/>
      <c r="J5166" s="134"/>
    </row>
    <row r="5167" spans="4:10" x14ac:dyDescent="0.3">
      <c r="D5167" s="40"/>
      <c r="J5167" s="134"/>
    </row>
    <row r="5168" spans="4:10" x14ac:dyDescent="0.3">
      <c r="D5168" s="40"/>
      <c r="J5168" s="134"/>
    </row>
    <row r="5169" spans="4:10" x14ac:dyDescent="0.3">
      <c r="D5169" s="40"/>
      <c r="J5169" s="134"/>
    </row>
    <row r="5170" spans="4:10" x14ac:dyDescent="0.3">
      <c r="D5170" s="40"/>
      <c r="J5170" s="134"/>
    </row>
    <row r="5171" spans="4:10" x14ac:dyDescent="0.3">
      <c r="D5171" s="40"/>
      <c r="J5171" s="134"/>
    </row>
    <row r="5172" spans="4:10" x14ac:dyDescent="0.3">
      <c r="D5172" s="40"/>
      <c r="J5172" s="134"/>
    </row>
    <row r="5173" spans="4:10" x14ac:dyDescent="0.3">
      <c r="D5173" s="40"/>
      <c r="J5173" s="134"/>
    </row>
    <row r="5174" spans="4:10" x14ac:dyDescent="0.3">
      <c r="D5174" s="40"/>
      <c r="J5174" s="134"/>
    </row>
    <row r="5175" spans="4:10" x14ac:dyDescent="0.3">
      <c r="D5175" s="40"/>
      <c r="J5175" s="134"/>
    </row>
    <row r="5176" spans="4:10" x14ac:dyDescent="0.3">
      <c r="D5176" s="40"/>
      <c r="J5176" s="134"/>
    </row>
    <row r="5177" spans="4:10" x14ac:dyDescent="0.3">
      <c r="D5177" s="40"/>
      <c r="J5177" s="134"/>
    </row>
    <row r="5178" spans="4:10" x14ac:dyDescent="0.3">
      <c r="D5178" s="40"/>
      <c r="J5178" s="134"/>
    </row>
    <row r="5179" spans="4:10" x14ac:dyDescent="0.3">
      <c r="D5179" s="40"/>
      <c r="J5179" s="134"/>
    </row>
    <row r="5180" spans="4:10" x14ac:dyDescent="0.3">
      <c r="D5180" s="40"/>
      <c r="J5180" s="134"/>
    </row>
    <row r="5181" spans="4:10" x14ac:dyDescent="0.3">
      <c r="D5181" s="40"/>
      <c r="J5181" s="134"/>
    </row>
    <row r="5182" spans="4:10" x14ac:dyDescent="0.3">
      <c r="D5182" s="40"/>
      <c r="J5182" s="134"/>
    </row>
    <row r="5183" spans="4:10" x14ac:dyDescent="0.3">
      <c r="D5183" s="40"/>
      <c r="J5183" s="134"/>
    </row>
    <row r="5184" spans="4:10" x14ac:dyDescent="0.3">
      <c r="D5184" s="40"/>
      <c r="J5184" s="134"/>
    </row>
    <row r="5185" spans="4:10" x14ac:dyDescent="0.3">
      <c r="D5185" s="40"/>
      <c r="J5185" s="134"/>
    </row>
    <row r="5186" spans="4:10" x14ac:dyDescent="0.3">
      <c r="D5186" s="40"/>
      <c r="J5186" s="134"/>
    </row>
    <row r="5187" spans="4:10" x14ac:dyDescent="0.3">
      <c r="D5187" s="40"/>
      <c r="J5187" s="134"/>
    </row>
    <row r="5188" spans="4:10" x14ac:dyDescent="0.3">
      <c r="D5188" s="40"/>
      <c r="J5188" s="134"/>
    </row>
    <row r="5189" spans="4:10" x14ac:dyDescent="0.3">
      <c r="D5189" s="40"/>
      <c r="J5189" s="134"/>
    </row>
    <row r="5190" spans="4:10" x14ac:dyDescent="0.3">
      <c r="D5190" s="40"/>
      <c r="J5190" s="134"/>
    </row>
    <row r="5191" spans="4:10" x14ac:dyDescent="0.3">
      <c r="D5191" s="40"/>
      <c r="J5191" s="134"/>
    </row>
    <row r="5192" spans="4:10" x14ac:dyDescent="0.3">
      <c r="D5192" s="40"/>
      <c r="J5192" s="134"/>
    </row>
    <row r="5193" spans="4:10" x14ac:dyDescent="0.3">
      <c r="D5193" s="40"/>
      <c r="J5193" s="134"/>
    </row>
    <row r="5194" spans="4:10" x14ac:dyDescent="0.3">
      <c r="D5194" s="40"/>
      <c r="J5194" s="134"/>
    </row>
    <row r="5195" spans="4:10" x14ac:dyDescent="0.3">
      <c r="D5195" s="40"/>
      <c r="J5195" s="134"/>
    </row>
    <row r="5196" spans="4:10" x14ac:dyDescent="0.3">
      <c r="D5196" s="40"/>
      <c r="J5196" s="134"/>
    </row>
    <row r="5197" spans="4:10" x14ac:dyDescent="0.3">
      <c r="D5197" s="40"/>
      <c r="J5197" s="134"/>
    </row>
    <row r="5198" spans="4:10" x14ac:dyDescent="0.3">
      <c r="D5198" s="40"/>
      <c r="J5198" s="134"/>
    </row>
    <row r="5199" spans="4:10" x14ac:dyDescent="0.3">
      <c r="D5199" s="40"/>
      <c r="J5199" s="134"/>
    </row>
    <row r="5200" spans="4:10" x14ac:dyDescent="0.3">
      <c r="D5200" s="40"/>
      <c r="J5200" s="134"/>
    </row>
    <row r="5201" spans="4:10" x14ac:dyDescent="0.3">
      <c r="D5201" s="40"/>
      <c r="J5201" s="134"/>
    </row>
    <row r="5202" spans="4:10" x14ac:dyDescent="0.3">
      <c r="D5202" s="40"/>
      <c r="J5202" s="134"/>
    </row>
    <row r="5203" spans="4:10" x14ac:dyDescent="0.3">
      <c r="D5203" s="40"/>
      <c r="J5203" s="134"/>
    </row>
    <row r="5204" spans="4:10" x14ac:dyDescent="0.3">
      <c r="D5204" s="40"/>
      <c r="J5204" s="134"/>
    </row>
    <row r="5205" spans="4:10" x14ac:dyDescent="0.3">
      <c r="D5205" s="40"/>
      <c r="J5205" s="134"/>
    </row>
    <row r="5206" spans="4:10" x14ac:dyDescent="0.3">
      <c r="D5206" s="40"/>
      <c r="J5206" s="134"/>
    </row>
    <row r="5207" spans="4:10" x14ac:dyDescent="0.3">
      <c r="D5207" s="40"/>
      <c r="J5207" s="134"/>
    </row>
    <row r="5208" spans="4:10" x14ac:dyDescent="0.3">
      <c r="D5208" s="40"/>
      <c r="J5208" s="134"/>
    </row>
    <row r="5209" spans="4:10" x14ac:dyDescent="0.3">
      <c r="D5209" s="40"/>
      <c r="J5209" s="134"/>
    </row>
    <row r="5210" spans="4:10" x14ac:dyDescent="0.3">
      <c r="D5210" s="40"/>
      <c r="J5210" s="134"/>
    </row>
    <row r="5211" spans="4:10" x14ac:dyDescent="0.3">
      <c r="D5211" s="40"/>
      <c r="J5211" s="134"/>
    </row>
    <row r="5212" spans="4:10" x14ac:dyDescent="0.3">
      <c r="D5212" s="40"/>
      <c r="J5212" s="134"/>
    </row>
    <row r="5213" spans="4:10" x14ac:dyDescent="0.3">
      <c r="D5213" s="40"/>
      <c r="J5213" s="134"/>
    </row>
    <row r="5214" spans="4:10" x14ac:dyDescent="0.3">
      <c r="D5214" s="40"/>
      <c r="J5214" s="134"/>
    </row>
    <row r="5215" spans="4:10" x14ac:dyDescent="0.3">
      <c r="D5215" s="40"/>
      <c r="J5215" s="134"/>
    </row>
    <row r="5216" spans="4:10" x14ac:dyDescent="0.3">
      <c r="D5216" s="40"/>
      <c r="J5216" s="134"/>
    </row>
    <row r="5217" spans="4:10" x14ac:dyDescent="0.3">
      <c r="D5217" s="40"/>
      <c r="J5217" s="134"/>
    </row>
    <row r="5218" spans="4:10" x14ac:dyDescent="0.3">
      <c r="D5218" s="40"/>
      <c r="J5218" s="134"/>
    </row>
    <row r="5219" spans="4:10" x14ac:dyDescent="0.3">
      <c r="D5219" s="40"/>
      <c r="J5219" s="134"/>
    </row>
    <row r="5220" spans="4:10" x14ac:dyDescent="0.3">
      <c r="D5220" s="40"/>
      <c r="J5220" s="134"/>
    </row>
    <row r="5221" spans="4:10" x14ac:dyDescent="0.3">
      <c r="D5221" s="40"/>
      <c r="J5221" s="134"/>
    </row>
    <row r="5222" spans="4:10" x14ac:dyDescent="0.3">
      <c r="D5222" s="40"/>
      <c r="J5222" s="134"/>
    </row>
    <row r="5223" spans="4:10" x14ac:dyDescent="0.3">
      <c r="D5223" s="40"/>
      <c r="J5223" s="134"/>
    </row>
    <row r="5224" spans="4:10" x14ac:dyDescent="0.3">
      <c r="D5224" s="40"/>
      <c r="J5224" s="134"/>
    </row>
    <row r="5225" spans="4:10" x14ac:dyDescent="0.3">
      <c r="D5225" s="40"/>
      <c r="J5225" s="134"/>
    </row>
    <row r="5226" spans="4:10" x14ac:dyDescent="0.3">
      <c r="D5226" s="40"/>
      <c r="J5226" s="134"/>
    </row>
    <row r="5227" spans="4:10" x14ac:dyDescent="0.3">
      <c r="D5227" s="40"/>
      <c r="J5227" s="134"/>
    </row>
    <row r="5228" spans="4:10" x14ac:dyDescent="0.3">
      <c r="D5228" s="40"/>
      <c r="J5228" s="134"/>
    </row>
    <row r="5229" spans="4:10" x14ac:dyDescent="0.3">
      <c r="D5229" s="40"/>
      <c r="J5229" s="134"/>
    </row>
    <row r="5230" spans="4:10" x14ac:dyDescent="0.3">
      <c r="D5230" s="40"/>
      <c r="J5230" s="134"/>
    </row>
    <row r="5231" spans="4:10" x14ac:dyDescent="0.3">
      <c r="D5231" s="40"/>
      <c r="J5231" s="134"/>
    </row>
    <row r="5232" spans="4:10" x14ac:dyDescent="0.3">
      <c r="D5232" s="40"/>
      <c r="J5232" s="134"/>
    </row>
    <row r="5233" spans="4:10" x14ac:dyDescent="0.3">
      <c r="D5233" s="40"/>
      <c r="J5233" s="134"/>
    </row>
    <row r="5234" spans="4:10" x14ac:dyDescent="0.3">
      <c r="D5234" s="40"/>
      <c r="J5234" s="134"/>
    </row>
    <row r="5235" spans="4:10" x14ac:dyDescent="0.3">
      <c r="D5235" s="40"/>
      <c r="J5235" s="134"/>
    </row>
    <row r="5236" spans="4:10" x14ac:dyDescent="0.3">
      <c r="D5236" s="40"/>
      <c r="J5236" s="134"/>
    </row>
    <row r="5237" spans="4:10" x14ac:dyDescent="0.3">
      <c r="D5237" s="40"/>
      <c r="J5237" s="134"/>
    </row>
    <row r="5238" spans="4:10" x14ac:dyDescent="0.3">
      <c r="D5238" s="40"/>
      <c r="J5238" s="134"/>
    </row>
    <row r="5239" spans="4:10" x14ac:dyDescent="0.3">
      <c r="D5239" s="40"/>
      <c r="J5239" s="134"/>
    </row>
    <row r="5240" spans="4:10" x14ac:dyDescent="0.3">
      <c r="D5240" s="40"/>
      <c r="J5240" s="134"/>
    </row>
    <row r="5241" spans="4:10" x14ac:dyDescent="0.3">
      <c r="D5241" s="40"/>
      <c r="J5241" s="134"/>
    </row>
    <row r="5242" spans="4:10" x14ac:dyDescent="0.3">
      <c r="D5242" s="40"/>
      <c r="J5242" s="134"/>
    </row>
    <row r="5243" spans="4:10" x14ac:dyDescent="0.3">
      <c r="D5243" s="40"/>
      <c r="J5243" s="134"/>
    </row>
    <row r="5244" spans="4:10" x14ac:dyDescent="0.3">
      <c r="D5244" s="40"/>
      <c r="J5244" s="134"/>
    </row>
    <row r="5245" spans="4:10" x14ac:dyDescent="0.3">
      <c r="D5245" s="40"/>
      <c r="J5245" s="134"/>
    </row>
    <row r="5246" spans="4:10" x14ac:dyDescent="0.3">
      <c r="D5246" s="40"/>
      <c r="J5246" s="134"/>
    </row>
    <row r="5247" spans="4:10" x14ac:dyDescent="0.3">
      <c r="D5247" s="40"/>
      <c r="J5247" s="134"/>
    </row>
    <row r="5248" spans="4:10" x14ac:dyDescent="0.3">
      <c r="D5248" s="40"/>
      <c r="J5248" s="134"/>
    </row>
    <row r="5249" spans="4:10" x14ac:dyDescent="0.3">
      <c r="D5249" s="40"/>
      <c r="J5249" s="134"/>
    </row>
    <row r="5250" spans="4:10" x14ac:dyDescent="0.3">
      <c r="D5250" s="40"/>
      <c r="J5250" s="134"/>
    </row>
    <row r="5251" spans="4:10" x14ac:dyDescent="0.3">
      <c r="D5251" s="40"/>
      <c r="J5251" s="134"/>
    </row>
    <row r="5252" spans="4:10" x14ac:dyDescent="0.3">
      <c r="D5252" s="40"/>
      <c r="J5252" s="134"/>
    </row>
    <row r="5253" spans="4:10" x14ac:dyDescent="0.3">
      <c r="D5253" s="40"/>
      <c r="J5253" s="134"/>
    </row>
    <row r="5254" spans="4:10" x14ac:dyDescent="0.3">
      <c r="D5254" s="40"/>
      <c r="J5254" s="134"/>
    </row>
    <row r="5255" spans="4:10" x14ac:dyDescent="0.3">
      <c r="D5255" s="40"/>
      <c r="J5255" s="134"/>
    </row>
    <row r="5256" spans="4:10" x14ac:dyDescent="0.3">
      <c r="D5256" s="40"/>
      <c r="J5256" s="134"/>
    </row>
    <row r="5257" spans="4:10" x14ac:dyDescent="0.3">
      <c r="D5257" s="40"/>
      <c r="J5257" s="134"/>
    </row>
    <row r="5258" spans="4:10" x14ac:dyDescent="0.3">
      <c r="D5258" s="40"/>
      <c r="J5258" s="134"/>
    </row>
    <row r="5259" spans="4:10" x14ac:dyDescent="0.3">
      <c r="D5259" s="40"/>
      <c r="J5259" s="134"/>
    </row>
    <row r="5260" spans="4:10" x14ac:dyDescent="0.3">
      <c r="D5260" s="40"/>
      <c r="J5260" s="134"/>
    </row>
    <row r="5261" spans="4:10" x14ac:dyDescent="0.3">
      <c r="D5261" s="40"/>
      <c r="J5261" s="134"/>
    </row>
    <row r="5262" spans="4:10" x14ac:dyDescent="0.3">
      <c r="D5262" s="40"/>
      <c r="J5262" s="134"/>
    </row>
    <row r="5263" spans="4:10" x14ac:dyDescent="0.3">
      <c r="D5263" s="40"/>
      <c r="J5263" s="134"/>
    </row>
    <row r="5264" spans="4:10" x14ac:dyDescent="0.3">
      <c r="D5264" s="40"/>
      <c r="J5264" s="134"/>
    </row>
    <row r="5265" spans="4:10" x14ac:dyDescent="0.3">
      <c r="D5265" s="40"/>
      <c r="J5265" s="134"/>
    </row>
    <row r="5266" spans="4:10" x14ac:dyDescent="0.3">
      <c r="D5266" s="40"/>
      <c r="J5266" s="134"/>
    </row>
    <row r="5267" spans="4:10" x14ac:dyDescent="0.3">
      <c r="D5267" s="40"/>
      <c r="J5267" s="134"/>
    </row>
    <row r="5268" spans="4:10" x14ac:dyDescent="0.3">
      <c r="D5268" s="40"/>
      <c r="J5268" s="134"/>
    </row>
    <row r="5269" spans="4:10" x14ac:dyDescent="0.3">
      <c r="D5269" s="40"/>
      <c r="J5269" s="134"/>
    </row>
    <row r="5270" spans="4:10" x14ac:dyDescent="0.3">
      <c r="D5270" s="40"/>
      <c r="J5270" s="134"/>
    </row>
    <row r="5271" spans="4:10" x14ac:dyDescent="0.3">
      <c r="D5271" s="40"/>
      <c r="J5271" s="134"/>
    </row>
    <row r="5272" spans="4:10" x14ac:dyDescent="0.3">
      <c r="D5272" s="40"/>
      <c r="J5272" s="134"/>
    </row>
    <row r="5273" spans="4:10" x14ac:dyDescent="0.3">
      <c r="D5273" s="40"/>
      <c r="J5273" s="134"/>
    </row>
    <row r="5274" spans="4:10" x14ac:dyDescent="0.3">
      <c r="D5274" s="40"/>
      <c r="J5274" s="134"/>
    </row>
    <row r="5275" spans="4:10" x14ac:dyDescent="0.3">
      <c r="D5275" s="40"/>
      <c r="J5275" s="134"/>
    </row>
    <row r="5276" spans="4:10" x14ac:dyDescent="0.3">
      <c r="D5276" s="40"/>
      <c r="J5276" s="134"/>
    </row>
    <row r="5277" spans="4:10" x14ac:dyDescent="0.3">
      <c r="D5277" s="40"/>
      <c r="J5277" s="134"/>
    </row>
    <row r="5278" spans="4:10" x14ac:dyDescent="0.3">
      <c r="D5278" s="40"/>
      <c r="J5278" s="134"/>
    </row>
    <row r="5279" spans="4:10" x14ac:dyDescent="0.3">
      <c r="D5279" s="40"/>
      <c r="J5279" s="134"/>
    </row>
    <row r="5280" spans="4:10" x14ac:dyDescent="0.3">
      <c r="D5280" s="40"/>
      <c r="J5280" s="134"/>
    </row>
    <row r="5281" spans="4:10" x14ac:dyDescent="0.3">
      <c r="D5281" s="40"/>
      <c r="J5281" s="134"/>
    </row>
    <row r="5282" spans="4:10" x14ac:dyDescent="0.3">
      <c r="D5282" s="40"/>
      <c r="J5282" s="134"/>
    </row>
    <row r="5283" spans="4:10" x14ac:dyDescent="0.3">
      <c r="D5283" s="40"/>
      <c r="J5283" s="134"/>
    </row>
    <row r="5284" spans="4:10" x14ac:dyDescent="0.3">
      <c r="D5284" s="40"/>
      <c r="J5284" s="134"/>
    </row>
    <row r="5285" spans="4:10" x14ac:dyDescent="0.3">
      <c r="D5285" s="40"/>
      <c r="J5285" s="134"/>
    </row>
    <row r="5286" spans="4:10" x14ac:dyDescent="0.3">
      <c r="D5286" s="40"/>
      <c r="J5286" s="134"/>
    </row>
    <row r="5287" spans="4:10" x14ac:dyDescent="0.3">
      <c r="D5287" s="40"/>
      <c r="J5287" s="134"/>
    </row>
    <row r="5288" spans="4:10" x14ac:dyDescent="0.3">
      <c r="D5288" s="40"/>
      <c r="J5288" s="134"/>
    </row>
    <row r="5289" spans="4:10" x14ac:dyDescent="0.3">
      <c r="D5289" s="40"/>
      <c r="J5289" s="134"/>
    </row>
    <row r="5290" spans="4:10" x14ac:dyDescent="0.3">
      <c r="D5290" s="40"/>
      <c r="J5290" s="134"/>
    </row>
    <row r="5291" spans="4:10" x14ac:dyDescent="0.3">
      <c r="D5291" s="40"/>
      <c r="J5291" s="134"/>
    </row>
    <row r="5292" spans="4:10" x14ac:dyDescent="0.3">
      <c r="D5292" s="40"/>
      <c r="J5292" s="134"/>
    </row>
    <row r="5293" spans="4:10" x14ac:dyDescent="0.3">
      <c r="D5293" s="40"/>
      <c r="J5293" s="134"/>
    </row>
    <row r="5294" spans="4:10" x14ac:dyDescent="0.3">
      <c r="D5294" s="40"/>
      <c r="J5294" s="134"/>
    </row>
    <row r="5295" spans="4:10" x14ac:dyDescent="0.3">
      <c r="D5295" s="40"/>
      <c r="J5295" s="134"/>
    </row>
    <row r="5296" spans="4:10" x14ac:dyDescent="0.3">
      <c r="D5296" s="40"/>
      <c r="J5296" s="134"/>
    </row>
    <row r="5297" spans="4:10" x14ac:dyDescent="0.3">
      <c r="D5297" s="40"/>
      <c r="J5297" s="134"/>
    </row>
    <row r="5298" spans="4:10" x14ac:dyDescent="0.3">
      <c r="D5298" s="40"/>
      <c r="J5298" s="134"/>
    </row>
    <row r="5299" spans="4:10" x14ac:dyDescent="0.3">
      <c r="D5299" s="40"/>
      <c r="J5299" s="134"/>
    </row>
    <row r="5300" spans="4:10" x14ac:dyDescent="0.3">
      <c r="D5300" s="40"/>
      <c r="J5300" s="134"/>
    </row>
    <row r="5301" spans="4:10" x14ac:dyDescent="0.3">
      <c r="D5301" s="40"/>
      <c r="J5301" s="134"/>
    </row>
    <row r="5302" spans="4:10" x14ac:dyDescent="0.3">
      <c r="D5302" s="40"/>
      <c r="J5302" s="134"/>
    </row>
    <row r="5303" spans="4:10" x14ac:dyDescent="0.3">
      <c r="D5303" s="40"/>
      <c r="J5303" s="134"/>
    </row>
    <row r="5304" spans="4:10" x14ac:dyDescent="0.3">
      <c r="D5304" s="40"/>
      <c r="J5304" s="134"/>
    </row>
    <row r="5305" spans="4:10" x14ac:dyDescent="0.3">
      <c r="D5305" s="40"/>
      <c r="J5305" s="134"/>
    </row>
    <row r="5306" spans="4:10" x14ac:dyDescent="0.3">
      <c r="D5306" s="40"/>
      <c r="J5306" s="134"/>
    </row>
    <row r="5307" spans="4:10" x14ac:dyDescent="0.3">
      <c r="D5307" s="40"/>
      <c r="J5307" s="134"/>
    </row>
    <row r="5308" spans="4:10" x14ac:dyDescent="0.3">
      <c r="D5308" s="40"/>
      <c r="J5308" s="134"/>
    </row>
    <row r="5309" spans="4:10" x14ac:dyDescent="0.3">
      <c r="D5309" s="40"/>
      <c r="J5309" s="134"/>
    </row>
    <row r="5310" spans="4:10" x14ac:dyDescent="0.3">
      <c r="D5310" s="40"/>
      <c r="J5310" s="134"/>
    </row>
    <row r="5311" spans="4:10" x14ac:dyDescent="0.3">
      <c r="D5311" s="40"/>
      <c r="J5311" s="134"/>
    </row>
    <row r="5312" spans="4:10" x14ac:dyDescent="0.3">
      <c r="D5312" s="40"/>
      <c r="J5312" s="134"/>
    </row>
    <row r="5313" spans="4:10" x14ac:dyDescent="0.3">
      <c r="D5313" s="40"/>
      <c r="J5313" s="134"/>
    </row>
    <row r="5314" spans="4:10" x14ac:dyDescent="0.3">
      <c r="D5314" s="40"/>
      <c r="J5314" s="134"/>
    </row>
    <row r="5315" spans="4:10" x14ac:dyDescent="0.3">
      <c r="D5315" s="40"/>
      <c r="J5315" s="134"/>
    </row>
    <row r="5316" spans="4:10" x14ac:dyDescent="0.3">
      <c r="D5316" s="40"/>
      <c r="J5316" s="134"/>
    </row>
    <row r="5317" spans="4:10" x14ac:dyDescent="0.3">
      <c r="D5317" s="40"/>
      <c r="J5317" s="134"/>
    </row>
    <row r="5318" spans="4:10" x14ac:dyDescent="0.3">
      <c r="D5318" s="40"/>
      <c r="J5318" s="134"/>
    </row>
    <row r="5319" spans="4:10" x14ac:dyDescent="0.3">
      <c r="D5319" s="40"/>
      <c r="J5319" s="134"/>
    </row>
    <row r="5320" spans="4:10" x14ac:dyDescent="0.3">
      <c r="D5320" s="40"/>
      <c r="J5320" s="134"/>
    </row>
    <row r="5321" spans="4:10" x14ac:dyDescent="0.3">
      <c r="D5321" s="40"/>
      <c r="J5321" s="134"/>
    </row>
    <row r="5322" spans="4:10" x14ac:dyDescent="0.3">
      <c r="D5322" s="40"/>
      <c r="J5322" s="134"/>
    </row>
    <row r="5323" spans="4:10" x14ac:dyDescent="0.3">
      <c r="D5323" s="40"/>
      <c r="J5323" s="134"/>
    </row>
    <row r="5324" spans="4:10" x14ac:dyDescent="0.3">
      <c r="D5324" s="40"/>
      <c r="J5324" s="134"/>
    </row>
    <row r="5325" spans="4:10" x14ac:dyDescent="0.3">
      <c r="D5325" s="40"/>
      <c r="J5325" s="134"/>
    </row>
    <row r="5326" spans="4:10" x14ac:dyDescent="0.3">
      <c r="D5326" s="40"/>
      <c r="J5326" s="134"/>
    </row>
    <row r="5327" spans="4:10" x14ac:dyDescent="0.3">
      <c r="D5327" s="40"/>
      <c r="J5327" s="134"/>
    </row>
    <row r="5328" spans="4:10" x14ac:dyDescent="0.3">
      <c r="D5328" s="40"/>
      <c r="J5328" s="134"/>
    </row>
    <row r="5329" spans="4:10" x14ac:dyDescent="0.3">
      <c r="D5329" s="40"/>
      <c r="J5329" s="134"/>
    </row>
    <row r="5330" spans="4:10" x14ac:dyDescent="0.3">
      <c r="D5330" s="40"/>
      <c r="J5330" s="134"/>
    </row>
    <row r="5331" spans="4:10" x14ac:dyDescent="0.3">
      <c r="D5331" s="40"/>
      <c r="J5331" s="134"/>
    </row>
    <row r="5332" spans="4:10" x14ac:dyDescent="0.3">
      <c r="D5332" s="40"/>
      <c r="J5332" s="134"/>
    </row>
    <row r="5333" spans="4:10" x14ac:dyDescent="0.3">
      <c r="D5333" s="40"/>
      <c r="J5333" s="134"/>
    </row>
    <row r="5334" spans="4:10" x14ac:dyDescent="0.3">
      <c r="D5334" s="40"/>
      <c r="J5334" s="134"/>
    </row>
    <row r="5335" spans="4:10" x14ac:dyDescent="0.3">
      <c r="D5335" s="40"/>
      <c r="J5335" s="134"/>
    </row>
    <row r="5336" spans="4:10" x14ac:dyDescent="0.3">
      <c r="D5336" s="40"/>
      <c r="J5336" s="134"/>
    </row>
    <row r="5337" spans="4:10" x14ac:dyDescent="0.3">
      <c r="D5337" s="40"/>
      <c r="J5337" s="134"/>
    </row>
    <row r="5338" spans="4:10" x14ac:dyDescent="0.3">
      <c r="D5338" s="40"/>
      <c r="J5338" s="134"/>
    </row>
    <row r="5339" spans="4:10" x14ac:dyDescent="0.3">
      <c r="D5339" s="40"/>
      <c r="J5339" s="134"/>
    </row>
    <row r="5340" spans="4:10" x14ac:dyDescent="0.3">
      <c r="D5340" s="40"/>
      <c r="J5340" s="134"/>
    </row>
    <row r="5341" spans="4:10" x14ac:dyDescent="0.3">
      <c r="D5341" s="40"/>
      <c r="J5341" s="134"/>
    </row>
    <row r="5342" spans="4:10" x14ac:dyDescent="0.3">
      <c r="D5342" s="40"/>
      <c r="J5342" s="134"/>
    </row>
    <row r="5343" spans="4:10" x14ac:dyDescent="0.3">
      <c r="D5343" s="40"/>
      <c r="J5343" s="134"/>
    </row>
    <row r="5344" spans="4:10" x14ac:dyDescent="0.3">
      <c r="D5344" s="40"/>
      <c r="J5344" s="134"/>
    </row>
    <row r="5345" spans="4:10" x14ac:dyDescent="0.3">
      <c r="D5345" s="40"/>
      <c r="J5345" s="134"/>
    </row>
    <row r="5346" spans="4:10" x14ac:dyDescent="0.3">
      <c r="D5346" s="40"/>
      <c r="J5346" s="134"/>
    </row>
    <row r="5347" spans="4:10" x14ac:dyDescent="0.3">
      <c r="D5347" s="40"/>
      <c r="J5347" s="134"/>
    </row>
    <row r="5348" spans="4:10" x14ac:dyDescent="0.3">
      <c r="D5348" s="40"/>
      <c r="J5348" s="134"/>
    </row>
    <row r="5349" spans="4:10" x14ac:dyDescent="0.3">
      <c r="D5349" s="40"/>
      <c r="J5349" s="134"/>
    </row>
    <row r="5350" spans="4:10" x14ac:dyDescent="0.3">
      <c r="D5350" s="40"/>
      <c r="J5350" s="134"/>
    </row>
    <row r="5351" spans="4:10" x14ac:dyDescent="0.3">
      <c r="D5351" s="40"/>
      <c r="J5351" s="134"/>
    </row>
    <row r="5352" spans="4:10" x14ac:dyDescent="0.3">
      <c r="D5352" s="40"/>
      <c r="J5352" s="134"/>
    </row>
    <row r="5353" spans="4:10" x14ac:dyDescent="0.3">
      <c r="D5353" s="40"/>
      <c r="J5353" s="134"/>
    </row>
    <row r="5354" spans="4:10" x14ac:dyDescent="0.3">
      <c r="D5354" s="40"/>
      <c r="J5354" s="134"/>
    </row>
    <row r="5355" spans="4:10" x14ac:dyDescent="0.3">
      <c r="D5355" s="40"/>
      <c r="J5355" s="134"/>
    </row>
    <row r="5356" spans="4:10" x14ac:dyDescent="0.3">
      <c r="D5356" s="40"/>
      <c r="J5356" s="134"/>
    </row>
    <row r="5357" spans="4:10" x14ac:dyDescent="0.3">
      <c r="D5357" s="40"/>
      <c r="J5357" s="134"/>
    </row>
    <row r="5358" spans="4:10" x14ac:dyDescent="0.3">
      <c r="D5358" s="40"/>
      <c r="J5358" s="134"/>
    </row>
    <row r="5359" spans="4:10" x14ac:dyDescent="0.3">
      <c r="D5359" s="40"/>
      <c r="J5359" s="134"/>
    </row>
    <row r="5360" spans="4:10" x14ac:dyDescent="0.3">
      <c r="D5360" s="40"/>
      <c r="J5360" s="134"/>
    </row>
    <row r="5361" spans="4:10" x14ac:dyDescent="0.3">
      <c r="D5361" s="40"/>
      <c r="J5361" s="134"/>
    </row>
    <row r="5362" spans="4:10" x14ac:dyDescent="0.3">
      <c r="D5362" s="40"/>
      <c r="J5362" s="134"/>
    </row>
    <row r="5363" spans="4:10" x14ac:dyDescent="0.3">
      <c r="D5363" s="40"/>
      <c r="J5363" s="134"/>
    </row>
    <row r="5364" spans="4:10" x14ac:dyDescent="0.3">
      <c r="D5364" s="40"/>
      <c r="J5364" s="134"/>
    </row>
    <row r="5365" spans="4:10" x14ac:dyDescent="0.3">
      <c r="D5365" s="40"/>
      <c r="J5365" s="134"/>
    </row>
    <row r="5366" spans="4:10" x14ac:dyDescent="0.3">
      <c r="D5366" s="40"/>
      <c r="J5366" s="134"/>
    </row>
    <row r="5367" spans="4:10" x14ac:dyDescent="0.3">
      <c r="D5367" s="40"/>
      <c r="J5367" s="134"/>
    </row>
    <row r="5368" spans="4:10" x14ac:dyDescent="0.3">
      <c r="D5368" s="40"/>
      <c r="J5368" s="134"/>
    </row>
    <row r="5369" spans="4:10" x14ac:dyDescent="0.3">
      <c r="D5369" s="40"/>
      <c r="J5369" s="134"/>
    </row>
    <row r="5370" spans="4:10" x14ac:dyDescent="0.3">
      <c r="D5370" s="40"/>
      <c r="J5370" s="134"/>
    </row>
    <row r="5371" spans="4:10" x14ac:dyDescent="0.3">
      <c r="D5371" s="40"/>
      <c r="J5371" s="134"/>
    </row>
    <row r="5372" spans="4:10" x14ac:dyDescent="0.3">
      <c r="D5372" s="40"/>
      <c r="J5372" s="134"/>
    </row>
    <row r="5373" spans="4:10" x14ac:dyDescent="0.3">
      <c r="D5373" s="40"/>
      <c r="J5373" s="134"/>
    </row>
    <row r="5374" spans="4:10" x14ac:dyDescent="0.3">
      <c r="D5374" s="40"/>
      <c r="J5374" s="134"/>
    </row>
    <row r="5375" spans="4:10" x14ac:dyDescent="0.3">
      <c r="D5375" s="40"/>
      <c r="J5375" s="134"/>
    </row>
    <row r="5376" spans="4:10" x14ac:dyDescent="0.3">
      <c r="D5376" s="40"/>
      <c r="J5376" s="134"/>
    </row>
    <row r="5377" spans="4:10" x14ac:dyDescent="0.3">
      <c r="D5377" s="40"/>
      <c r="J5377" s="134"/>
    </row>
    <row r="5378" spans="4:10" x14ac:dyDescent="0.3">
      <c r="D5378" s="40"/>
      <c r="J5378" s="134"/>
    </row>
    <row r="5379" spans="4:10" x14ac:dyDescent="0.3">
      <c r="D5379" s="40"/>
      <c r="J5379" s="134"/>
    </row>
    <row r="5380" spans="4:10" x14ac:dyDescent="0.3">
      <c r="D5380" s="40"/>
      <c r="J5380" s="134"/>
    </row>
    <row r="5381" spans="4:10" x14ac:dyDescent="0.3">
      <c r="D5381" s="40"/>
      <c r="J5381" s="134"/>
    </row>
    <row r="5382" spans="4:10" x14ac:dyDescent="0.3">
      <c r="D5382" s="40"/>
      <c r="J5382" s="134"/>
    </row>
    <row r="5383" spans="4:10" x14ac:dyDescent="0.3">
      <c r="D5383" s="40"/>
      <c r="J5383" s="134"/>
    </row>
    <row r="5384" spans="4:10" x14ac:dyDescent="0.3">
      <c r="D5384" s="40"/>
      <c r="J5384" s="134"/>
    </row>
    <row r="5385" spans="4:10" x14ac:dyDescent="0.3">
      <c r="D5385" s="40"/>
      <c r="J5385" s="134"/>
    </row>
    <row r="5386" spans="4:10" x14ac:dyDescent="0.3">
      <c r="D5386" s="40"/>
      <c r="J5386" s="134"/>
    </row>
    <row r="5387" spans="4:10" x14ac:dyDescent="0.3">
      <c r="D5387" s="40"/>
      <c r="J5387" s="134"/>
    </row>
    <row r="5388" spans="4:10" x14ac:dyDescent="0.3">
      <c r="D5388" s="40"/>
      <c r="J5388" s="134"/>
    </row>
    <row r="5389" spans="4:10" x14ac:dyDescent="0.3">
      <c r="D5389" s="40"/>
      <c r="J5389" s="134"/>
    </row>
    <row r="5390" spans="4:10" x14ac:dyDescent="0.3">
      <c r="D5390" s="40"/>
      <c r="J5390" s="134"/>
    </row>
    <row r="5391" spans="4:10" x14ac:dyDescent="0.3">
      <c r="D5391" s="40"/>
      <c r="J5391" s="134"/>
    </row>
    <row r="5392" spans="4:10" x14ac:dyDescent="0.3">
      <c r="D5392" s="40"/>
      <c r="J5392" s="134"/>
    </row>
    <row r="5393" spans="4:10" x14ac:dyDescent="0.3">
      <c r="D5393" s="40"/>
      <c r="J5393" s="134"/>
    </row>
    <row r="5394" spans="4:10" x14ac:dyDescent="0.3">
      <c r="D5394" s="40"/>
      <c r="J5394" s="134"/>
    </row>
    <row r="5395" spans="4:10" x14ac:dyDescent="0.3">
      <c r="D5395" s="40"/>
      <c r="J5395" s="134"/>
    </row>
    <row r="5396" spans="4:10" x14ac:dyDescent="0.3">
      <c r="D5396" s="40"/>
      <c r="J5396" s="134"/>
    </row>
    <row r="5397" spans="4:10" x14ac:dyDescent="0.3">
      <c r="D5397" s="40"/>
      <c r="J5397" s="134"/>
    </row>
    <row r="5398" spans="4:10" x14ac:dyDescent="0.3">
      <c r="D5398" s="40"/>
      <c r="J5398" s="134"/>
    </row>
    <row r="5399" spans="4:10" x14ac:dyDescent="0.3">
      <c r="D5399" s="40"/>
      <c r="J5399" s="134"/>
    </row>
    <row r="5400" spans="4:10" x14ac:dyDescent="0.3">
      <c r="D5400" s="40"/>
      <c r="J5400" s="134"/>
    </row>
    <row r="5401" spans="4:10" x14ac:dyDescent="0.3">
      <c r="D5401" s="40"/>
      <c r="J5401" s="134"/>
    </row>
    <row r="5402" spans="4:10" x14ac:dyDescent="0.3">
      <c r="D5402" s="40"/>
      <c r="J5402" s="134"/>
    </row>
    <row r="5403" spans="4:10" x14ac:dyDescent="0.3">
      <c r="D5403" s="40"/>
      <c r="J5403" s="134"/>
    </row>
    <row r="5404" spans="4:10" x14ac:dyDescent="0.3">
      <c r="D5404" s="40"/>
      <c r="J5404" s="134"/>
    </row>
    <row r="5405" spans="4:10" x14ac:dyDescent="0.3">
      <c r="D5405" s="40"/>
      <c r="J5405" s="134"/>
    </row>
    <row r="5406" spans="4:10" x14ac:dyDescent="0.3">
      <c r="D5406" s="40"/>
      <c r="J5406" s="134"/>
    </row>
    <row r="5407" spans="4:10" x14ac:dyDescent="0.3">
      <c r="D5407" s="40"/>
      <c r="J5407" s="134"/>
    </row>
    <row r="5408" spans="4:10" x14ac:dyDescent="0.3">
      <c r="D5408" s="40"/>
      <c r="J5408" s="134"/>
    </row>
    <row r="5409" spans="4:10" x14ac:dyDescent="0.3">
      <c r="D5409" s="40"/>
      <c r="J5409" s="134"/>
    </row>
    <row r="5410" spans="4:10" x14ac:dyDescent="0.3">
      <c r="D5410" s="40"/>
      <c r="J5410" s="134"/>
    </row>
    <row r="5411" spans="4:10" x14ac:dyDescent="0.3">
      <c r="D5411" s="40"/>
      <c r="J5411" s="134"/>
    </row>
    <row r="5412" spans="4:10" x14ac:dyDescent="0.3">
      <c r="D5412" s="40"/>
      <c r="J5412" s="134"/>
    </row>
    <row r="5413" spans="4:10" x14ac:dyDescent="0.3">
      <c r="D5413" s="40"/>
      <c r="J5413" s="134"/>
    </row>
    <row r="5414" spans="4:10" x14ac:dyDescent="0.3">
      <c r="D5414" s="40"/>
      <c r="J5414" s="134"/>
    </row>
    <row r="5415" spans="4:10" x14ac:dyDescent="0.3">
      <c r="D5415" s="40"/>
      <c r="J5415" s="134"/>
    </row>
    <row r="5416" spans="4:10" x14ac:dyDescent="0.3">
      <c r="D5416" s="40"/>
      <c r="J5416" s="134"/>
    </row>
    <row r="5417" spans="4:10" x14ac:dyDescent="0.3">
      <c r="D5417" s="40"/>
      <c r="J5417" s="134"/>
    </row>
    <row r="5418" spans="4:10" x14ac:dyDescent="0.3">
      <c r="D5418" s="40"/>
      <c r="J5418" s="134"/>
    </row>
    <row r="5419" spans="4:10" x14ac:dyDescent="0.3">
      <c r="D5419" s="40"/>
      <c r="J5419" s="134"/>
    </row>
    <row r="5420" spans="4:10" x14ac:dyDescent="0.3">
      <c r="D5420" s="40"/>
      <c r="J5420" s="134"/>
    </row>
    <row r="5421" spans="4:10" x14ac:dyDescent="0.3">
      <c r="D5421" s="40"/>
      <c r="J5421" s="134"/>
    </row>
    <row r="5422" spans="4:10" x14ac:dyDescent="0.3">
      <c r="D5422" s="40"/>
      <c r="J5422" s="134"/>
    </row>
    <row r="5423" spans="4:10" x14ac:dyDescent="0.3">
      <c r="D5423" s="40"/>
      <c r="J5423" s="134"/>
    </row>
    <row r="5424" spans="4:10" x14ac:dyDescent="0.3">
      <c r="D5424" s="40"/>
      <c r="J5424" s="134"/>
    </row>
    <row r="5425" spans="4:10" x14ac:dyDescent="0.3">
      <c r="D5425" s="40"/>
      <c r="J5425" s="134"/>
    </row>
    <row r="5426" spans="4:10" x14ac:dyDescent="0.3">
      <c r="D5426" s="40"/>
      <c r="J5426" s="134"/>
    </row>
    <row r="5427" spans="4:10" x14ac:dyDescent="0.3">
      <c r="D5427" s="40"/>
      <c r="J5427" s="134"/>
    </row>
    <row r="5428" spans="4:10" x14ac:dyDescent="0.3">
      <c r="D5428" s="40"/>
      <c r="J5428" s="134"/>
    </row>
    <row r="5429" spans="4:10" x14ac:dyDescent="0.3">
      <c r="D5429" s="40"/>
      <c r="J5429" s="134"/>
    </row>
    <row r="5430" spans="4:10" x14ac:dyDescent="0.3">
      <c r="D5430" s="40"/>
      <c r="J5430" s="134"/>
    </row>
    <row r="5431" spans="4:10" x14ac:dyDescent="0.3">
      <c r="D5431" s="40"/>
      <c r="J5431" s="134"/>
    </row>
    <row r="5432" spans="4:10" x14ac:dyDescent="0.3">
      <c r="D5432" s="40"/>
      <c r="J5432" s="134"/>
    </row>
    <row r="5433" spans="4:10" x14ac:dyDescent="0.3">
      <c r="D5433" s="40"/>
      <c r="J5433" s="134"/>
    </row>
    <row r="5434" spans="4:10" x14ac:dyDescent="0.3">
      <c r="D5434" s="40"/>
      <c r="J5434" s="134"/>
    </row>
    <row r="5435" spans="4:10" x14ac:dyDescent="0.3">
      <c r="D5435" s="40"/>
      <c r="J5435" s="134"/>
    </row>
    <row r="5436" spans="4:10" x14ac:dyDescent="0.3">
      <c r="D5436" s="40"/>
      <c r="J5436" s="134"/>
    </row>
    <row r="5437" spans="4:10" x14ac:dyDescent="0.3">
      <c r="D5437" s="40"/>
      <c r="J5437" s="134"/>
    </row>
    <row r="5438" spans="4:10" x14ac:dyDescent="0.3">
      <c r="D5438" s="40"/>
      <c r="J5438" s="134"/>
    </row>
    <row r="5439" spans="4:10" x14ac:dyDescent="0.3">
      <c r="D5439" s="40"/>
      <c r="J5439" s="134"/>
    </row>
    <row r="5440" spans="4:10" x14ac:dyDescent="0.3">
      <c r="D5440" s="40"/>
      <c r="J5440" s="134"/>
    </row>
    <row r="5441" spans="4:10" x14ac:dyDescent="0.3">
      <c r="D5441" s="40"/>
      <c r="J5441" s="134"/>
    </row>
    <row r="5442" spans="4:10" x14ac:dyDescent="0.3">
      <c r="D5442" s="40"/>
      <c r="J5442" s="134"/>
    </row>
    <row r="5443" spans="4:10" x14ac:dyDescent="0.3">
      <c r="D5443" s="40"/>
      <c r="J5443" s="134"/>
    </row>
    <row r="5444" spans="4:10" x14ac:dyDescent="0.3">
      <c r="D5444" s="40"/>
      <c r="J5444" s="134"/>
    </row>
    <row r="5445" spans="4:10" x14ac:dyDescent="0.3">
      <c r="D5445" s="40"/>
      <c r="J5445" s="134"/>
    </row>
    <row r="5446" spans="4:10" x14ac:dyDescent="0.3">
      <c r="D5446" s="40"/>
      <c r="J5446" s="134"/>
    </row>
    <row r="5447" spans="4:10" x14ac:dyDescent="0.3">
      <c r="D5447" s="40"/>
      <c r="J5447" s="134"/>
    </row>
    <row r="5448" spans="4:10" x14ac:dyDescent="0.3">
      <c r="D5448" s="40"/>
      <c r="J5448" s="134"/>
    </row>
    <row r="5449" spans="4:10" x14ac:dyDescent="0.3">
      <c r="D5449" s="40"/>
      <c r="J5449" s="134"/>
    </row>
    <row r="5450" spans="4:10" x14ac:dyDescent="0.3">
      <c r="D5450" s="40"/>
      <c r="J5450" s="134"/>
    </row>
    <row r="5451" spans="4:10" x14ac:dyDescent="0.3">
      <c r="D5451" s="40"/>
      <c r="J5451" s="134"/>
    </row>
    <row r="5452" spans="4:10" x14ac:dyDescent="0.3">
      <c r="D5452" s="40"/>
      <c r="J5452" s="134"/>
    </row>
    <row r="5453" spans="4:10" x14ac:dyDescent="0.3">
      <c r="D5453" s="40"/>
      <c r="J5453" s="134"/>
    </row>
    <row r="5454" spans="4:10" x14ac:dyDescent="0.3">
      <c r="D5454" s="40"/>
      <c r="J5454" s="134"/>
    </row>
    <row r="5455" spans="4:10" x14ac:dyDescent="0.3">
      <c r="D5455" s="40"/>
      <c r="J5455" s="134"/>
    </row>
    <row r="5456" spans="4:10" x14ac:dyDescent="0.3">
      <c r="D5456" s="40"/>
      <c r="J5456" s="134"/>
    </row>
    <row r="5457" spans="4:10" x14ac:dyDescent="0.3">
      <c r="D5457" s="40"/>
      <c r="J5457" s="134"/>
    </row>
    <row r="5458" spans="4:10" x14ac:dyDescent="0.3">
      <c r="D5458" s="40"/>
      <c r="J5458" s="134"/>
    </row>
    <row r="5459" spans="4:10" x14ac:dyDescent="0.3">
      <c r="D5459" s="40"/>
      <c r="J5459" s="134"/>
    </row>
    <row r="5460" spans="4:10" x14ac:dyDescent="0.3">
      <c r="D5460" s="40"/>
      <c r="J5460" s="134"/>
    </row>
    <row r="5461" spans="4:10" x14ac:dyDescent="0.3">
      <c r="D5461" s="40"/>
      <c r="J5461" s="134"/>
    </row>
    <row r="5462" spans="4:10" x14ac:dyDescent="0.3">
      <c r="D5462" s="40"/>
      <c r="J5462" s="134"/>
    </row>
    <row r="5463" spans="4:10" x14ac:dyDescent="0.3">
      <c r="D5463" s="40"/>
      <c r="J5463" s="134"/>
    </row>
    <row r="5464" spans="4:10" x14ac:dyDescent="0.3">
      <c r="D5464" s="40"/>
      <c r="J5464" s="134"/>
    </row>
    <row r="5465" spans="4:10" x14ac:dyDescent="0.3">
      <c r="D5465" s="40"/>
      <c r="J5465" s="134"/>
    </row>
    <row r="5466" spans="4:10" x14ac:dyDescent="0.3">
      <c r="D5466" s="40"/>
      <c r="J5466" s="134"/>
    </row>
    <row r="5467" spans="4:10" x14ac:dyDescent="0.3">
      <c r="D5467" s="40"/>
      <c r="J5467" s="134"/>
    </row>
    <row r="5468" spans="4:10" x14ac:dyDescent="0.3">
      <c r="D5468" s="40"/>
      <c r="J5468" s="134"/>
    </row>
    <row r="5469" spans="4:10" x14ac:dyDescent="0.3">
      <c r="D5469" s="40"/>
      <c r="J5469" s="134"/>
    </row>
    <row r="5470" spans="4:10" x14ac:dyDescent="0.3">
      <c r="D5470" s="40"/>
      <c r="J5470" s="134"/>
    </row>
    <row r="5471" spans="4:10" x14ac:dyDescent="0.3">
      <c r="D5471" s="40"/>
      <c r="J5471" s="134"/>
    </row>
    <row r="5472" spans="4:10" x14ac:dyDescent="0.3">
      <c r="D5472" s="40"/>
      <c r="J5472" s="134"/>
    </row>
    <row r="5473" spans="4:10" x14ac:dyDescent="0.3">
      <c r="D5473" s="40"/>
      <c r="J5473" s="134"/>
    </row>
    <row r="5474" spans="4:10" x14ac:dyDescent="0.3">
      <c r="D5474" s="40"/>
      <c r="J5474" s="134"/>
    </row>
    <row r="5475" spans="4:10" x14ac:dyDescent="0.3">
      <c r="D5475" s="40"/>
      <c r="J5475" s="134"/>
    </row>
    <row r="5476" spans="4:10" x14ac:dyDescent="0.3">
      <c r="D5476" s="40"/>
      <c r="J5476" s="134"/>
    </row>
    <row r="5477" spans="4:10" x14ac:dyDescent="0.3">
      <c r="D5477" s="40"/>
      <c r="J5477" s="134"/>
    </row>
    <row r="5478" spans="4:10" x14ac:dyDescent="0.3">
      <c r="D5478" s="40"/>
      <c r="J5478" s="134"/>
    </row>
    <row r="5479" spans="4:10" x14ac:dyDescent="0.3">
      <c r="D5479" s="40"/>
      <c r="J5479" s="134"/>
    </row>
    <row r="5480" spans="4:10" x14ac:dyDescent="0.3">
      <c r="D5480" s="40"/>
      <c r="J5480" s="134"/>
    </row>
    <row r="5481" spans="4:10" x14ac:dyDescent="0.3">
      <c r="D5481" s="40"/>
      <c r="J5481" s="134"/>
    </row>
    <row r="5482" spans="4:10" x14ac:dyDescent="0.3">
      <c r="D5482" s="40"/>
      <c r="J5482" s="134"/>
    </row>
    <row r="5483" spans="4:10" x14ac:dyDescent="0.3">
      <c r="D5483" s="40"/>
      <c r="J5483" s="134"/>
    </row>
    <row r="5484" spans="4:10" x14ac:dyDescent="0.3">
      <c r="D5484" s="40"/>
      <c r="J5484" s="134"/>
    </row>
    <row r="5485" spans="4:10" x14ac:dyDescent="0.3">
      <c r="D5485" s="40"/>
      <c r="J5485" s="134"/>
    </row>
    <row r="5486" spans="4:10" x14ac:dyDescent="0.3">
      <c r="D5486" s="40"/>
      <c r="J5486" s="134"/>
    </row>
    <row r="5487" spans="4:10" x14ac:dyDescent="0.3">
      <c r="D5487" s="40"/>
      <c r="J5487" s="134"/>
    </row>
    <row r="5488" spans="4:10" x14ac:dyDescent="0.3">
      <c r="D5488" s="40"/>
      <c r="J5488" s="134"/>
    </row>
    <row r="5489" spans="4:10" x14ac:dyDescent="0.3">
      <c r="D5489" s="40"/>
      <c r="J5489" s="134"/>
    </row>
    <row r="5490" spans="4:10" x14ac:dyDescent="0.3">
      <c r="D5490" s="40"/>
      <c r="J5490" s="134"/>
    </row>
    <row r="5491" spans="4:10" x14ac:dyDescent="0.3">
      <c r="D5491" s="40"/>
      <c r="J5491" s="134"/>
    </row>
    <row r="5492" spans="4:10" x14ac:dyDescent="0.3">
      <c r="D5492" s="40"/>
      <c r="J5492" s="134"/>
    </row>
    <row r="5493" spans="4:10" x14ac:dyDescent="0.3">
      <c r="D5493" s="40"/>
      <c r="J5493" s="134"/>
    </row>
    <row r="5494" spans="4:10" x14ac:dyDescent="0.3">
      <c r="D5494" s="40"/>
      <c r="J5494" s="134"/>
    </row>
    <row r="5495" spans="4:10" x14ac:dyDescent="0.3">
      <c r="D5495" s="40"/>
      <c r="J5495" s="134"/>
    </row>
    <row r="5496" spans="4:10" x14ac:dyDescent="0.3">
      <c r="D5496" s="40"/>
      <c r="J5496" s="134"/>
    </row>
    <row r="5497" spans="4:10" x14ac:dyDescent="0.3">
      <c r="D5497" s="40"/>
      <c r="J5497" s="134"/>
    </row>
    <row r="5498" spans="4:10" x14ac:dyDescent="0.3">
      <c r="D5498" s="40"/>
      <c r="J5498" s="134"/>
    </row>
    <row r="5499" spans="4:10" x14ac:dyDescent="0.3">
      <c r="D5499" s="40"/>
      <c r="J5499" s="134"/>
    </row>
    <row r="5500" spans="4:10" x14ac:dyDescent="0.3">
      <c r="D5500" s="40"/>
      <c r="J5500" s="134"/>
    </row>
    <row r="5501" spans="4:10" x14ac:dyDescent="0.3">
      <c r="D5501" s="40"/>
      <c r="J5501" s="134"/>
    </row>
    <row r="5502" spans="4:10" x14ac:dyDescent="0.3">
      <c r="D5502" s="40"/>
      <c r="J5502" s="134"/>
    </row>
    <row r="5503" spans="4:10" x14ac:dyDescent="0.3">
      <c r="D5503" s="40"/>
      <c r="J5503" s="134"/>
    </row>
    <row r="5504" spans="4:10" x14ac:dyDescent="0.3">
      <c r="D5504" s="40"/>
      <c r="J5504" s="134"/>
    </row>
    <row r="5505" spans="4:10" x14ac:dyDescent="0.3">
      <c r="D5505" s="40"/>
      <c r="J5505" s="134"/>
    </row>
    <row r="5506" spans="4:10" x14ac:dyDescent="0.3">
      <c r="D5506" s="40"/>
      <c r="J5506" s="134"/>
    </row>
    <row r="5507" spans="4:10" x14ac:dyDescent="0.3">
      <c r="D5507" s="40"/>
      <c r="J5507" s="134"/>
    </row>
    <row r="5508" spans="4:10" x14ac:dyDescent="0.3">
      <c r="D5508" s="40"/>
      <c r="J5508" s="134"/>
    </row>
    <row r="5509" spans="4:10" x14ac:dyDescent="0.3">
      <c r="D5509" s="40"/>
      <c r="J5509" s="134"/>
    </row>
    <row r="5510" spans="4:10" x14ac:dyDescent="0.3">
      <c r="D5510" s="40"/>
      <c r="J5510" s="134"/>
    </row>
    <row r="5511" spans="4:10" x14ac:dyDescent="0.3">
      <c r="D5511" s="40"/>
      <c r="J5511" s="134"/>
    </row>
    <row r="5512" spans="4:10" x14ac:dyDescent="0.3">
      <c r="D5512" s="40"/>
      <c r="J5512" s="134"/>
    </row>
    <row r="5513" spans="4:10" x14ac:dyDescent="0.3">
      <c r="D5513" s="40"/>
      <c r="J5513" s="134"/>
    </row>
    <row r="5514" spans="4:10" x14ac:dyDescent="0.3">
      <c r="D5514" s="40"/>
      <c r="J5514" s="134"/>
    </row>
    <row r="5515" spans="4:10" x14ac:dyDescent="0.3">
      <c r="D5515" s="40"/>
      <c r="J5515" s="134"/>
    </row>
    <row r="5516" spans="4:10" x14ac:dyDescent="0.3">
      <c r="D5516" s="40"/>
      <c r="J5516" s="134"/>
    </row>
    <row r="5517" spans="4:10" x14ac:dyDescent="0.3">
      <c r="D5517" s="40"/>
      <c r="J5517" s="134"/>
    </row>
    <row r="5518" spans="4:10" x14ac:dyDescent="0.3">
      <c r="D5518" s="40"/>
      <c r="J5518" s="134"/>
    </row>
    <row r="5519" spans="4:10" x14ac:dyDescent="0.3">
      <c r="D5519" s="40"/>
      <c r="J5519" s="134"/>
    </row>
    <row r="5520" spans="4:10" x14ac:dyDescent="0.3">
      <c r="D5520" s="40"/>
      <c r="J5520" s="134"/>
    </row>
    <row r="5521" spans="4:10" x14ac:dyDescent="0.3">
      <c r="D5521" s="40"/>
      <c r="J5521" s="134"/>
    </row>
    <row r="5522" spans="4:10" x14ac:dyDescent="0.3">
      <c r="D5522" s="40"/>
      <c r="J5522" s="134"/>
    </row>
    <row r="5523" spans="4:10" x14ac:dyDescent="0.3">
      <c r="D5523" s="40"/>
      <c r="J5523" s="134"/>
    </row>
    <row r="5524" spans="4:10" x14ac:dyDescent="0.3">
      <c r="D5524" s="40"/>
      <c r="J5524" s="134"/>
    </row>
    <row r="5525" spans="4:10" x14ac:dyDescent="0.3">
      <c r="D5525" s="40"/>
      <c r="J5525" s="134"/>
    </row>
    <row r="5526" spans="4:10" x14ac:dyDescent="0.3">
      <c r="D5526" s="40"/>
      <c r="J5526" s="134"/>
    </row>
    <row r="5527" spans="4:10" x14ac:dyDescent="0.3">
      <c r="D5527" s="40"/>
      <c r="J5527" s="134"/>
    </row>
    <row r="5528" spans="4:10" x14ac:dyDescent="0.3">
      <c r="D5528" s="40"/>
      <c r="J5528" s="134"/>
    </row>
    <row r="5529" spans="4:10" x14ac:dyDescent="0.3">
      <c r="D5529" s="40"/>
      <c r="J5529" s="134"/>
    </row>
    <row r="5530" spans="4:10" x14ac:dyDescent="0.3">
      <c r="D5530" s="40"/>
      <c r="J5530" s="134"/>
    </row>
    <row r="5531" spans="4:10" x14ac:dyDescent="0.3">
      <c r="D5531" s="40"/>
      <c r="J5531" s="134"/>
    </row>
    <row r="5532" spans="4:10" x14ac:dyDescent="0.3">
      <c r="D5532" s="40"/>
      <c r="J5532" s="134"/>
    </row>
    <row r="5533" spans="4:10" x14ac:dyDescent="0.3">
      <c r="D5533" s="40"/>
      <c r="J5533" s="134"/>
    </row>
    <row r="5534" spans="4:10" x14ac:dyDescent="0.3">
      <c r="D5534" s="40"/>
      <c r="J5534" s="134"/>
    </row>
    <row r="5535" spans="4:10" x14ac:dyDescent="0.3">
      <c r="D5535" s="40"/>
      <c r="J5535" s="134"/>
    </row>
    <row r="5536" spans="4:10" x14ac:dyDescent="0.3">
      <c r="D5536" s="40"/>
      <c r="J5536" s="134"/>
    </row>
    <row r="5537" spans="4:10" x14ac:dyDescent="0.3">
      <c r="D5537" s="40"/>
      <c r="J5537" s="134"/>
    </row>
    <row r="5538" spans="4:10" x14ac:dyDescent="0.3">
      <c r="D5538" s="40"/>
      <c r="J5538" s="134"/>
    </row>
    <row r="5539" spans="4:10" x14ac:dyDescent="0.3">
      <c r="D5539" s="40"/>
      <c r="J5539" s="134"/>
    </row>
    <row r="5540" spans="4:10" x14ac:dyDescent="0.3">
      <c r="D5540" s="40"/>
      <c r="J5540" s="134"/>
    </row>
    <row r="5541" spans="4:10" x14ac:dyDescent="0.3">
      <c r="D5541" s="40"/>
      <c r="J5541" s="134"/>
    </row>
    <row r="5542" spans="4:10" x14ac:dyDescent="0.3">
      <c r="D5542" s="40"/>
      <c r="J5542" s="134"/>
    </row>
    <row r="5543" spans="4:10" x14ac:dyDescent="0.3">
      <c r="D5543" s="40"/>
      <c r="J5543" s="134"/>
    </row>
    <row r="5544" spans="4:10" x14ac:dyDescent="0.3">
      <c r="D5544" s="40"/>
      <c r="J5544" s="134"/>
    </row>
    <row r="5545" spans="4:10" x14ac:dyDescent="0.3">
      <c r="D5545" s="40"/>
      <c r="J5545" s="134"/>
    </row>
    <row r="5546" spans="4:10" x14ac:dyDescent="0.3">
      <c r="D5546" s="40"/>
      <c r="J5546" s="134"/>
    </row>
    <row r="5547" spans="4:10" x14ac:dyDescent="0.3">
      <c r="D5547" s="40"/>
      <c r="J5547" s="134"/>
    </row>
    <row r="5548" spans="4:10" x14ac:dyDescent="0.3">
      <c r="D5548" s="40"/>
      <c r="J5548" s="134"/>
    </row>
    <row r="5549" spans="4:10" x14ac:dyDescent="0.3">
      <c r="D5549" s="40"/>
      <c r="J5549" s="134"/>
    </row>
    <row r="5550" spans="4:10" x14ac:dyDescent="0.3">
      <c r="D5550" s="40"/>
      <c r="J5550" s="134"/>
    </row>
    <row r="5551" spans="4:10" x14ac:dyDescent="0.3">
      <c r="D5551" s="40"/>
      <c r="J5551" s="134"/>
    </row>
    <row r="5552" spans="4:10" x14ac:dyDescent="0.3">
      <c r="D5552" s="40"/>
      <c r="J5552" s="134"/>
    </row>
    <row r="5553" spans="4:10" x14ac:dyDescent="0.3">
      <c r="D5553" s="40"/>
      <c r="J5553" s="134"/>
    </row>
    <row r="5554" spans="4:10" x14ac:dyDescent="0.3">
      <c r="D5554" s="40"/>
      <c r="J5554" s="134"/>
    </row>
    <row r="5555" spans="4:10" x14ac:dyDescent="0.3">
      <c r="D5555" s="40"/>
      <c r="J5555" s="134"/>
    </row>
    <row r="5556" spans="4:10" x14ac:dyDescent="0.3">
      <c r="D5556" s="40"/>
      <c r="J5556" s="134"/>
    </row>
    <row r="5557" spans="4:10" x14ac:dyDescent="0.3">
      <c r="D5557" s="40"/>
      <c r="J5557" s="134"/>
    </row>
    <row r="5558" spans="4:10" x14ac:dyDescent="0.3">
      <c r="D5558" s="40"/>
      <c r="J5558" s="134"/>
    </row>
    <row r="5559" spans="4:10" x14ac:dyDescent="0.3">
      <c r="D5559" s="40"/>
      <c r="J5559" s="134"/>
    </row>
    <row r="5560" spans="4:10" x14ac:dyDescent="0.3">
      <c r="D5560" s="40"/>
      <c r="J5560" s="134"/>
    </row>
    <row r="5561" spans="4:10" x14ac:dyDescent="0.3">
      <c r="D5561" s="40"/>
      <c r="J5561" s="134"/>
    </row>
    <row r="5562" spans="4:10" x14ac:dyDescent="0.3">
      <c r="D5562" s="40"/>
      <c r="J5562" s="134"/>
    </row>
    <row r="5563" spans="4:10" x14ac:dyDescent="0.3">
      <c r="D5563" s="40"/>
      <c r="J5563" s="134"/>
    </row>
    <row r="5564" spans="4:10" x14ac:dyDescent="0.3">
      <c r="D5564" s="40"/>
      <c r="J5564" s="134"/>
    </row>
    <row r="5565" spans="4:10" x14ac:dyDescent="0.3">
      <c r="D5565" s="40"/>
      <c r="J5565" s="134"/>
    </row>
    <row r="5566" spans="4:10" x14ac:dyDescent="0.3">
      <c r="D5566" s="40"/>
      <c r="J5566" s="134"/>
    </row>
    <row r="5567" spans="4:10" x14ac:dyDescent="0.3">
      <c r="D5567" s="40"/>
      <c r="J5567" s="134"/>
    </row>
    <row r="5568" spans="4:10" x14ac:dyDescent="0.3">
      <c r="D5568" s="40"/>
      <c r="J5568" s="134"/>
    </row>
    <row r="5569" spans="4:10" x14ac:dyDescent="0.3">
      <c r="D5569" s="40"/>
      <c r="J5569" s="134"/>
    </row>
    <row r="5570" spans="4:10" x14ac:dyDescent="0.3">
      <c r="D5570" s="40"/>
      <c r="J5570" s="134"/>
    </row>
    <row r="5571" spans="4:10" x14ac:dyDescent="0.3">
      <c r="D5571" s="40"/>
      <c r="J5571" s="134"/>
    </row>
    <row r="5572" spans="4:10" x14ac:dyDescent="0.3">
      <c r="D5572" s="40"/>
      <c r="J5572" s="134"/>
    </row>
    <row r="5573" spans="4:10" x14ac:dyDescent="0.3">
      <c r="D5573" s="40"/>
      <c r="J5573" s="134"/>
    </row>
    <row r="5574" spans="4:10" x14ac:dyDescent="0.3">
      <c r="D5574" s="40"/>
      <c r="J5574" s="134"/>
    </row>
    <row r="5575" spans="4:10" x14ac:dyDescent="0.3">
      <c r="D5575" s="40"/>
      <c r="J5575" s="134"/>
    </row>
    <row r="5576" spans="4:10" x14ac:dyDescent="0.3">
      <c r="D5576" s="40"/>
      <c r="J5576" s="134"/>
    </row>
    <row r="5577" spans="4:10" x14ac:dyDescent="0.3">
      <c r="D5577" s="40"/>
      <c r="J5577" s="134"/>
    </row>
    <row r="5578" spans="4:10" x14ac:dyDescent="0.3">
      <c r="D5578" s="40"/>
      <c r="J5578" s="134"/>
    </row>
    <row r="5579" spans="4:10" x14ac:dyDescent="0.3">
      <c r="D5579" s="40"/>
      <c r="J5579" s="134"/>
    </row>
    <row r="5580" spans="4:10" x14ac:dyDescent="0.3">
      <c r="D5580" s="40"/>
      <c r="J5580" s="134"/>
    </row>
    <row r="5581" spans="4:10" x14ac:dyDescent="0.3">
      <c r="D5581" s="40"/>
      <c r="J5581" s="134"/>
    </row>
    <row r="5582" spans="4:10" x14ac:dyDescent="0.3">
      <c r="D5582" s="40"/>
      <c r="J5582" s="134"/>
    </row>
    <row r="5583" spans="4:10" x14ac:dyDescent="0.3">
      <c r="D5583" s="40"/>
      <c r="J5583" s="134"/>
    </row>
    <row r="5584" spans="4:10" x14ac:dyDescent="0.3">
      <c r="D5584" s="40"/>
      <c r="J5584" s="134"/>
    </row>
    <row r="5585" spans="4:10" x14ac:dyDescent="0.3">
      <c r="D5585" s="40"/>
      <c r="J5585" s="134"/>
    </row>
    <row r="5586" spans="4:10" x14ac:dyDescent="0.3">
      <c r="D5586" s="40"/>
      <c r="J5586" s="134"/>
    </row>
    <row r="5587" spans="4:10" x14ac:dyDescent="0.3">
      <c r="D5587" s="40"/>
      <c r="J5587" s="134"/>
    </row>
    <row r="5588" spans="4:10" x14ac:dyDescent="0.3">
      <c r="D5588" s="40"/>
      <c r="J5588" s="134"/>
    </row>
    <row r="5589" spans="4:10" x14ac:dyDescent="0.3">
      <c r="D5589" s="40"/>
      <c r="J5589" s="134"/>
    </row>
    <row r="5590" spans="4:10" x14ac:dyDescent="0.3">
      <c r="D5590" s="40"/>
      <c r="J5590" s="134"/>
    </row>
    <row r="5591" spans="4:10" x14ac:dyDescent="0.3">
      <c r="D5591" s="40"/>
      <c r="J5591" s="134"/>
    </row>
    <row r="5592" spans="4:10" x14ac:dyDescent="0.3">
      <c r="D5592" s="40"/>
      <c r="J5592" s="134"/>
    </row>
    <row r="5593" spans="4:10" x14ac:dyDescent="0.3">
      <c r="D5593" s="40"/>
      <c r="J5593" s="134"/>
    </row>
    <row r="5594" spans="4:10" x14ac:dyDescent="0.3">
      <c r="D5594" s="40"/>
      <c r="J5594" s="134"/>
    </row>
    <row r="5595" spans="4:10" x14ac:dyDescent="0.3">
      <c r="D5595" s="40"/>
      <c r="J5595" s="134"/>
    </row>
    <row r="5596" spans="4:10" x14ac:dyDescent="0.3">
      <c r="D5596" s="40"/>
      <c r="J5596" s="134"/>
    </row>
    <row r="5597" spans="4:10" x14ac:dyDescent="0.3">
      <c r="D5597" s="40"/>
      <c r="J5597" s="134"/>
    </row>
    <row r="5598" spans="4:10" x14ac:dyDescent="0.3">
      <c r="D5598" s="40"/>
      <c r="J5598" s="134"/>
    </row>
    <row r="5599" spans="4:10" x14ac:dyDescent="0.3">
      <c r="D5599" s="40"/>
      <c r="J5599" s="134"/>
    </row>
    <row r="5600" spans="4:10" x14ac:dyDescent="0.3">
      <c r="D5600" s="40"/>
      <c r="J5600" s="134"/>
    </row>
    <row r="5601" spans="4:10" x14ac:dyDescent="0.3">
      <c r="D5601" s="40"/>
      <c r="J5601" s="134"/>
    </row>
    <row r="5602" spans="4:10" x14ac:dyDescent="0.3">
      <c r="D5602" s="40"/>
      <c r="J5602" s="134"/>
    </row>
    <row r="5603" spans="4:10" x14ac:dyDescent="0.3">
      <c r="D5603" s="40"/>
      <c r="J5603" s="134"/>
    </row>
    <row r="5604" spans="4:10" x14ac:dyDescent="0.3">
      <c r="D5604" s="40"/>
      <c r="J5604" s="134"/>
    </row>
    <row r="5605" spans="4:10" x14ac:dyDescent="0.3">
      <c r="D5605" s="40"/>
      <c r="J5605" s="134"/>
    </row>
    <row r="5606" spans="4:10" x14ac:dyDescent="0.3">
      <c r="D5606" s="40"/>
      <c r="J5606" s="134"/>
    </row>
    <row r="5607" spans="4:10" x14ac:dyDescent="0.3">
      <c r="D5607" s="40"/>
      <c r="J5607" s="134"/>
    </row>
    <row r="5608" spans="4:10" x14ac:dyDescent="0.3">
      <c r="D5608" s="40"/>
      <c r="J5608" s="134"/>
    </row>
    <row r="5609" spans="4:10" x14ac:dyDescent="0.3">
      <c r="D5609" s="40"/>
      <c r="J5609" s="134"/>
    </row>
    <row r="5610" spans="4:10" x14ac:dyDescent="0.3">
      <c r="D5610" s="40"/>
      <c r="J5610" s="134"/>
    </row>
    <row r="5611" spans="4:10" x14ac:dyDescent="0.3">
      <c r="D5611" s="40"/>
      <c r="J5611" s="134"/>
    </row>
    <row r="5612" spans="4:10" x14ac:dyDescent="0.3">
      <c r="D5612" s="40"/>
      <c r="J5612" s="134"/>
    </row>
    <row r="5613" spans="4:10" x14ac:dyDescent="0.3">
      <c r="D5613" s="40"/>
      <c r="J5613" s="134"/>
    </row>
    <row r="5614" spans="4:10" x14ac:dyDescent="0.3">
      <c r="D5614" s="40"/>
      <c r="J5614" s="134"/>
    </row>
    <row r="5615" spans="4:10" x14ac:dyDescent="0.3">
      <c r="D5615" s="40"/>
      <c r="J5615" s="134"/>
    </row>
    <row r="5616" spans="4:10" x14ac:dyDescent="0.3">
      <c r="D5616" s="40"/>
      <c r="J5616" s="134"/>
    </row>
    <row r="5617" spans="4:10" x14ac:dyDescent="0.3">
      <c r="D5617" s="40"/>
      <c r="J5617" s="134"/>
    </row>
    <row r="5618" spans="4:10" x14ac:dyDescent="0.3">
      <c r="D5618" s="40"/>
      <c r="J5618" s="134"/>
    </row>
    <row r="5619" spans="4:10" x14ac:dyDescent="0.3">
      <c r="D5619" s="40"/>
      <c r="J5619" s="134"/>
    </row>
    <row r="5620" spans="4:10" x14ac:dyDescent="0.3">
      <c r="D5620" s="40"/>
      <c r="J5620" s="134"/>
    </row>
    <row r="5621" spans="4:10" x14ac:dyDescent="0.3">
      <c r="D5621" s="40"/>
      <c r="J5621" s="134"/>
    </row>
    <row r="5622" spans="4:10" x14ac:dyDescent="0.3">
      <c r="D5622" s="40"/>
      <c r="J5622" s="134"/>
    </row>
    <row r="5623" spans="4:10" x14ac:dyDescent="0.3">
      <c r="D5623" s="40"/>
      <c r="J5623" s="134"/>
    </row>
    <row r="5624" spans="4:10" x14ac:dyDescent="0.3">
      <c r="D5624" s="40"/>
      <c r="J5624" s="134"/>
    </row>
    <row r="5625" spans="4:10" x14ac:dyDescent="0.3">
      <c r="D5625" s="40"/>
      <c r="J5625" s="134"/>
    </row>
    <row r="5626" spans="4:10" x14ac:dyDescent="0.3">
      <c r="D5626" s="40"/>
      <c r="J5626" s="134"/>
    </row>
    <row r="5627" spans="4:10" x14ac:dyDescent="0.3">
      <c r="D5627" s="40"/>
      <c r="J5627" s="134"/>
    </row>
    <row r="5628" spans="4:10" x14ac:dyDescent="0.3">
      <c r="D5628" s="40"/>
      <c r="J5628" s="134"/>
    </row>
    <row r="5629" spans="4:10" x14ac:dyDescent="0.3">
      <c r="D5629" s="40"/>
      <c r="J5629" s="134"/>
    </row>
    <row r="5630" spans="4:10" x14ac:dyDescent="0.3">
      <c r="D5630" s="40"/>
      <c r="J5630" s="134"/>
    </row>
    <row r="5631" spans="4:10" x14ac:dyDescent="0.3">
      <c r="D5631" s="40"/>
      <c r="J5631" s="134"/>
    </row>
    <row r="5632" spans="4:10" x14ac:dyDescent="0.3">
      <c r="D5632" s="40"/>
      <c r="J5632" s="134"/>
    </row>
    <row r="5633" spans="4:10" x14ac:dyDescent="0.3">
      <c r="D5633" s="40"/>
      <c r="J5633" s="134"/>
    </row>
    <row r="5634" spans="4:10" x14ac:dyDescent="0.3">
      <c r="D5634" s="40"/>
      <c r="J5634" s="134"/>
    </row>
    <row r="5635" spans="4:10" x14ac:dyDescent="0.3">
      <c r="D5635" s="40"/>
      <c r="J5635" s="134"/>
    </row>
    <row r="5636" spans="4:10" x14ac:dyDescent="0.3">
      <c r="D5636" s="40"/>
      <c r="J5636" s="134"/>
    </row>
    <row r="5637" spans="4:10" x14ac:dyDescent="0.3">
      <c r="D5637" s="40"/>
      <c r="J5637" s="134"/>
    </row>
    <row r="5638" spans="4:10" x14ac:dyDescent="0.3">
      <c r="D5638" s="40"/>
      <c r="J5638" s="134"/>
    </row>
    <row r="5639" spans="4:10" x14ac:dyDescent="0.3">
      <c r="D5639" s="40"/>
      <c r="J5639" s="134"/>
    </row>
    <row r="5640" spans="4:10" x14ac:dyDescent="0.3">
      <c r="D5640" s="40"/>
      <c r="J5640" s="134"/>
    </row>
    <row r="5641" spans="4:10" x14ac:dyDescent="0.3">
      <c r="D5641" s="40"/>
      <c r="J5641" s="134"/>
    </row>
    <row r="5642" spans="4:10" x14ac:dyDescent="0.3">
      <c r="D5642" s="40"/>
      <c r="J5642" s="134"/>
    </row>
    <row r="5643" spans="4:10" x14ac:dyDescent="0.3">
      <c r="D5643" s="40"/>
      <c r="J5643" s="134"/>
    </row>
    <row r="5644" spans="4:10" x14ac:dyDescent="0.3">
      <c r="D5644" s="40"/>
      <c r="J5644" s="134"/>
    </row>
    <row r="5645" spans="4:10" x14ac:dyDescent="0.3">
      <c r="D5645" s="40"/>
      <c r="J5645" s="134"/>
    </row>
    <row r="5646" spans="4:10" x14ac:dyDescent="0.3">
      <c r="D5646" s="40"/>
      <c r="J5646" s="134"/>
    </row>
    <row r="5647" spans="4:10" x14ac:dyDescent="0.3">
      <c r="D5647" s="40"/>
      <c r="J5647" s="134"/>
    </row>
    <row r="5648" spans="4:10" x14ac:dyDescent="0.3">
      <c r="D5648" s="40"/>
      <c r="J5648" s="134"/>
    </row>
    <row r="5649" spans="4:10" x14ac:dyDescent="0.3">
      <c r="D5649" s="40"/>
      <c r="J5649" s="134"/>
    </row>
    <row r="5650" spans="4:10" x14ac:dyDescent="0.3">
      <c r="D5650" s="40"/>
      <c r="J5650" s="134"/>
    </row>
    <row r="5651" spans="4:10" x14ac:dyDescent="0.3">
      <c r="D5651" s="40"/>
      <c r="J5651" s="134"/>
    </row>
    <row r="5652" spans="4:10" x14ac:dyDescent="0.3">
      <c r="D5652" s="40"/>
      <c r="J5652" s="134"/>
    </row>
    <row r="5653" spans="4:10" x14ac:dyDescent="0.3">
      <c r="D5653" s="40"/>
      <c r="J5653" s="134"/>
    </row>
    <row r="5654" spans="4:10" x14ac:dyDescent="0.3">
      <c r="D5654" s="40"/>
      <c r="J5654" s="134"/>
    </row>
    <row r="5655" spans="4:10" x14ac:dyDescent="0.3">
      <c r="D5655" s="40"/>
      <c r="J5655" s="134"/>
    </row>
    <row r="5656" spans="4:10" x14ac:dyDescent="0.3">
      <c r="D5656" s="40"/>
      <c r="J5656" s="134"/>
    </row>
    <row r="5657" spans="4:10" x14ac:dyDescent="0.3">
      <c r="D5657" s="40"/>
      <c r="J5657" s="134"/>
    </row>
    <row r="5658" spans="4:10" x14ac:dyDescent="0.3">
      <c r="D5658" s="40"/>
      <c r="J5658" s="134"/>
    </row>
    <row r="5659" spans="4:10" x14ac:dyDescent="0.3">
      <c r="D5659" s="40"/>
      <c r="J5659" s="134"/>
    </row>
    <row r="5660" spans="4:10" x14ac:dyDescent="0.3">
      <c r="D5660" s="40"/>
      <c r="J5660" s="134"/>
    </row>
    <row r="5661" spans="4:10" x14ac:dyDescent="0.3">
      <c r="D5661" s="40"/>
      <c r="J5661" s="134"/>
    </row>
    <row r="5662" spans="4:10" x14ac:dyDescent="0.3">
      <c r="D5662" s="40"/>
      <c r="J5662" s="134"/>
    </row>
    <row r="5663" spans="4:10" x14ac:dyDescent="0.3">
      <c r="D5663" s="40"/>
      <c r="J5663" s="134"/>
    </row>
    <row r="5664" spans="4:10" x14ac:dyDescent="0.3">
      <c r="D5664" s="40"/>
      <c r="J5664" s="134"/>
    </row>
    <row r="5665" spans="4:10" x14ac:dyDescent="0.3">
      <c r="D5665" s="40"/>
      <c r="J5665" s="134"/>
    </row>
    <row r="5666" spans="4:10" x14ac:dyDescent="0.3">
      <c r="D5666" s="40"/>
      <c r="J5666" s="134"/>
    </row>
    <row r="5667" spans="4:10" x14ac:dyDescent="0.3">
      <c r="D5667" s="40"/>
      <c r="J5667" s="134"/>
    </row>
    <row r="5668" spans="4:10" x14ac:dyDescent="0.3">
      <c r="D5668" s="40"/>
      <c r="J5668" s="134"/>
    </row>
    <row r="5669" spans="4:10" x14ac:dyDescent="0.3">
      <c r="D5669" s="40"/>
      <c r="J5669" s="134"/>
    </row>
    <row r="5670" spans="4:10" x14ac:dyDescent="0.3">
      <c r="D5670" s="40"/>
      <c r="J5670" s="134"/>
    </row>
    <row r="5671" spans="4:10" x14ac:dyDescent="0.3">
      <c r="D5671" s="40"/>
      <c r="J5671" s="134"/>
    </row>
    <row r="5672" spans="4:10" x14ac:dyDescent="0.3">
      <c r="D5672" s="40"/>
      <c r="J5672" s="134"/>
    </row>
    <row r="5673" spans="4:10" x14ac:dyDescent="0.3">
      <c r="D5673" s="40"/>
      <c r="J5673" s="134"/>
    </row>
    <row r="5674" spans="4:10" x14ac:dyDescent="0.3">
      <c r="D5674" s="40"/>
      <c r="J5674" s="134"/>
    </row>
    <row r="5675" spans="4:10" x14ac:dyDescent="0.3">
      <c r="D5675" s="40"/>
      <c r="J5675" s="134"/>
    </row>
    <row r="5676" spans="4:10" x14ac:dyDescent="0.3">
      <c r="D5676" s="40"/>
      <c r="J5676" s="134"/>
    </row>
    <row r="5677" spans="4:10" x14ac:dyDescent="0.3">
      <c r="D5677" s="40"/>
      <c r="J5677" s="134"/>
    </row>
    <row r="5678" spans="4:10" x14ac:dyDescent="0.3">
      <c r="D5678" s="40"/>
      <c r="J5678" s="134"/>
    </row>
    <row r="5679" spans="4:10" x14ac:dyDescent="0.3">
      <c r="D5679" s="40"/>
      <c r="J5679" s="134"/>
    </row>
    <row r="5680" spans="4:10" x14ac:dyDescent="0.3">
      <c r="D5680" s="40"/>
      <c r="J5680" s="134"/>
    </row>
    <row r="5681" spans="4:10" x14ac:dyDescent="0.3">
      <c r="D5681" s="40"/>
      <c r="J5681" s="134"/>
    </row>
    <row r="5682" spans="4:10" x14ac:dyDescent="0.3">
      <c r="D5682" s="40"/>
      <c r="J5682" s="134"/>
    </row>
    <row r="5683" spans="4:10" x14ac:dyDescent="0.3">
      <c r="D5683" s="40"/>
      <c r="J5683" s="134"/>
    </row>
    <row r="5684" spans="4:10" x14ac:dyDescent="0.3">
      <c r="D5684" s="40"/>
      <c r="J5684" s="134"/>
    </row>
    <row r="5685" spans="4:10" x14ac:dyDescent="0.3">
      <c r="D5685" s="40"/>
      <c r="J5685" s="134"/>
    </row>
    <row r="5686" spans="4:10" x14ac:dyDescent="0.3">
      <c r="D5686" s="40"/>
      <c r="J5686" s="134"/>
    </row>
    <row r="5687" spans="4:10" x14ac:dyDescent="0.3">
      <c r="D5687" s="40"/>
      <c r="J5687" s="134"/>
    </row>
    <row r="5688" spans="4:10" x14ac:dyDescent="0.3">
      <c r="D5688" s="40"/>
      <c r="J5688" s="134"/>
    </row>
    <row r="5689" spans="4:10" x14ac:dyDescent="0.3">
      <c r="D5689" s="40"/>
      <c r="J5689" s="134"/>
    </row>
    <row r="5690" spans="4:10" x14ac:dyDescent="0.3">
      <c r="D5690" s="40"/>
      <c r="J5690" s="134"/>
    </row>
    <row r="5691" spans="4:10" x14ac:dyDescent="0.3">
      <c r="D5691" s="40"/>
      <c r="J5691" s="134"/>
    </row>
    <row r="5692" spans="4:10" x14ac:dyDescent="0.3">
      <c r="D5692" s="40"/>
      <c r="J5692" s="134"/>
    </row>
    <row r="5693" spans="4:10" x14ac:dyDescent="0.3">
      <c r="D5693" s="40"/>
      <c r="J5693" s="134"/>
    </row>
    <row r="5694" spans="4:10" x14ac:dyDescent="0.3">
      <c r="D5694" s="40"/>
      <c r="J5694" s="134"/>
    </row>
    <row r="5695" spans="4:10" x14ac:dyDescent="0.3">
      <c r="D5695" s="40"/>
      <c r="J5695" s="134"/>
    </row>
    <row r="5696" spans="4:10" x14ac:dyDescent="0.3">
      <c r="D5696" s="40"/>
      <c r="J5696" s="134"/>
    </row>
    <row r="5697" spans="4:10" x14ac:dyDescent="0.3">
      <c r="D5697" s="40"/>
      <c r="J5697" s="134"/>
    </row>
    <row r="5698" spans="4:10" x14ac:dyDescent="0.3">
      <c r="D5698" s="40"/>
      <c r="J5698" s="134"/>
    </row>
    <row r="5699" spans="4:10" x14ac:dyDescent="0.3">
      <c r="D5699" s="40"/>
      <c r="J5699" s="134"/>
    </row>
    <row r="5700" spans="4:10" x14ac:dyDescent="0.3">
      <c r="D5700" s="40"/>
      <c r="J5700" s="134"/>
    </row>
    <row r="5701" spans="4:10" x14ac:dyDescent="0.3">
      <c r="D5701" s="40"/>
      <c r="J5701" s="134"/>
    </row>
    <row r="5702" spans="4:10" x14ac:dyDescent="0.3">
      <c r="D5702" s="40"/>
      <c r="J5702" s="134"/>
    </row>
    <row r="5703" spans="4:10" x14ac:dyDescent="0.3">
      <c r="D5703" s="40"/>
      <c r="J5703" s="134"/>
    </row>
    <row r="5704" spans="4:10" x14ac:dyDescent="0.3">
      <c r="D5704" s="40"/>
      <c r="J5704" s="134"/>
    </row>
    <row r="5705" spans="4:10" x14ac:dyDescent="0.3">
      <c r="D5705" s="40"/>
      <c r="J5705" s="134"/>
    </row>
    <row r="5706" spans="4:10" x14ac:dyDescent="0.3">
      <c r="D5706" s="40"/>
      <c r="J5706" s="134"/>
    </row>
    <row r="5707" spans="4:10" x14ac:dyDescent="0.3">
      <c r="D5707" s="40"/>
      <c r="J5707" s="134"/>
    </row>
    <row r="5708" spans="4:10" x14ac:dyDescent="0.3">
      <c r="D5708" s="40"/>
      <c r="J5708" s="134"/>
    </row>
    <row r="5709" spans="4:10" x14ac:dyDescent="0.3">
      <c r="D5709" s="40"/>
      <c r="J5709" s="134"/>
    </row>
    <row r="5710" spans="4:10" x14ac:dyDescent="0.3">
      <c r="D5710" s="40"/>
      <c r="J5710" s="134"/>
    </row>
    <row r="5711" spans="4:10" x14ac:dyDescent="0.3">
      <c r="D5711" s="40"/>
      <c r="J5711" s="134"/>
    </row>
    <row r="5712" spans="4:10" x14ac:dyDescent="0.3">
      <c r="D5712" s="40"/>
      <c r="J5712" s="134"/>
    </row>
    <row r="5713" spans="4:10" x14ac:dyDescent="0.3">
      <c r="D5713" s="40"/>
      <c r="J5713" s="134"/>
    </row>
    <row r="5714" spans="4:10" x14ac:dyDescent="0.3">
      <c r="D5714" s="40"/>
      <c r="J5714" s="134"/>
    </row>
    <row r="5715" spans="4:10" x14ac:dyDescent="0.3">
      <c r="D5715" s="40"/>
      <c r="J5715" s="134"/>
    </row>
    <row r="5716" spans="4:10" x14ac:dyDescent="0.3">
      <c r="D5716" s="40"/>
      <c r="J5716" s="134"/>
    </row>
    <row r="5717" spans="4:10" x14ac:dyDescent="0.3">
      <c r="D5717" s="40"/>
      <c r="J5717" s="134"/>
    </row>
    <row r="5718" spans="4:10" x14ac:dyDescent="0.3">
      <c r="D5718" s="40"/>
      <c r="J5718" s="134"/>
    </row>
    <row r="5719" spans="4:10" x14ac:dyDescent="0.3">
      <c r="D5719" s="40"/>
      <c r="J5719" s="134"/>
    </row>
    <row r="5720" spans="4:10" x14ac:dyDescent="0.3">
      <c r="D5720" s="40"/>
      <c r="J5720" s="134"/>
    </row>
    <row r="5721" spans="4:10" x14ac:dyDescent="0.3">
      <c r="D5721" s="40"/>
      <c r="J5721" s="134"/>
    </row>
    <row r="5722" spans="4:10" x14ac:dyDescent="0.3">
      <c r="D5722" s="40"/>
      <c r="J5722" s="134"/>
    </row>
    <row r="5723" spans="4:10" x14ac:dyDescent="0.3">
      <c r="D5723" s="40"/>
      <c r="J5723" s="134"/>
    </row>
    <row r="5724" spans="4:10" x14ac:dyDescent="0.3">
      <c r="D5724" s="40"/>
      <c r="J5724" s="134"/>
    </row>
    <row r="5725" spans="4:10" x14ac:dyDescent="0.3">
      <c r="D5725" s="40"/>
      <c r="J5725" s="134"/>
    </row>
    <row r="5726" spans="4:10" x14ac:dyDescent="0.3">
      <c r="D5726" s="40"/>
      <c r="J5726" s="134"/>
    </row>
    <row r="5727" spans="4:10" x14ac:dyDescent="0.3">
      <c r="D5727" s="40"/>
      <c r="J5727" s="134"/>
    </row>
    <row r="5728" spans="4:10" x14ac:dyDescent="0.3">
      <c r="D5728" s="40"/>
      <c r="J5728" s="134"/>
    </row>
    <row r="5729" spans="4:10" x14ac:dyDescent="0.3">
      <c r="D5729" s="40"/>
      <c r="J5729" s="134"/>
    </row>
    <row r="5730" spans="4:10" x14ac:dyDescent="0.3">
      <c r="D5730" s="40"/>
      <c r="J5730" s="134"/>
    </row>
    <row r="5731" spans="4:10" x14ac:dyDescent="0.3">
      <c r="D5731" s="40"/>
      <c r="J5731" s="134"/>
    </row>
    <row r="5732" spans="4:10" x14ac:dyDescent="0.3">
      <c r="D5732" s="40"/>
      <c r="J5732" s="134"/>
    </row>
    <row r="5733" spans="4:10" x14ac:dyDescent="0.3">
      <c r="D5733" s="40"/>
      <c r="J5733" s="134"/>
    </row>
    <row r="5734" spans="4:10" x14ac:dyDescent="0.3">
      <c r="D5734" s="40"/>
      <c r="J5734" s="134"/>
    </row>
    <row r="5735" spans="4:10" x14ac:dyDescent="0.3">
      <c r="D5735" s="40"/>
      <c r="J5735" s="134"/>
    </row>
    <row r="5736" spans="4:10" x14ac:dyDescent="0.3">
      <c r="D5736" s="40"/>
      <c r="J5736" s="134"/>
    </row>
    <row r="5737" spans="4:10" x14ac:dyDescent="0.3">
      <c r="D5737" s="40"/>
      <c r="J5737" s="134"/>
    </row>
    <row r="5738" spans="4:10" x14ac:dyDescent="0.3">
      <c r="D5738" s="40"/>
      <c r="J5738" s="134"/>
    </row>
    <row r="5739" spans="4:10" x14ac:dyDescent="0.3">
      <c r="D5739" s="40"/>
      <c r="J5739" s="134"/>
    </row>
    <row r="5740" spans="4:10" x14ac:dyDescent="0.3">
      <c r="D5740" s="40"/>
      <c r="J5740" s="134"/>
    </row>
    <row r="5741" spans="4:10" x14ac:dyDescent="0.3">
      <c r="D5741" s="40"/>
      <c r="J5741" s="134"/>
    </row>
    <row r="5742" spans="4:10" x14ac:dyDescent="0.3">
      <c r="D5742" s="40"/>
      <c r="J5742" s="134"/>
    </row>
    <row r="5743" spans="4:10" x14ac:dyDescent="0.3">
      <c r="D5743" s="40"/>
      <c r="J5743" s="134"/>
    </row>
    <row r="5744" spans="4:10" x14ac:dyDescent="0.3">
      <c r="D5744" s="40"/>
      <c r="J5744" s="134"/>
    </row>
    <row r="5745" spans="4:10" x14ac:dyDescent="0.3">
      <c r="D5745" s="40"/>
      <c r="J5745" s="134"/>
    </row>
    <row r="5746" spans="4:10" x14ac:dyDescent="0.3">
      <c r="D5746" s="40"/>
      <c r="J5746" s="134"/>
    </row>
    <row r="5747" spans="4:10" x14ac:dyDescent="0.3">
      <c r="D5747" s="40"/>
      <c r="J5747" s="134"/>
    </row>
    <row r="5748" spans="4:10" x14ac:dyDescent="0.3">
      <c r="D5748" s="40"/>
      <c r="J5748" s="134"/>
    </row>
    <row r="5749" spans="4:10" x14ac:dyDescent="0.3">
      <c r="D5749" s="40"/>
      <c r="J5749" s="134"/>
    </row>
    <row r="5750" spans="4:10" x14ac:dyDescent="0.3">
      <c r="D5750" s="40"/>
      <c r="J5750" s="134"/>
    </row>
    <row r="5751" spans="4:10" x14ac:dyDescent="0.3">
      <c r="D5751" s="40"/>
      <c r="J5751" s="134"/>
    </row>
    <row r="5752" spans="4:10" x14ac:dyDescent="0.3">
      <c r="D5752" s="40"/>
      <c r="J5752" s="134"/>
    </row>
    <row r="5753" spans="4:10" x14ac:dyDescent="0.3">
      <c r="D5753" s="40"/>
      <c r="J5753" s="134"/>
    </row>
    <row r="5754" spans="4:10" x14ac:dyDescent="0.3">
      <c r="D5754" s="40"/>
      <c r="J5754" s="134"/>
    </row>
    <row r="5755" spans="4:10" x14ac:dyDescent="0.3">
      <c r="D5755" s="40"/>
      <c r="J5755" s="134"/>
    </row>
    <row r="5756" spans="4:10" x14ac:dyDescent="0.3">
      <c r="D5756" s="40"/>
      <c r="J5756" s="134"/>
    </row>
    <row r="5757" spans="4:10" x14ac:dyDescent="0.3">
      <c r="D5757" s="40"/>
      <c r="J5757" s="134"/>
    </row>
    <row r="5758" spans="4:10" x14ac:dyDescent="0.3">
      <c r="D5758" s="40"/>
      <c r="J5758" s="134"/>
    </row>
    <row r="5759" spans="4:10" x14ac:dyDescent="0.3">
      <c r="D5759" s="40"/>
      <c r="J5759" s="134"/>
    </row>
    <row r="5760" spans="4:10" x14ac:dyDescent="0.3">
      <c r="D5760" s="40"/>
      <c r="J5760" s="134"/>
    </row>
    <row r="5761" spans="4:10" x14ac:dyDescent="0.3">
      <c r="D5761" s="40"/>
      <c r="J5761" s="134"/>
    </row>
    <row r="5762" spans="4:10" x14ac:dyDescent="0.3">
      <c r="D5762" s="40"/>
      <c r="J5762" s="134"/>
    </row>
    <row r="5763" spans="4:10" x14ac:dyDescent="0.3">
      <c r="D5763" s="40"/>
      <c r="J5763" s="134"/>
    </row>
    <row r="5764" spans="4:10" x14ac:dyDescent="0.3">
      <c r="D5764" s="40"/>
      <c r="J5764" s="134"/>
    </row>
    <row r="5765" spans="4:10" x14ac:dyDescent="0.3">
      <c r="D5765" s="40"/>
      <c r="J5765" s="134"/>
    </row>
    <row r="5766" spans="4:10" x14ac:dyDescent="0.3">
      <c r="D5766" s="40"/>
      <c r="J5766" s="134"/>
    </row>
    <row r="5767" spans="4:10" x14ac:dyDescent="0.3">
      <c r="D5767" s="40"/>
      <c r="J5767" s="134"/>
    </row>
    <row r="5768" spans="4:10" x14ac:dyDescent="0.3">
      <c r="D5768" s="40"/>
      <c r="J5768" s="134"/>
    </row>
    <row r="5769" spans="4:10" x14ac:dyDescent="0.3">
      <c r="D5769" s="40"/>
      <c r="J5769" s="134"/>
    </row>
    <row r="5770" spans="4:10" x14ac:dyDescent="0.3">
      <c r="D5770" s="40"/>
      <c r="J5770" s="134"/>
    </row>
    <row r="5771" spans="4:10" x14ac:dyDescent="0.3">
      <c r="D5771" s="40"/>
      <c r="J5771" s="134"/>
    </row>
    <row r="5772" spans="4:10" x14ac:dyDescent="0.3">
      <c r="D5772" s="40"/>
      <c r="J5772" s="134"/>
    </row>
    <row r="5773" spans="4:10" x14ac:dyDescent="0.3">
      <c r="D5773" s="40"/>
      <c r="J5773" s="134"/>
    </row>
    <row r="5774" spans="4:10" x14ac:dyDescent="0.3">
      <c r="D5774" s="40"/>
      <c r="J5774" s="134"/>
    </row>
    <row r="5775" spans="4:10" x14ac:dyDescent="0.3">
      <c r="D5775" s="40"/>
      <c r="J5775" s="134"/>
    </row>
    <row r="5776" spans="4:10" x14ac:dyDescent="0.3">
      <c r="D5776" s="40"/>
      <c r="J5776" s="134"/>
    </row>
    <row r="5777" spans="4:10" x14ac:dyDescent="0.3">
      <c r="D5777" s="40"/>
      <c r="J5777" s="134"/>
    </row>
    <row r="5778" spans="4:10" x14ac:dyDescent="0.3">
      <c r="D5778" s="40"/>
      <c r="J5778" s="134"/>
    </row>
    <row r="5779" spans="4:10" x14ac:dyDescent="0.3">
      <c r="D5779" s="40"/>
      <c r="J5779" s="134"/>
    </row>
    <row r="5780" spans="4:10" x14ac:dyDescent="0.3">
      <c r="D5780" s="40"/>
      <c r="J5780" s="134"/>
    </row>
    <row r="5781" spans="4:10" x14ac:dyDescent="0.3">
      <c r="D5781" s="40"/>
      <c r="J5781" s="134"/>
    </row>
    <row r="5782" spans="4:10" x14ac:dyDescent="0.3">
      <c r="D5782" s="40"/>
      <c r="J5782" s="134"/>
    </row>
    <row r="5783" spans="4:10" x14ac:dyDescent="0.3">
      <c r="D5783" s="40"/>
      <c r="J5783" s="134"/>
    </row>
    <row r="5784" spans="4:10" x14ac:dyDescent="0.3">
      <c r="D5784" s="40"/>
      <c r="J5784" s="134"/>
    </row>
    <row r="5785" spans="4:10" x14ac:dyDescent="0.3">
      <c r="D5785" s="40"/>
      <c r="J5785" s="134"/>
    </row>
    <row r="5786" spans="4:10" x14ac:dyDescent="0.3">
      <c r="D5786" s="40"/>
      <c r="J5786" s="134"/>
    </row>
    <row r="5787" spans="4:10" x14ac:dyDescent="0.3">
      <c r="D5787" s="40"/>
      <c r="J5787" s="134"/>
    </row>
    <row r="5788" spans="4:10" x14ac:dyDescent="0.3">
      <c r="D5788" s="40"/>
      <c r="J5788" s="134"/>
    </row>
    <row r="5789" spans="4:10" x14ac:dyDescent="0.3">
      <c r="D5789" s="40"/>
      <c r="J5789" s="134"/>
    </row>
    <row r="5790" spans="4:10" x14ac:dyDescent="0.3">
      <c r="D5790" s="40"/>
      <c r="J5790" s="134"/>
    </row>
    <row r="5791" spans="4:10" x14ac:dyDescent="0.3">
      <c r="D5791" s="40"/>
      <c r="J5791" s="134"/>
    </row>
    <row r="5792" spans="4:10" x14ac:dyDescent="0.3">
      <c r="D5792" s="40"/>
      <c r="J5792" s="134"/>
    </row>
    <row r="5793" spans="4:10" x14ac:dyDescent="0.3">
      <c r="D5793" s="40"/>
      <c r="J5793" s="134"/>
    </row>
    <row r="5794" spans="4:10" x14ac:dyDescent="0.3">
      <c r="D5794" s="40"/>
      <c r="J5794" s="134"/>
    </row>
    <row r="5795" spans="4:10" x14ac:dyDescent="0.3">
      <c r="D5795" s="40"/>
      <c r="J5795" s="134"/>
    </row>
    <row r="5796" spans="4:10" x14ac:dyDescent="0.3">
      <c r="D5796" s="40"/>
      <c r="J5796" s="134"/>
    </row>
    <row r="5797" spans="4:10" x14ac:dyDescent="0.3">
      <c r="D5797" s="40"/>
      <c r="J5797" s="134"/>
    </row>
    <row r="5798" spans="4:10" x14ac:dyDescent="0.3">
      <c r="D5798" s="40"/>
      <c r="J5798" s="134"/>
    </row>
    <row r="5799" spans="4:10" x14ac:dyDescent="0.3">
      <c r="D5799" s="40"/>
      <c r="J5799" s="134"/>
    </row>
    <row r="5800" spans="4:10" x14ac:dyDescent="0.3">
      <c r="D5800" s="40"/>
      <c r="J5800" s="134"/>
    </row>
    <row r="5801" spans="4:10" x14ac:dyDescent="0.3">
      <c r="D5801" s="40"/>
      <c r="J5801" s="134"/>
    </row>
    <row r="5802" spans="4:10" x14ac:dyDescent="0.3">
      <c r="D5802" s="40"/>
      <c r="J5802" s="134"/>
    </row>
    <row r="5803" spans="4:10" x14ac:dyDescent="0.3">
      <c r="D5803" s="40"/>
      <c r="J5803" s="134"/>
    </row>
    <row r="5804" spans="4:10" x14ac:dyDescent="0.3">
      <c r="D5804" s="40"/>
      <c r="J5804" s="134"/>
    </row>
    <row r="5805" spans="4:10" x14ac:dyDescent="0.3">
      <c r="D5805" s="40"/>
      <c r="J5805" s="134"/>
    </row>
    <row r="5806" spans="4:10" x14ac:dyDescent="0.3">
      <c r="D5806" s="40"/>
      <c r="J5806" s="134"/>
    </row>
    <row r="5807" spans="4:10" x14ac:dyDescent="0.3">
      <c r="D5807" s="40"/>
      <c r="J5807" s="134"/>
    </row>
    <row r="5808" spans="4:10" x14ac:dyDescent="0.3">
      <c r="D5808" s="40"/>
      <c r="J5808" s="134"/>
    </row>
    <row r="5809" spans="4:10" x14ac:dyDescent="0.3">
      <c r="D5809" s="40"/>
      <c r="J5809" s="134"/>
    </row>
    <row r="5810" spans="4:10" x14ac:dyDescent="0.3">
      <c r="D5810" s="40"/>
      <c r="J5810" s="134"/>
    </row>
    <row r="5811" spans="4:10" x14ac:dyDescent="0.3">
      <c r="D5811" s="40"/>
      <c r="J5811" s="134"/>
    </row>
    <row r="5812" spans="4:10" x14ac:dyDescent="0.3">
      <c r="D5812" s="40"/>
      <c r="J5812" s="134"/>
    </row>
    <row r="5813" spans="4:10" x14ac:dyDescent="0.3">
      <c r="D5813" s="40"/>
      <c r="J5813" s="134"/>
    </row>
    <row r="5814" spans="4:10" x14ac:dyDescent="0.3">
      <c r="D5814" s="40"/>
      <c r="J5814" s="134"/>
    </row>
    <row r="5815" spans="4:10" x14ac:dyDescent="0.3">
      <c r="D5815" s="40"/>
      <c r="J5815" s="134"/>
    </row>
    <row r="5816" spans="4:10" x14ac:dyDescent="0.3">
      <c r="D5816" s="40"/>
      <c r="J5816" s="134"/>
    </row>
    <row r="5817" spans="4:10" x14ac:dyDescent="0.3">
      <c r="D5817" s="40"/>
      <c r="J5817" s="134"/>
    </row>
    <row r="5818" spans="4:10" x14ac:dyDescent="0.3">
      <c r="D5818" s="40"/>
      <c r="J5818" s="134"/>
    </row>
    <row r="5819" spans="4:10" x14ac:dyDescent="0.3">
      <c r="D5819" s="40"/>
      <c r="J5819" s="134"/>
    </row>
    <row r="5820" spans="4:10" x14ac:dyDescent="0.3">
      <c r="D5820" s="40"/>
      <c r="J5820" s="134"/>
    </row>
    <row r="5821" spans="4:10" x14ac:dyDescent="0.3">
      <c r="D5821" s="40"/>
      <c r="J5821" s="134"/>
    </row>
    <row r="5822" spans="4:10" x14ac:dyDescent="0.3">
      <c r="D5822" s="40"/>
      <c r="J5822" s="134"/>
    </row>
    <row r="5823" spans="4:10" x14ac:dyDescent="0.3">
      <c r="D5823" s="40"/>
      <c r="J5823" s="134"/>
    </row>
    <row r="5824" spans="4:10" x14ac:dyDescent="0.3">
      <c r="D5824" s="40"/>
      <c r="J5824" s="134"/>
    </row>
    <row r="5825" spans="4:10" x14ac:dyDescent="0.3">
      <c r="D5825" s="40"/>
      <c r="J5825" s="134"/>
    </row>
    <row r="5826" spans="4:10" x14ac:dyDescent="0.3">
      <c r="D5826" s="40"/>
      <c r="J5826" s="134"/>
    </row>
    <row r="5827" spans="4:10" x14ac:dyDescent="0.3">
      <c r="D5827" s="40"/>
      <c r="J5827" s="134"/>
    </row>
    <row r="5828" spans="4:10" x14ac:dyDescent="0.3">
      <c r="D5828" s="40"/>
      <c r="J5828" s="134"/>
    </row>
    <row r="5829" spans="4:10" x14ac:dyDescent="0.3">
      <c r="D5829" s="40"/>
      <c r="J5829" s="134"/>
    </row>
    <row r="5830" spans="4:10" x14ac:dyDescent="0.3">
      <c r="D5830" s="40"/>
      <c r="J5830" s="134"/>
    </row>
    <row r="5831" spans="4:10" x14ac:dyDescent="0.3">
      <c r="D5831" s="40"/>
      <c r="J5831" s="134"/>
    </row>
    <row r="5832" spans="4:10" x14ac:dyDescent="0.3">
      <c r="D5832" s="40"/>
      <c r="J5832" s="134"/>
    </row>
    <row r="5833" spans="4:10" x14ac:dyDescent="0.3">
      <c r="D5833" s="40"/>
      <c r="J5833" s="134"/>
    </row>
    <row r="5834" spans="4:10" x14ac:dyDescent="0.3">
      <c r="D5834" s="40"/>
      <c r="J5834" s="134"/>
    </row>
    <row r="5835" spans="4:10" x14ac:dyDescent="0.3">
      <c r="D5835" s="40"/>
      <c r="J5835" s="134"/>
    </row>
    <row r="5836" spans="4:10" x14ac:dyDescent="0.3">
      <c r="D5836" s="40"/>
      <c r="J5836" s="134"/>
    </row>
    <row r="5837" spans="4:10" x14ac:dyDescent="0.3">
      <c r="D5837" s="40"/>
      <c r="J5837" s="134"/>
    </row>
    <row r="5838" spans="4:10" x14ac:dyDescent="0.3">
      <c r="D5838" s="40"/>
      <c r="J5838" s="134"/>
    </row>
    <row r="5839" spans="4:10" x14ac:dyDescent="0.3">
      <c r="D5839" s="40"/>
      <c r="J5839" s="134"/>
    </row>
    <row r="5840" spans="4:10" x14ac:dyDescent="0.3">
      <c r="D5840" s="40"/>
      <c r="J5840" s="134"/>
    </row>
    <row r="5841" spans="4:10" x14ac:dyDescent="0.3">
      <c r="D5841" s="40"/>
      <c r="J5841" s="134"/>
    </row>
    <row r="5842" spans="4:10" x14ac:dyDescent="0.3">
      <c r="D5842" s="40"/>
      <c r="J5842" s="134"/>
    </row>
    <row r="5843" spans="4:10" x14ac:dyDescent="0.3">
      <c r="D5843" s="40"/>
      <c r="J5843" s="134"/>
    </row>
    <row r="5844" spans="4:10" x14ac:dyDescent="0.3">
      <c r="D5844" s="40"/>
      <c r="J5844" s="134"/>
    </row>
    <row r="5845" spans="4:10" x14ac:dyDescent="0.3">
      <c r="D5845" s="40"/>
      <c r="J5845" s="134"/>
    </row>
    <row r="5846" spans="4:10" x14ac:dyDescent="0.3">
      <c r="D5846" s="40"/>
      <c r="J5846" s="134"/>
    </row>
    <row r="5847" spans="4:10" x14ac:dyDescent="0.3">
      <c r="D5847" s="40"/>
      <c r="J5847" s="134"/>
    </row>
    <row r="5848" spans="4:10" x14ac:dyDescent="0.3">
      <c r="D5848" s="40"/>
      <c r="J5848" s="134"/>
    </row>
    <row r="5849" spans="4:10" x14ac:dyDescent="0.3">
      <c r="D5849" s="40"/>
      <c r="J5849" s="134"/>
    </row>
    <row r="5850" spans="4:10" x14ac:dyDescent="0.3">
      <c r="D5850" s="40"/>
      <c r="J5850" s="134"/>
    </row>
    <row r="5851" spans="4:10" x14ac:dyDescent="0.3">
      <c r="D5851" s="40"/>
      <c r="J5851" s="134"/>
    </row>
    <row r="5852" spans="4:10" x14ac:dyDescent="0.3">
      <c r="D5852" s="40"/>
      <c r="J5852" s="134"/>
    </row>
    <row r="5853" spans="4:10" x14ac:dyDescent="0.3">
      <c r="D5853" s="40"/>
      <c r="J5853" s="134"/>
    </row>
    <row r="5854" spans="4:10" x14ac:dyDescent="0.3">
      <c r="D5854" s="40"/>
      <c r="J5854" s="134"/>
    </row>
    <row r="5855" spans="4:10" x14ac:dyDescent="0.3">
      <c r="D5855" s="40"/>
      <c r="J5855" s="134"/>
    </row>
    <row r="5856" spans="4:10" x14ac:dyDescent="0.3">
      <c r="D5856" s="40"/>
      <c r="J5856" s="134"/>
    </row>
    <row r="5857" spans="4:10" x14ac:dyDescent="0.3">
      <c r="D5857" s="40"/>
      <c r="J5857" s="134"/>
    </row>
    <row r="5858" spans="4:10" x14ac:dyDescent="0.3">
      <c r="D5858" s="40"/>
      <c r="J5858" s="134"/>
    </row>
    <row r="5859" spans="4:10" x14ac:dyDescent="0.3">
      <c r="D5859" s="40"/>
      <c r="J5859" s="134"/>
    </row>
    <row r="5860" spans="4:10" x14ac:dyDescent="0.3">
      <c r="D5860" s="40"/>
      <c r="J5860" s="134"/>
    </row>
    <row r="5861" spans="4:10" x14ac:dyDescent="0.3">
      <c r="D5861" s="40"/>
      <c r="J5861" s="134"/>
    </row>
    <row r="5862" spans="4:10" x14ac:dyDescent="0.3">
      <c r="D5862" s="40"/>
      <c r="J5862" s="134"/>
    </row>
    <row r="5863" spans="4:10" x14ac:dyDescent="0.3">
      <c r="D5863" s="40"/>
      <c r="J5863" s="134"/>
    </row>
    <row r="5864" spans="4:10" x14ac:dyDescent="0.3">
      <c r="D5864" s="40"/>
      <c r="J5864" s="134"/>
    </row>
    <row r="5865" spans="4:10" x14ac:dyDescent="0.3">
      <c r="D5865" s="40"/>
      <c r="J5865" s="134"/>
    </row>
    <row r="5866" spans="4:10" x14ac:dyDescent="0.3">
      <c r="D5866" s="40"/>
      <c r="J5866" s="134"/>
    </row>
    <row r="5867" spans="4:10" x14ac:dyDescent="0.3">
      <c r="D5867" s="40"/>
      <c r="J5867" s="134"/>
    </row>
    <row r="5868" spans="4:10" x14ac:dyDescent="0.3">
      <c r="D5868" s="40"/>
      <c r="J5868" s="134"/>
    </row>
    <row r="5869" spans="4:10" x14ac:dyDescent="0.3">
      <c r="D5869" s="40"/>
      <c r="J5869" s="134"/>
    </row>
    <row r="5870" spans="4:10" x14ac:dyDescent="0.3">
      <c r="D5870" s="40"/>
      <c r="J5870" s="134"/>
    </row>
    <row r="5871" spans="4:10" x14ac:dyDescent="0.3">
      <c r="D5871" s="40"/>
      <c r="J5871" s="134"/>
    </row>
    <row r="5872" spans="4:10" x14ac:dyDescent="0.3">
      <c r="D5872" s="40"/>
      <c r="J5872" s="134"/>
    </row>
    <row r="5873" spans="4:10" x14ac:dyDescent="0.3">
      <c r="D5873" s="40"/>
      <c r="J5873" s="134"/>
    </row>
    <row r="5874" spans="4:10" x14ac:dyDescent="0.3">
      <c r="D5874" s="40"/>
      <c r="J5874" s="134"/>
    </row>
    <row r="5875" spans="4:10" x14ac:dyDescent="0.3">
      <c r="D5875" s="40"/>
      <c r="J5875" s="134"/>
    </row>
    <row r="5876" spans="4:10" x14ac:dyDescent="0.3">
      <c r="D5876" s="40"/>
      <c r="J5876" s="134"/>
    </row>
    <row r="5877" spans="4:10" x14ac:dyDescent="0.3">
      <c r="D5877" s="40"/>
      <c r="J5877" s="134"/>
    </row>
    <row r="5878" spans="4:10" x14ac:dyDescent="0.3">
      <c r="D5878" s="40"/>
      <c r="J5878" s="134"/>
    </row>
    <row r="5879" spans="4:10" x14ac:dyDescent="0.3">
      <c r="D5879" s="40"/>
      <c r="J5879" s="134"/>
    </row>
    <row r="5880" spans="4:10" x14ac:dyDescent="0.3">
      <c r="D5880" s="40"/>
      <c r="J5880" s="134"/>
    </row>
    <row r="5881" spans="4:10" x14ac:dyDescent="0.3">
      <c r="D5881" s="40"/>
      <c r="J5881" s="134"/>
    </row>
    <row r="5882" spans="4:10" x14ac:dyDescent="0.3">
      <c r="D5882" s="40"/>
      <c r="J5882" s="134"/>
    </row>
    <row r="5883" spans="4:10" x14ac:dyDescent="0.3">
      <c r="D5883" s="40"/>
      <c r="J5883" s="134"/>
    </row>
    <row r="5884" spans="4:10" x14ac:dyDescent="0.3">
      <c r="D5884" s="40"/>
      <c r="J5884" s="134"/>
    </row>
    <row r="5885" spans="4:10" x14ac:dyDescent="0.3">
      <c r="D5885" s="40"/>
      <c r="J5885" s="134"/>
    </row>
    <row r="5886" spans="4:10" x14ac:dyDescent="0.3">
      <c r="D5886" s="40"/>
      <c r="J5886" s="134"/>
    </row>
    <row r="5887" spans="4:10" x14ac:dyDescent="0.3">
      <c r="D5887" s="40"/>
      <c r="J5887" s="134"/>
    </row>
    <row r="5888" spans="4:10" x14ac:dyDescent="0.3">
      <c r="D5888" s="40"/>
      <c r="J5888" s="134"/>
    </row>
    <row r="5889" spans="4:10" x14ac:dyDescent="0.3">
      <c r="D5889" s="40"/>
      <c r="J5889" s="134"/>
    </row>
    <row r="5890" spans="4:10" x14ac:dyDescent="0.3">
      <c r="D5890" s="40"/>
      <c r="J5890" s="134"/>
    </row>
    <row r="5891" spans="4:10" x14ac:dyDescent="0.3">
      <c r="D5891" s="40"/>
      <c r="J5891" s="134"/>
    </row>
    <row r="5892" spans="4:10" x14ac:dyDescent="0.3">
      <c r="D5892" s="40"/>
      <c r="J5892" s="134"/>
    </row>
    <row r="5893" spans="4:10" x14ac:dyDescent="0.3">
      <c r="D5893" s="40"/>
      <c r="J5893" s="134"/>
    </row>
    <row r="5894" spans="4:10" x14ac:dyDescent="0.3">
      <c r="D5894" s="40"/>
      <c r="J5894" s="134"/>
    </row>
    <row r="5895" spans="4:10" x14ac:dyDescent="0.3">
      <c r="D5895" s="40"/>
      <c r="J5895" s="134"/>
    </row>
    <row r="5896" spans="4:10" x14ac:dyDescent="0.3">
      <c r="D5896" s="40"/>
      <c r="J5896" s="134"/>
    </row>
    <row r="5897" spans="4:10" x14ac:dyDescent="0.3">
      <c r="D5897" s="40"/>
      <c r="J5897" s="134"/>
    </row>
    <row r="5898" spans="4:10" x14ac:dyDescent="0.3">
      <c r="D5898" s="40"/>
      <c r="J5898" s="134"/>
    </row>
    <row r="5899" spans="4:10" x14ac:dyDescent="0.3">
      <c r="D5899" s="40"/>
      <c r="J5899" s="134"/>
    </row>
    <row r="5900" spans="4:10" x14ac:dyDescent="0.3">
      <c r="D5900" s="40"/>
      <c r="J5900" s="134"/>
    </row>
    <row r="5901" spans="4:10" x14ac:dyDescent="0.3">
      <c r="D5901" s="40"/>
      <c r="J5901" s="134"/>
    </row>
    <row r="5902" spans="4:10" x14ac:dyDescent="0.3">
      <c r="D5902" s="40"/>
      <c r="J5902" s="134"/>
    </row>
    <row r="5903" spans="4:10" x14ac:dyDescent="0.3">
      <c r="D5903" s="40"/>
      <c r="J5903" s="134"/>
    </row>
    <row r="5904" spans="4:10" x14ac:dyDescent="0.3">
      <c r="D5904" s="40"/>
      <c r="J5904" s="134"/>
    </row>
    <row r="5905" spans="4:10" x14ac:dyDescent="0.3">
      <c r="D5905" s="40"/>
      <c r="J5905" s="134"/>
    </row>
    <row r="5906" spans="4:10" x14ac:dyDescent="0.3">
      <c r="D5906" s="40"/>
      <c r="J5906" s="134"/>
    </row>
    <row r="5907" spans="4:10" x14ac:dyDescent="0.3">
      <c r="D5907" s="40"/>
      <c r="J5907" s="134"/>
    </row>
    <row r="5908" spans="4:10" x14ac:dyDescent="0.3">
      <c r="D5908" s="40"/>
      <c r="J5908" s="134"/>
    </row>
    <row r="5909" spans="4:10" x14ac:dyDescent="0.3">
      <c r="D5909" s="40"/>
      <c r="J5909" s="134"/>
    </row>
    <row r="5910" spans="4:10" x14ac:dyDescent="0.3">
      <c r="D5910" s="40"/>
      <c r="J5910" s="134"/>
    </row>
    <row r="5911" spans="4:10" x14ac:dyDescent="0.3">
      <c r="D5911" s="40"/>
      <c r="J5911" s="134"/>
    </row>
    <row r="5912" spans="4:10" x14ac:dyDescent="0.3">
      <c r="D5912" s="40"/>
      <c r="J5912" s="134"/>
    </row>
    <row r="5913" spans="4:10" x14ac:dyDescent="0.3">
      <c r="D5913" s="40"/>
      <c r="J5913" s="134"/>
    </row>
    <row r="5914" spans="4:10" x14ac:dyDescent="0.3">
      <c r="D5914" s="40"/>
      <c r="J5914" s="134"/>
    </row>
    <row r="5915" spans="4:10" x14ac:dyDescent="0.3">
      <c r="D5915" s="40"/>
      <c r="J5915" s="134"/>
    </row>
    <row r="5916" spans="4:10" x14ac:dyDescent="0.3">
      <c r="D5916" s="40"/>
      <c r="J5916" s="134"/>
    </row>
    <row r="5917" spans="4:10" x14ac:dyDescent="0.3">
      <c r="D5917" s="40"/>
      <c r="J5917" s="134"/>
    </row>
    <row r="5918" spans="4:10" x14ac:dyDescent="0.3">
      <c r="D5918" s="40"/>
      <c r="J5918" s="134"/>
    </row>
    <row r="5919" spans="4:10" x14ac:dyDescent="0.3">
      <c r="D5919" s="40"/>
      <c r="J5919" s="134"/>
    </row>
    <row r="5920" spans="4:10" x14ac:dyDescent="0.3">
      <c r="D5920" s="40"/>
      <c r="J5920" s="134"/>
    </row>
    <row r="5921" spans="4:10" x14ac:dyDescent="0.3">
      <c r="D5921" s="40"/>
      <c r="J5921" s="134"/>
    </row>
    <row r="5922" spans="4:10" x14ac:dyDescent="0.3">
      <c r="D5922" s="40"/>
      <c r="J5922" s="134"/>
    </row>
    <row r="5923" spans="4:10" x14ac:dyDescent="0.3">
      <c r="D5923" s="40"/>
      <c r="J5923" s="134"/>
    </row>
    <row r="5924" spans="4:10" x14ac:dyDescent="0.3">
      <c r="D5924" s="40"/>
      <c r="J5924" s="134"/>
    </row>
    <row r="5925" spans="4:10" x14ac:dyDescent="0.3">
      <c r="D5925" s="40"/>
      <c r="J5925" s="134"/>
    </row>
    <row r="5926" spans="4:10" x14ac:dyDescent="0.3">
      <c r="D5926" s="40"/>
      <c r="J5926" s="134"/>
    </row>
    <row r="5927" spans="4:10" x14ac:dyDescent="0.3">
      <c r="D5927" s="40"/>
      <c r="J5927" s="134"/>
    </row>
    <row r="5928" spans="4:10" x14ac:dyDescent="0.3">
      <c r="D5928" s="40"/>
      <c r="J5928" s="134"/>
    </row>
    <row r="5929" spans="4:10" x14ac:dyDescent="0.3">
      <c r="D5929" s="40"/>
      <c r="J5929" s="134"/>
    </row>
    <row r="5930" spans="4:10" x14ac:dyDescent="0.3">
      <c r="D5930" s="40"/>
      <c r="J5930" s="134"/>
    </row>
    <row r="5931" spans="4:10" x14ac:dyDescent="0.3">
      <c r="D5931" s="40"/>
      <c r="J5931" s="134"/>
    </row>
    <row r="5932" spans="4:10" x14ac:dyDescent="0.3">
      <c r="D5932" s="40"/>
      <c r="J5932" s="134"/>
    </row>
    <row r="5933" spans="4:10" x14ac:dyDescent="0.3">
      <c r="D5933" s="40"/>
      <c r="J5933" s="134"/>
    </row>
    <row r="5934" spans="4:10" x14ac:dyDescent="0.3">
      <c r="D5934" s="40"/>
      <c r="J5934" s="134"/>
    </row>
    <row r="5935" spans="4:10" x14ac:dyDescent="0.3">
      <c r="D5935" s="40"/>
      <c r="J5935" s="134"/>
    </row>
    <row r="5936" spans="4:10" x14ac:dyDescent="0.3">
      <c r="D5936" s="40"/>
      <c r="J5936" s="134"/>
    </row>
    <row r="5937" spans="4:10" x14ac:dyDescent="0.3">
      <c r="D5937" s="40"/>
      <c r="J5937" s="134"/>
    </row>
    <row r="5938" spans="4:10" x14ac:dyDescent="0.3">
      <c r="D5938" s="40"/>
      <c r="J5938" s="134"/>
    </row>
    <row r="5939" spans="4:10" x14ac:dyDescent="0.3">
      <c r="D5939" s="40"/>
      <c r="J5939" s="134"/>
    </row>
    <row r="5940" spans="4:10" x14ac:dyDescent="0.3">
      <c r="D5940" s="40"/>
      <c r="J5940" s="134"/>
    </row>
    <row r="5941" spans="4:10" x14ac:dyDescent="0.3">
      <c r="D5941" s="40"/>
      <c r="J5941" s="134"/>
    </row>
    <row r="5942" spans="4:10" x14ac:dyDescent="0.3">
      <c r="D5942" s="40"/>
      <c r="J5942" s="134"/>
    </row>
    <row r="5943" spans="4:10" x14ac:dyDescent="0.3">
      <c r="D5943" s="40"/>
      <c r="J5943" s="134"/>
    </row>
    <row r="5944" spans="4:10" x14ac:dyDescent="0.3">
      <c r="D5944" s="40"/>
      <c r="J5944" s="134"/>
    </row>
    <row r="5945" spans="4:10" x14ac:dyDescent="0.3">
      <c r="D5945" s="40"/>
      <c r="J5945" s="134"/>
    </row>
    <row r="5946" spans="4:10" x14ac:dyDescent="0.3">
      <c r="D5946" s="40"/>
      <c r="J5946" s="134"/>
    </row>
    <row r="5947" spans="4:10" x14ac:dyDescent="0.3">
      <c r="D5947" s="40"/>
      <c r="J5947" s="134"/>
    </row>
    <row r="5948" spans="4:10" x14ac:dyDescent="0.3">
      <c r="D5948" s="40"/>
      <c r="J5948" s="134"/>
    </row>
    <row r="5949" spans="4:10" x14ac:dyDescent="0.3">
      <c r="D5949" s="40"/>
      <c r="J5949" s="134"/>
    </row>
    <row r="5950" spans="4:10" x14ac:dyDescent="0.3">
      <c r="D5950" s="40"/>
      <c r="J5950" s="134"/>
    </row>
    <row r="5951" spans="4:10" x14ac:dyDescent="0.3">
      <c r="D5951" s="40"/>
      <c r="J5951" s="134"/>
    </row>
    <row r="5952" spans="4:10" x14ac:dyDescent="0.3">
      <c r="D5952" s="40"/>
      <c r="J5952" s="134"/>
    </row>
    <row r="5953" spans="4:10" x14ac:dyDescent="0.3">
      <c r="D5953" s="40"/>
      <c r="J5953" s="134"/>
    </row>
    <row r="5954" spans="4:10" x14ac:dyDescent="0.3">
      <c r="D5954" s="40"/>
      <c r="J5954" s="134"/>
    </row>
    <row r="5955" spans="4:10" x14ac:dyDescent="0.3">
      <c r="D5955" s="40"/>
      <c r="J5955" s="134"/>
    </row>
    <row r="5956" spans="4:10" x14ac:dyDescent="0.3">
      <c r="D5956" s="40"/>
      <c r="J5956" s="134"/>
    </row>
    <row r="5957" spans="4:10" x14ac:dyDescent="0.3">
      <c r="D5957" s="40"/>
      <c r="J5957" s="134"/>
    </row>
    <row r="5958" spans="4:10" x14ac:dyDescent="0.3">
      <c r="D5958" s="40"/>
      <c r="J5958" s="134"/>
    </row>
    <row r="5959" spans="4:10" x14ac:dyDescent="0.3">
      <c r="D5959" s="40"/>
      <c r="J5959" s="134"/>
    </row>
    <row r="5960" spans="4:10" x14ac:dyDescent="0.3">
      <c r="D5960" s="40"/>
      <c r="J5960" s="134"/>
    </row>
    <row r="5961" spans="4:10" x14ac:dyDescent="0.3">
      <c r="D5961" s="40"/>
      <c r="J5961" s="134"/>
    </row>
    <row r="5962" spans="4:10" x14ac:dyDescent="0.3">
      <c r="D5962" s="40"/>
      <c r="J5962" s="134"/>
    </row>
    <row r="5963" spans="4:10" x14ac:dyDescent="0.3">
      <c r="D5963" s="40"/>
      <c r="J5963" s="134"/>
    </row>
    <row r="5964" spans="4:10" x14ac:dyDescent="0.3">
      <c r="D5964" s="40"/>
      <c r="J5964" s="134"/>
    </row>
    <row r="5965" spans="4:10" x14ac:dyDescent="0.3">
      <c r="D5965" s="40"/>
      <c r="J5965" s="134"/>
    </row>
    <row r="5966" spans="4:10" x14ac:dyDescent="0.3">
      <c r="D5966" s="40"/>
      <c r="J5966" s="134"/>
    </row>
    <row r="5967" spans="4:10" x14ac:dyDescent="0.3">
      <c r="D5967" s="40"/>
      <c r="J5967" s="134"/>
    </row>
    <row r="5968" spans="4:10" x14ac:dyDescent="0.3">
      <c r="D5968" s="40"/>
      <c r="J5968" s="134"/>
    </row>
    <row r="5969" spans="4:10" x14ac:dyDescent="0.3">
      <c r="D5969" s="40"/>
      <c r="J5969" s="134"/>
    </row>
    <row r="5970" spans="4:10" x14ac:dyDescent="0.3">
      <c r="D5970" s="40"/>
      <c r="J5970" s="134"/>
    </row>
    <row r="5971" spans="4:10" x14ac:dyDescent="0.3">
      <c r="D5971" s="40"/>
      <c r="J5971" s="134"/>
    </row>
    <row r="5972" spans="4:10" x14ac:dyDescent="0.3">
      <c r="D5972" s="40"/>
      <c r="J5972" s="134"/>
    </row>
    <row r="5973" spans="4:10" x14ac:dyDescent="0.3">
      <c r="D5973" s="40"/>
      <c r="J5973" s="134"/>
    </row>
    <row r="5974" spans="4:10" x14ac:dyDescent="0.3">
      <c r="D5974" s="40"/>
      <c r="J5974" s="134"/>
    </row>
    <row r="5975" spans="4:10" x14ac:dyDescent="0.3">
      <c r="D5975" s="40"/>
      <c r="J5975" s="134"/>
    </row>
    <row r="5976" spans="4:10" x14ac:dyDescent="0.3">
      <c r="D5976" s="40"/>
      <c r="J5976" s="134"/>
    </row>
    <row r="5977" spans="4:10" x14ac:dyDescent="0.3">
      <c r="D5977" s="40"/>
      <c r="J5977" s="134"/>
    </row>
    <row r="5978" spans="4:10" x14ac:dyDescent="0.3">
      <c r="D5978" s="40"/>
      <c r="J5978" s="134"/>
    </row>
    <row r="5979" spans="4:10" x14ac:dyDescent="0.3">
      <c r="D5979" s="40"/>
      <c r="J5979" s="134"/>
    </row>
    <row r="5980" spans="4:10" x14ac:dyDescent="0.3">
      <c r="D5980" s="40"/>
      <c r="J5980" s="134"/>
    </row>
    <row r="5981" spans="4:10" x14ac:dyDescent="0.3">
      <c r="D5981" s="40"/>
      <c r="J5981" s="134"/>
    </row>
    <row r="5982" spans="4:10" x14ac:dyDescent="0.3">
      <c r="D5982" s="40"/>
      <c r="J5982" s="134"/>
    </row>
    <row r="5983" spans="4:10" x14ac:dyDescent="0.3">
      <c r="D5983" s="40"/>
      <c r="J5983" s="134"/>
    </row>
    <row r="5984" spans="4:10" x14ac:dyDescent="0.3">
      <c r="D5984" s="40"/>
      <c r="J5984" s="134"/>
    </row>
    <row r="5985" spans="4:10" x14ac:dyDescent="0.3">
      <c r="D5985" s="40"/>
      <c r="J5985" s="134"/>
    </row>
    <row r="5986" spans="4:10" x14ac:dyDescent="0.3">
      <c r="D5986" s="40"/>
      <c r="J5986" s="134"/>
    </row>
    <row r="5987" spans="4:10" x14ac:dyDescent="0.3">
      <c r="D5987" s="40"/>
      <c r="J5987" s="134"/>
    </row>
    <row r="5988" spans="4:10" x14ac:dyDescent="0.3">
      <c r="D5988" s="40"/>
      <c r="J5988" s="134"/>
    </row>
    <row r="5989" spans="4:10" x14ac:dyDescent="0.3">
      <c r="D5989" s="40"/>
      <c r="J5989" s="134"/>
    </row>
    <row r="5990" spans="4:10" x14ac:dyDescent="0.3">
      <c r="D5990" s="40"/>
      <c r="J5990" s="134"/>
    </row>
    <row r="5991" spans="4:10" x14ac:dyDescent="0.3">
      <c r="D5991" s="40"/>
      <c r="J5991" s="134"/>
    </row>
    <row r="5992" spans="4:10" x14ac:dyDescent="0.3">
      <c r="D5992" s="40"/>
      <c r="J5992" s="134"/>
    </row>
    <row r="5993" spans="4:10" x14ac:dyDescent="0.3">
      <c r="D5993" s="40"/>
      <c r="J5993" s="134"/>
    </row>
    <row r="5994" spans="4:10" x14ac:dyDescent="0.3">
      <c r="D5994" s="40"/>
      <c r="J5994" s="134"/>
    </row>
    <row r="5995" spans="4:10" x14ac:dyDescent="0.3">
      <c r="D5995" s="40"/>
      <c r="J5995" s="134"/>
    </row>
    <row r="5996" spans="4:10" x14ac:dyDescent="0.3">
      <c r="D5996" s="40"/>
      <c r="J5996" s="134"/>
    </row>
    <row r="5997" spans="4:10" x14ac:dyDescent="0.3">
      <c r="D5997" s="40"/>
      <c r="J5997" s="134"/>
    </row>
    <row r="5998" spans="4:10" x14ac:dyDescent="0.3">
      <c r="D5998" s="40"/>
      <c r="J5998" s="134"/>
    </row>
    <row r="5999" spans="4:10" x14ac:dyDescent="0.3">
      <c r="D5999" s="40"/>
      <c r="J5999" s="134"/>
    </row>
    <row r="6000" spans="4:10" x14ac:dyDescent="0.3">
      <c r="D6000" s="40"/>
      <c r="J6000" s="134"/>
    </row>
    <row r="6001" spans="4:10" x14ac:dyDescent="0.3">
      <c r="D6001" s="40"/>
      <c r="J6001" s="134"/>
    </row>
    <row r="6002" spans="4:10" x14ac:dyDescent="0.3">
      <c r="D6002" s="40"/>
      <c r="J6002" s="134"/>
    </row>
    <row r="6003" spans="4:10" x14ac:dyDescent="0.3">
      <c r="D6003" s="40"/>
      <c r="J6003" s="134"/>
    </row>
    <row r="6004" spans="4:10" x14ac:dyDescent="0.3">
      <c r="D6004" s="40"/>
      <c r="J6004" s="134"/>
    </row>
    <row r="6005" spans="4:10" x14ac:dyDescent="0.3">
      <c r="D6005" s="40"/>
      <c r="J6005" s="134"/>
    </row>
    <row r="6006" spans="4:10" x14ac:dyDescent="0.3">
      <c r="D6006" s="40"/>
      <c r="J6006" s="134"/>
    </row>
    <row r="6007" spans="4:10" x14ac:dyDescent="0.3">
      <c r="D6007" s="40"/>
      <c r="J6007" s="134"/>
    </row>
    <row r="6008" spans="4:10" x14ac:dyDescent="0.3">
      <c r="D6008" s="40"/>
      <c r="J6008" s="134"/>
    </row>
    <row r="6009" spans="4:10" x14ac:dyDescent="0.3">
      <c r="D6009" s="40"/>
      <c r="J6009" s="134"/>
    </row>
    <row r="6010" spans="4:10" x14ac:dyDescent="0.3">
      <c r="D6010" s="40"/>
      <c r="J6010" s="134"/>
    </row>
    <row r="6011" spans="4:10" x14ac:dyDescent="0.3">
      <c r="D6011" s="40"/>
      <c r="J6011" s="134"/>
    </row>
    <row r="6012" spans="4:10" x14ac:dyDescent="0.3">
      <c r="D6012" s="40"/>
      <c r="J6012" s="134"/>
    </row>
    <row r="6013" spans="4:10" x14ac:dyDescent="0.3">
      <c r="D6013" s="40"/>
      <c r="J6013" s="134"/>
    </row>
    <row r="6014" spans="4:10" x14ac:dyDescent="0.3">
      <c r="D6014" s="40"/>
      <c r="J6014" s="134"/>
    </row>
    <row r="6015" spans="4:10" x14ac:dyDescent="0.3">
      <c r="D6015" s="40"/>
      <c r="J6015" s="134"/>
    </row>
    <row r="6016" spans="4:10" x14ac:dyDescent="0.3">
      <c r="D6016" s="40"/>
      <c r="J6016" s="134"/>
    </row>
    <row r="6017" spans="4:10" x14ac:dyDescent="0.3">
      <c r="D6017" s="40"/>
      <c r="J6017" s="134"/>
    </row>
    <row r="6018" spans="4:10" x14ac:dyDescent="0.3">
      <c r="D6018" s="40"/>
      <c r="J6018" s="134"/>
    </row>
    <row r="6019" spans="4:10" x14ac:dyDescent="0.3">
      <c r="D6019" s="40"/>
      <c r="J6019" s="134"/>
    </row>
    <row r="6020" spans="4:10" x14ac:dyDescent="0.3">
      <c r="D6020" s="40"/>
      <c r="J6020" s="134"/>
    </row>
    <row r="6021" spans="4:10" x14ac:dyDescent="0.3">
      <c r="D6021" s="40"/>
      <c r="J6021" s="134"/>
    </row>
    <row r="6022" spans="4:10" x14ac:dyDescent="0.3">
      <c r="D6022" s="40"/>
      <c r="J6022" s="134"/>
    </row>
    <row r="6023" spans="4:10" x14ac:dyDescent="0.3">
      <c r="D6023" s="40"/>
      <c r="J6023" s="134"/>
    </row>
    <row r="6024" spans="4:10" x14ac:dyDescent="0.3">
      <c r="D6024" s="40"/>
      <c r="J6024" s="134"/>
    </row>
    <row r="6025" spans="4:10" x14ac:dyDescent="0.3">
      <c r="D6025" s="40"/>
      <c r="J6025" s="134"/>
    </row>
    <row r="6026" spans="4:10" x14ac:dyDescent="0.3">
      <c r="D6026" s="40"/>
      <c r="J6026" s="134"/>
    </row>
    <row r="6027" spans="4:10" x14ac:dyDescent="0.3">
      <c r="D6027" s="40"/>
      <c r="J6027" s="134"/>
    </row>
    <row r="6028" spans="4:10" x14ac:dyDescent="0.3">
      <c r="D6028" s="40"/>
      <c r="J6028" s="134"/>
    </row>
    <row r="6029" spans="4:10" x14ac:dyDescent="0.3">
      <c r="D6029" s="40"/>
      <c r="J6029" s="134"/>
    </row>
    <row r="6030" spans="4:10" x14ac:dyDescent="0.3">
      <c r="D6030" s="40"/>
      <c r="J6030" s="134"/>
    </row>
    <row r="6031" spans="4:10" x14ac:dyDescent="0.3">
      <c r="D6031" s="40"/>
      <c r="J6031" s="134"/>
    </row>
    <row r="6032" spans="4:10" x14ac:dyDescent="0.3">
      <c r="D6032" s="40"/>
      <c r="J6032" s="134"/>
    </row>
    <row r="6033" spans="4:10" x14ac:dyDescent="0.3">
      <c r="D6033" s="40"/>
      <c r="J6033" s="134"/>
    </row>
    <row r="6034" spans="4:10" x14ac:dyDescent="0.3">
      <c r="D6034" s="40"/>
      <c r="J6034" s="134"/>
    </row>
    <row r="6035" spans="4:10" x14ac:dyDescent="0.3">
      <c r="D6035" s="40"/>
      <c r="J6035" s="134"/>
    </row>
    <row r="6036" spans="4:10" x14ac:dyDescent="0.3">
      <c r="D6036" s="40"/>
      <c r="J6036" s="134"/>
    </row>
    <row r="6037" spans="4:10" x14ac:dyDescent="0.3">
      <c r="D6037" s="40"/>
      <c r="J6037" s="134"/>
    </row>
    <row r="6038" spans="4:10" x14ac:dyDescent="0.3">
      <c r="D6038" s="40"/>
      <c r="J6038" s="134"/>
    </row>
    <row r="6039" spans="4:10" x14ac:dyDescent="0.3">
      <c r="D6039" s="40"/>
      <c r="J6039" s="134"/>
    </row>
    <row r="6040" spans="4:10" x14ac:dyDescent="0.3">
      <c r="D6040" s="40"/>
      <c r="J6040" s="134"/>
    </row>
    <row r="6041" spans="4:10" x14ac:dyDescent="0.3">
      <c r="D6041" s="40"/>
      <c r="J6041" s="134"/>
    </row>
    <row r="6042" spans="4:10" x14ac:dyDescent="0.3">
      <c r="D6042" s="40"/>
      <c r="J6042" s="134"/>
    </row>
    <row r="6043" spans="4:10" x14ac:dyDescent="0.3">
      <c r="D6043" s="40"/>
      <c r="J6043" s="134"/>
    </row>
    <row r="6044" spans="4:10" x14ac:dyDescent="0.3">
      <c r="D6044" s="40"/>
      <c r="J6044" s="134"/>
    </row>
    <row r="6045" spans="4:10" x14ac:dyDescent="0.3">
      <c r="D6045" s="40"/>
      <c r="J6045" s="134"/>
    </row>
    <row r="6046" spans="4:10" x14ac:dyDescent="0.3">
      <c r="D6046" s="40"/>
      <c r="J6046" s="134"/>
    </row>
    <row r="6047" spans="4:10" x14ac:dyDescent="0.3">
      <c r="D6047" s="40"/>
      <c r="J6047" s="134"/>
    </row>
    <row r="6048" spans="4:10" x14ac:dyDescent="0.3">
      <c r="D6048" s="40"/>
      <c r="J6048" s="134"/>
    </row>
    <row r="6049" spans="4:10" x14ac:dyDescent="0.3">
      <c r="D6049" s="40"/>
      <c r="J6049" s="134"/>
    </row>
    <row r="6050" spans="4:10" x14ac:dyDescent="0.3">
      <c r="D6050" s="40"/>
      <c r="J6050" s="134"/>
    </row>
    <row r="6051" spans="4:10" x14ac:dyDescent="0.3">
      <c r="D6051" s="40"/>
      <c r="J6051" s="134"/>
    </row>
    <row r="6052" spans="4:10" x14ac:dyDescent="0.3">
      <c r="D6052" s="40"/>
      <c r="J6052" s="134"/>
    </row>
    <row r="6053" spans="4:10" x14ac:dyDescent="0.3">
      <c r="D6053" s="40"/>
      <c r="J6053" s="134"/>
    </row>
    <row r="6054" spans="4:10" x14ac:dyDescent="0.3">
      <c r="D6054" s="40"/>
      <c r="J6054" s="134"/>
    </row>
    <row r="6055" spans="4:10" x14ac:dyDescent="0.3">
      <c r="D6055" s="40"/>
      <c r="J6055" s="134"/>
    </row>
    <row r="6056" spans="4:10" x14ac:dyDescent="0.3">
      <c r="D6056" s="40"/>
      <c r="J6056" s="134"/>
    </row>
    <row r="6057" spans="4:10" x14ac:dyDescent="0.3">
      <c r="D6057" s="40"/>
      <c r="J6057" s="134"/>
    </row>
    <row r="6058" spans="4:10" x14ac:dyDescent="0.3">
      <c r="D6058" s="40"/>
      <c r="J6058" s="134"/>
    </row>
    <row r="6059" spans="4:10" x14ac:dyDescent="0.3">
      <c r="D6059" s="40"/>
      <c r="J6059" s="134"/>
    </row>
    <row r="6060" spans="4:10" x14ac:dyDescent="0.3">
      <c r="D6060" s="40"/>
      <c r="J6060" s="134"/>
    </row>
    <row r="6061" spans="4:10" x14ac:dyDescent="0.3">
      <c r="D6061" s="40"/>
      <c r="J6061" s="134"/>
    </row>
    <row r="6062" spans="4:10" x14ac:dyDescent="0.3">
      <c r="D6062" s="40"/>
      <c r="J6062" s="134"/>
    </row>
    <row r="6063" spans="4:10" x14ac:dyDescent="0.3">
      <c r="D6063" s="40"/>
      <c r="J6063" s="134"/>
    </row>
    <row r="6064" spans="4:10" x14ac:dyDescent="0.3">
      <c r="D6064" s="40"/>
      <c r="J6064" s="134"/>
    </row>
    <row r="6065" spans="4:10" x14ac:dyDescent="0.3">
      <c r="D6065" s="40"/>
      <c r="J6065" s="134"/>
    </row>
    <row r="6066" spans="4:10" x14ac:dyDescent="0.3">
      <c r="D6066" s="40"/>
      <c r="J6066" s="134"/>
    </row>
    <row r="6067" spans="4:10" x14ac:dyDescent="0.3">
      <c r="D6067" s="40"/>
      <c r="J6067" s="134"/>
    </row>
    <row r="6068" spans="4:10" x14ac:dyDescent="0.3">
      <c r="D6068" s="40"/>
      <c r="J6068" s="134"/>
    </row>
    <row r="6069" spans="4:10" x14ac:dyDescent="0.3">
      <c r="D6069" s="40"/>
      <c r="J6069" s="134"/>
    </row>
    <row r="6070" spans="4:10" x14ac:dyDescent="0.3">
      <c r="D6070" s="40"/>
      <c r="J6070" s="134"/>
    </row>
    <row r="6071" spans="4:10" x14ac:dyDescent="0.3">
      <c r="D6071" s="40"/>
      <c r="J6071" s="134"/>
    </row>
    <row r="6072" spans="4:10" x14ac:dyDescent="0.3">
      <c r="D6072" s="40"/>
      <c r="J6072" s="134"/>
    </row>
    <row r="6073" spans="4:10" x14ac:dyDescent="0.3">
      <c r="D6073" s="40"/>
      <c r="J6073" s="134"/>
    </row>
    <row r="6074" spans="4:10" x14ac:dyDescent="0.3">
      <c r="D6074" s="40"/>
      <c r="J6074" s="134"/>
    </row>
    <row r="6075" spans="4:10" x14ac:dyDescent="0.3">
      <c r="D6075" s="40"/>
      <c r="J6075" s="134"/>
    </row>
    <row r="6076" spans="4:10" x14ac:dyDescent="0.3">
      <c r="D6076" s="40"/>
      <c r="J6076" s="134"/>
    </row>
    <row r="6077" spans="4:10" x14ac:dyDescent="0.3">
      <c r="D6077" s="40"/>
      <c r="J6077" s="134"/>
    </row>
    <row r="6078" spans="4:10" x14ac:dyDescent="0.3">
      <c r="D6078" s="40"/>
      <c r="J6078" s="134"/>
    </row>
    <row r="6079" spans="4:10" x14ac:dyDescent="0.3">
      <c r="D6079" s="40"/>
      <c r="J6079" s="134"/>
    </row>
    <row r="6080" spans="4:10" x14ac:dyDescent="0.3">
      <c r="D6080" s="40"/>
      <c r="J6080" s="134"/>
    </row>
    <row r="6081" spans="4:10" x14ac:dyDescent="0.3">
      <c r="D6081" s="40"/>
      <c r="J6081" s="134"/>
    </row>
    <row r="6082" spans="4:10" x14ac:dyDescent="0.3">
      <c r="D6082" s="40"/>
      <c r="J6082" s="134"/>
    </row>
    <row r="6083" spans="4:10" x14ac:dyDescent="0.3">
      <c r="D6083" s="40"/>
      <c r="J6083" s="134"/>
    </row>
    <row r="6084" spans="4:10" x14ac:dyDescent="0.3">
      <c r="D6084" s="40"/>
      <c r="J6084" s="134"/>
    </row>
    <row r="6085" spans="4:10" x14ac:dyDescent="0.3">
      <c r="D6085" s="40"/>
      <c r="J6085" s="134"/>
    </row>
    <row r="6086" spans="4:10" x14ac:dyDescent="0.3">
      <c r="D6086" s="40"/>
      <c r="J6086" s="134"/>
    </row>
    <row r="6087" spans="4:10" x14ac:dyDescent="0.3">
      <c r="D6087" s="40"/>
      <c r="J6087" s="134"/>
    </row>
    <row r="6088" spans="4:10" x14ac:dyDescent="0.3">
      <c r="D6088" s="40"/>
      <c r="J6088" s="134"/>
    </row>
    <row r="6089" spans="4:10" x14ac:dyDescent="0.3">
      <c r="D6089" s="40"/>
      <c r="J6089" s="134"/>
    </row>
    <row r="6090" spans="4:10" x14ac:dyDescent="0.3">
      <c r="D6090" s="40"/>
      <c r="J6090" s="134"/>
    </row>
    <row r="6091" spans="4:10" x14ac:dyDescent="0.3">
      <c r="D6091" s="40"/>
      <c r="J6091" s="134"/>
    </row>
    <row r="6092" spans="4:10" x14ac:dyDescent="0.3">
      <c r="D6092" s="40"/>
      <c r="J6092" s="134"/>
    </row>
    <row r="6093" spans="4:10" x14ac:dyDescent="0.3">
      <c r="D6093" s="40"/>
      <c r="J6093" s="134"/>
    </row>
    <row r="6094" spans="4:10" x14ac:dyDescent="0.3">
      <c r="D6094" s="40"/>
      <c r="J6094" s="134"/>
    </row>
    <row r="6095" spans="4:10" x14ac:dyDescent="0.3">
      <c r="D6095" s="40"/>
      <c r="J6095" s="134"/>
    </row>
    <row r="6096" spans="4:10" x14ac:dyDescent="0.3">
      <c r="D6096" s="40"/>
      <c r="J6096" s="134"/>
    </row>
    <row r="6097" spans="4:10" x14ac:dyDescent="0.3">
      <c r="D6097" s="40"/>
      <c r="J6097" s="134"/>
    </row>
    <row r="6098" spans="4:10" x14ac:dyDescent="0.3">
      <c r="D6098" s="40"/>
      <c r="J6098" s="134"/>
    </row>
    <row r="6099" spans="4:10" x14ac:dyDescent="0.3">
      <c r="D6099" s="40"/>
      <c r="J6099" s="134"/>
    </row>
    <row r="6100" spans="4:10" x14ac:dyDescent="0.3">
      <c r="D6100" s="40"/>
      <c r="J6100" s="134"/>
    </row>
    <row r="6101" spans="4:10" x14ac:dyDescent="0.3">
      <c r="D6101" s="40"/>
      <c r="J6101" s="134"/>
    </row>
    <row r="6102" spans="4:10" x14ac:dyDescent="0.3">
      <c r="D6102" s="40"/>
      <c r="J6102" s="134"/>
    </row>
    <row r="6103" spans="4:10" x14ac:dyDescent="0.3">
      <c r="D6103" s="40"/>
      <c r="J6103" s="134"/>
    </row>
    <row r="6104" spans="4:10" x14ac:dyDescent="0.3">
      <c r="D6104" s="40"/>
      <c r="J6104" s="134"/>
    </row>
    <row r="6105" spans="4:10" x14ac:dyDescent="0.3">
      <c r="D6105" s="40"/>
      <c r="J6105" s="134"/>
    </row>
    <row r="6106" spans="4:10" x14ac:dyDescent="0.3">
      <c r="D6106" s="40"/>
      <c r="J6106" s="134"/>
    </row>
    <row r="6107" spans="4:10" x14ac:dyDescent="0.3">
      <c r="D6107" s="40"/>
      <c r="J6107" s="134"/>
    </row>
    <row r="6108" spans="4:10" x14ac:dyDescent="0.3">
      <c r="D6108" s="40"/>
      <c r="J6108" s="134"/>
    </row>
    <row r="6109" spans="4:10" x14ac:dyDescent="0.3">
      <c r="D6109" s="40"/>
      <c r="J6109" s="134"/>
    </row>
    <row r="6110" spans="4:10" x14ac:dyDescent="0.3">
      <c r="D6110" s="40"/>
      <c r="J6110" s="134"/>
    </row>
    <row r="6111" spans="4:10" x14ac:dyDescent="0.3">
      <c r="D6111" s="40"/>
      <c r="J6111" s="134"/>
    </row>
    <row r="6112" spans="4:10" x14ac:dyDescent="0.3">
      <c r="D6112" s="40"/>
      <c r="J6112" s="134"/>
    </row>
    <row r="6113" spans="4:10" x14ac:dyDescent="0.3">
      <c r="D6113" s="40"/>
      <c r="J6113" s="134"/>
    </row>
    <row r="6114" spans="4:10" x14ac:dyDescent="0.3">
      <c r="D6114" s="40"/>
      <c r="J6114" s="134"/>
    </row>
    <row r="6115" spans="4:10" x14ac:dyDescent="0.3">
      <c r="D6115" s="40"/>
      <c r="J6115" s="134"/>
    </row>
    <row r="6116" spans="4:10" x14ac:dyDescent="0.3">
      <c r="D6116" s="40"/>
      <c r="J6116" s="134"/>
    </row>
    <row r="6117" spans="4:10" x14ac:dyDescent="0.3">
      <c r="D6117" s="40"/>
      <c r="J6117" s="134"/>
    </row>
    <row r="6118" spans="4:10" x14ac:dyDescent="0.3">
      <c r="D6118" s="40"/>
      <c r="J6118" s="134"/>
    </row>
    <row r="6119" spans="4:10" x14ac:dyDescent="0.3">
      <c r="D6119" s="40"/>
      <c r="J6119" s="134"/>
    </row>
    <row r="6120" spans="4:10" x14ac:dyDescent="0.3">
      <c r="D6120" s="40"/>
      <c r="J6120" s="134"/>
    </row>
    <row r="6121" spans="4:10" x14ac:dyDescent="0.3">
      <c r="D6121" s="40"/>
      <c r="J6121" s="134"/>
    </row>
    <row r="6122" spans="4:10" x14ac:dyDescent="0.3">
      <c r="D6122" s="40"/>
      <c r="J6122" s="134"/>
    </row>
    <row r="6123" spans="4:10" x14ac:dyDescent="0.3">
      <c r="D6123" s="40"/>
      <c r="J6123" s="134"/>
    </row>
    <row r="6124" spans="4:10" x14ac:dyDescent="0.3">
      <c r="D6124" s="40"/>
      <c r="J6124" s="134"/>
    </row>
    <row r="6125" spans="4:10" x14ac:dyDescent="0.3">
      <c r="D6125" s="40"/>
      <c r="J6125" s="134"/>
    </row>
    <row r="6126" spans="4:10" x14ac:dyDescent="0.3">
      <c r="D6126" s="40"/>
      <c r="J6126" s="134"/>
    </row>
    <row r="6127" spans="4:10" x14ac:dyDescent="0.3">
      <c r="D6127" s="40"/>
      <c r="J6127" s="134"/>
    </row>
    <row r="6128" spans="4:10" x14ac:dyDescent="0.3">
      <c r="D6128" s="40"/>
      <c r="J6128" s="134"/>
    </row>
    <row r="6129" spans="4:10" x14ac:dyDescent="0.3">
      <c r="D6129" s="40"/>
      <c r="J6129" s="134"/>
    </row>
    <row r="6130" spans="4:10" x14ac:dyDescent="0.3">
      <c r="D6130" s="40"/>
      <c r="J6130" s="134"/>
    </row>
    <row r="6131" spans="4:10" x14ac:dyDescent="0.3">
      <c r="D6131" s="40"/>
      <c r="J6131" s="134"/>
    </row>
    <row r="6132" spans="4:10" x14ac:dyDescent="0.3">
      <c r="D6132" s="40"/>
      <c r="J6132" s="134"/>
    </row>
    <row r="6133" spans="4:10" x14ac:dyDescent="0.3">
      <c r="D6133" s="40"/>
      <c r="J6133" s="134"/>
    </row>
    <row r="6134" spans="4:10" x14ac:dyDescent="0.3">
      <c r="D6134" s="40"/>
      <c r="J6134" s="134"/>
    </row>
    <row r="6135" spans="4:10" x14ac:dyDescent="0.3">
      <c r="D6135" s="40"/>
      <c r="J6135" s="134"/>
    </row>
    <row r="6136" spans="4:10" x14ac:dyDescent="0.3">
      <c r="D6136" s="40"/>
      <c r="J6136" s="134"/>
    </row>
    <row r="6137" spans="4:10" x14ac:dyDescent="0.3">
      <c r="D6137" s="40"/>
      <c r="J6137" s="134"/>
    </row>
    <row r="6138" spans="4:10" x14ac:dyDescent="0.3">
      <c r="D6138" s="40"/>
      <c r="J6138" s="134"/>
    </row>
    <row r="6139" spans="4:10" x14ac:dyDescent="0.3">
      <c r="D6139" s="40"/>
      <c r="J6139" s="134"/>
    </row>
    <row r="6140" spans="4:10" x14ac:dyDescent="0.3">
      <c r="D6140" s="40"/>
      <c r="J6140" s="134"/>
    </row>
    <row r="6141" spans="4:10" x14ac:dyDescent="0.3">
      <c r="D6141" s="40"/>
      <c r="J6141" s="134"/>
    </row>
    <row r="6142" spans="4:10" x14ac:dyDescent="0.3">
      <c r="D6142" s="40"/>
      <c r="J6142" s="134"/>
    </row>
    <row r="6143" spans="4:10" x14ac:dyDescent="0.3">
      <c r="D6143" s="40"/>
      <c r="J6143" s="134"/>
    </row>
    <row r="6144" spans="4:10" x14ac:dyDescent="0.3">
      <c r="D6144" s="40"/>
      <c r="J6144" s="134"/>
    </row>
    <row r="6145" spans="4:10" x14ac:dyDescent="0.3">
      <c r="D6145" s="40"/>
      <c r="J6145" s="134"/>
    </row>
    <row r="6146" spans="4:10" x14ac:dyDescent="0.3">
      <c r="D6146" s="40"/>
      <c r="J6146" s="134"/>
    </row>
    <row r="6147" spans="4:10" x14ac:dyDescent="0.3">
      <c r="D6147" s="40"/>
      <c r="J6147" s="134"/>
    </row>
    <row r="6148" spans="4:10" x14ac:dyDescent="0.3">
      <c r="D6148" s="40"/>
      <c r="J6148" s="134"/>
    </row>
    <row r="6149" spans="4:10" x14ac:dyDescent="0.3">
      <c r="D6149" s="40"/>
      <c r="J6149" s="134"/>
    </row>
    <row r="6150" spans="4:10" x14ac:dyDescent="0.3">
      <c r="D6150" s="40"/>
      <c r="J6150" s="134"/>
    </row>
    <row r="6151" spans="4:10" x14ac:dyDescent="0.3">
      <c r="D6151" s="40"/>
      <c r="J6151" s="134"/>
    </row>
    <row r="6152" spans="4:10" x14ac:dyDescent="0.3">
      <c r="D6152" s="40"/>
      <c r="J6152" s="134"/>
    </row>
    <row r="6153" spans="4:10" x14ac:dyDescent="0.3">
      <c r="D6153" s="40"/>
      <c r="J6153" s="134"/>
    </row>
    <row r="6154" spans="4:10" x14ac:dyDescent="0.3">
      <c r="D6154" s="40"/>
      <c r="J6154" s="134"/>
    </row>
    <row r="6155" spans="4:10" x14ac:dyDescent="0.3">
      <c r="D6155" s="40"/>
      <c r="J6155" s="134"/>
    </row>
    <row r="6156" spans="4:10" x14ac:dyDescent="0.3">
      <c r="D6156" s="40"/>
      <c r="J6156" s="134"/>
    </row>
    <row r="6157" spans="4:10" x14ac:dyDescent="0.3">
      <c r="D6157" s="40"/>
      <c r="J6157" s="134"/>
    </row>
    <row r="6158" spans="4:10" x14ac:dyDescent="0.3">
      <c r="D6158" s="40"/>
      <c r="J6158" s="134"/>
    </row>
    <row r="6159" spans="4:10" x14ac:dyDescent="0.3">
      <c r="D6159" s="40"/>
      <c r="J6159" s="134"/>
    </row>
    <row r="6160" spans="4:10" x14ac:dyDescent="0.3">
      <c r="D6160" s="40"/>
      <c r="J6160" s="134"/>
    </row>
    <row r="6161" spans="4:10" x14ac:dyDescent="0.3">
      <c r="D6161" s="40"/>
      <c r="J6161" s="134"/>
    </row>
    <row r="6162" spans="4:10" x14ac:dyDescent="0.3">
      <c r="D6162" s="40"/>
      <c r="J6162" s="134"/>
    </row>
    <row r="6163" spans="4:10" x14ac:dyDescent="0.3">
      <c r="D6163" s="40"/>
      <c r="J6163" s="134"/>
    </row>
    <row r="6164" spans="4:10" x14ac:dyDescent="0.3">
      <c r="D6164" s="40"/>
      <c r="J6164" s="134"/>
    </row>
    <row r="6165" spans="4:10" x14ac:dyDescent="0.3">
      <c r="D6165" s="40"/>
      <c r="J6165" s="134"/>
    </row>
    <row r="6166" spans="4:10" x14ac:dyDescent="0.3">
      <c r="D6166" s="40"/>
      <c r="J6166" s="134"/>
    </row>
    <row r="6167" spans="4:10" x14ac:dyDescent="0.3">
      <c r="D6167" s="40"/>
      <c r="J6167" s="134"/>
    </row>
    <row r="6168" spans="4:10" x14ac:dyDescent="0.3">
      <c r="D6168" s="40"/>
      <c r="J6168" s="134"/>
    </row>
    <row r="6169" spans="4:10" x14ac:dyDescent="0.3">
      <c r="D6169" s="40"/>
      <c r="J6169" s="134"/>
    </row>
    <row r="6170" spans="4:10" x14ac:dyDescent="0.3">
      <c r="D6170" s="40"/>
      <c r="J6170" s="134"/>
    </row>
    <row r="6171" spans="4:10" x14ac:dyDescent="0.3">
      <c r="D6171" s="40"/>
      <c r="J6171" s="134"/>
    </row>
    <row r="6172" spans="4:10" x14ac:dyDescent="0.3">
      <c r="D6172" s="40"/>
      <c r="J6172" s="134"/>
    </row>
    <row r="6173" spans="4:10" x14ac:dyDescent="0.3">
      <c r="D6173" s="40"/>
      <c r="J6173" s="134"/>
    </row>
    <row r="6174" spans="4:10" x14ac:dyDescent="0.3">
      <c r="D6174" s="40"/>
      <c r="J6174" s="134"/>
    </row>
    <row r="6175" spans="4:10" x14ac:dyDescent="0.3">
      <c r="D6175" s="40"/>
      <c r="J6175" s="134"/>
    </row>
    <row r="6176" spans="4:10" x14ac:dyDescent="0.3">
      <c r="D6176" s="40"/>
      <c r="J6176" s="134"/>
    </row>
    <row r="6177" spans="4:10" x14ac:dyDescent="0.3">
      <c r="D6177" s="40"/>
      <c r="J6177" s="134"/>
    </row>
    <row r="6178" spans="4:10" x14ac:dyDescent="0.3">
      <c r="D6178" s="40"/>
      <c r="J6178" s="134"/>
    </row>
    <row r="6179" spans="4:10" x14ac:dyDescent="0.3">
      <c r="D6179" s="40"/>
      <c r="J6179" s="134"/>
    </row>
    <row r="6180" spans="4:10" x14ac:dyDescent="0.3">
      <c r="D6180" s="40"/>
      <c r="J6180" s="134"/>
    </row>
    <row r="6181" spans="4:10" x14ac:dyDescent="0.3">
      <c r="D6181" s="40"/>
      <c r="J6181" s="134"/>
    </row>
    <row r="6182" spans="4:10" x14ac:dyDescent="0.3">
      <c r="D6182" s="40"/>
      <c r="J6182" s="134"/>
    </row>
    <row r="6183" spans="4:10" x14ac:dyDescent="0.3">
      <c r="D6183" s="40"/>
      <c r="J6183" s="134"/>
    </row>
    <row r="6184" spans="4:10" x14ac:dyDescent="0.3">
      <c r="D6184" s="40"/>
      <c r="J6184" s="134"/>
    </row>
    <row r="6185" spans="4:10" x14ac:dyDescent="0.3">
      <c r="D6185" s="40"/>
      <c r="J6185" s="134"/>
    </row>
    <row r="6186" spans="4:10" x14ac:dyDescent="0.3">
      <c r="D6186" s="40"/>
      <c r="J6186" s="134"/>
    </row>
    <row r="6187" spans="4:10" x14ac:dyDescent="0.3">
      <c r="D6187" s="40"/>
      <c r="J6187" s="134"/>
    </row>
    <row r="6188" spans="4:10" x14ac:dyDescent="0.3">
      <c r="D6188" s="40"/>
      <c r="J6188" s="134"/>
    </row>
    <row r="6189" spans="4:10" x14ac:dyDescent="0.3">
      <c r="D6189" s="40"/>
      <c r="J6189" s="134"/>
    </row>
    <row r="6190" spans="4:10" x14ac:dyDescent="0.3">
      <c r="D6190" s="40"/>
      <c r="J6190" s="134"/>
    </row>
    <row r="6191" spans="4:10" x14ac:dyDescent="0.3">
      <c r="D6191" s="40"/>
      <c r="J6191" s="134"/>
    </row>
    <row r="6192" spans="4:10" x14ac:dyDescent="0.3">
      <c r="D6192" s="40"/>
      <c r="J6192" s="134"/>
    </row>
    <row r="6193" spans="4:10" x14ac:dyDescent="0.3">
      <c r="D6193" s="40"/>
      <c r="J6193" s="134"/>
    </row>
    <row r="6194" spans="4:10" x14ac:dyDescent="0.3">
      <c r="D6194" s="40"/>
      <c r="J6194" s="134"/>
    </row>
    <row r="6195" spans="4:10" x14ac:dyDescent="0.3">
      <c r="D6195" s="40"/>
      <c r="J6195" s="134"/>
    </row>
    <row r="6196" spans="4:10" x14ac:dyDescent="0.3">
      <c r="D6196" s="40"/>
      <c r="J6196" s="134"/>
    </row>
    <row r="6197" spans="4:10" x14ac:dyDescent="0.3">
      <c r="D6197" s="40"/>
      <c r="J6197" s="134"/>
    </row>
    <row r="6198" spans="4:10" x14ac:dyDescent="0.3">
      <c r="D6198" s="40"/>
      <c r="J6198" s="134"/>
    </row>
    <row r="6199" spans="4:10" x14ac:dyDescent="0.3">
      <c r="D6199" s="40"/>
      <c r="J6199" s="134"/>
    </row>
    <row r="6200" spans="4:10" x14ac:dyDescent="0.3">
      <c r="D6200" s="40"/>
      <c r="J6200" s="134"/>
    </row>
    <row r="6201" spans="4:10" x14ac:dyDescent="0.3">
      <c r="D6201" s="40"/>
      <c r="J6201" s="134"/>
    </row>
    <row r="6202" spans="4:10" x14ac:dyDescent="0.3">
      <c r="D6202" s="40"/>
      <c r="J6202" s="134"/>
    </row>
    <row r="6203" spans="4:10" x14ac:dyDescent="0.3">
      <c r="D6203" s="40"/>
      <c r="J6203" s="134"/>
    </row>
    <row r="6204" spans="4:10" x14ac:dyDescent="0.3">
      <c r="D6204" s="40"/>
      <c r="J6204" s="134"/>
    </row>
    <row r="6205" spans="4:10" x14ac:dyDescent="0.3">
      <c r="D6205" s="40"/>
      <c r="J6205" s="134"/>
    </row>
    <row r="6206" spans="4:10" x14ac:dyDescent="0.3">
      <c r="D6206" s="40"/>
      <c r="J6206" s="134"/>
    </row>
    <row r="6207" spans="4:10" x14ac:dyDescent="0.3">
      <c r="D6207" s="40"/>
      <c r="J6207" s="134"/>
    </row>
    <row r="6208" spans="4:10" x14ac:dyDescent="0.3">
      <c r="D6208" s="40"/>
      <c r="J6208" s="134"/>
    </row>
    <row r="6209" spans="4:10" x14ac:dyDescent="0.3">
      <c r="D6209" s="40"/>
      <c r="J6209" s="134"/>
    </row>
    <row r="6210" spans="4:10" x14ac:dyDescent="0.3">
      <c r="D6210" s="40"/>
      <c r="J6210" s="134"/>
    </row>
    <row r="6211" spans="4:10" x14ac:dyDescent="0.3">
      <c r="D6211" s="40"/>
      <c r="J6211" s="134"/>
    </row>
    <row r="6212" spans="4:10" x14ac:dyDescent="0.3">
      <c r="D6212" s="40"/>
      <c r="J6212" s="134"/>
    </row>
    <row r="6213" spans="4:10" x14ac:dyDescent="0.3">
      <c r="D6213" s="40"/>
      <c r="J6213" s="134"/>
    </row>
    <row r="6214" spans="4:10" x14ac:dyDescent="0.3">
      <c r="D6214" s="40"/>
      <c r="J6214" s="134"/>
    </row>
    <row r="6215" spans="4:10" x14ac:dyDescent="0.3">
      <c r="D6215" s="40"/>
      <c r="J6215" s="134"/>
    </row>
    <row r="6216" spans="4:10" x14ac:dyDescent="0.3">
      <c r="D6216" s="40"/>
      <c r="J6216" s="134"/>
    </row>
    <row r="6217" spans="4:10" x14ac:dyDescent="0.3">
      <c r="D6217" s="40"/>
      <c r="J6217" s="134"/>
    </row>
    <row r="6218" spans="4:10" x14ac:dyDescent="0.3">
      <c r="D6218" s="40"/>
      <c r="J6218" s="134"/>
    </row>
    <row r="6219" spans="4:10" x14ac:dyDescent="0.3">
      <c r="D6219" s="40"/>
      <c r="J6219" s="134"/>
    </row>
    <row r="6220" spans="4:10" x14ac:dyDescent="0.3">
      <c r="D6220" s="40"/>
      <c r="J6220" s="134"/>
    </row>
    <row r="6221" spans="4:10" x14ac:dyDescent="0.3">
      <c r="D6221" s="40"/>
      <c r="J6221" s="134"/>
    </row>
    <row r="6222" spans="4:10" x14ac:dyDescent="0.3">
      <c r="D6222" s="40"/>
      <c r="J6222" s="134"/>
    </row>
    <row r="6223" spans="4:10" x14ac:dyDescent="0.3">
      <c r="D6223" s="40"/>
      <c r="J6223" s="134"/>
    </row>
    <row r="6224" spans="4:10" x14ac:dyDescent="0.3">
      <c r="D6224" s="40"/>
      <c r="J6224" s="134"/>
    </row>
    <row r="6225" spans="4:10" x14ac:dyDescent="0.3">
      <c r="D6225" s="40"/>
      <c r="J6225" s="134"/>
    </row>
    <row r="6226" spans="4:10" x14ac:dyDescent="0.3">
      <c r="D6226" s="40"/>
      <c r="J6226" s="134"/>
    </row>
    <row r="6227" spans="4:10" x14ac:dyDescent="0.3">
      <c r="D6227" s="40"/>
      <c r="J6227" s="134"/>
    </row>
    <row r="6228" spans="4:10" x14ac:dyDescent="0.3">
      <c r="D6228" s="40"/>
      <c r="J6228" s="134"/>
    </row>
    <row r="6229" spans="4:10" x14ac:dyDescent="0.3">
      <c r="D6229" s="40"/>
      <c r="J6229" s="134"/>
    </row>
    <row r="6230" spans="4:10" x14ac:dyDescent="0.3">
      <c r="D6230" s="40"/>
      <c r="J6230" s="134"/>
    </row>
    <row r="6231" spans="4:10" x14ac:dyDescent="0.3">
      <c r="D6231" s="40"/>
      <c r="J6231" s="134"/>
    </row>
    <row r="6232" spans="4:10" x14ac:dyDescent="0.3">
      <c r="D6232" s="40"/>
      <c r="J6232" s="134"/>
    </row>
    <row r="6233" spans="4:10" x14ac:dyDescent="0.3">
      <c r="D6233" s="40"/>
      <c r="J6233" s="134"/>
    </row>
    <row r="6234" spans="4:10" x14ac:dyDescent="0.3">
      <c r="D6234" s="40"/>
      <c r="J6234" s="134"/>
    </row>
    <row r="6235" spans="4:10" x14ac:dyDescent="0.3">
      <c r="D6235" s="40"/>
      <c r="J6235" s="134"/>
    </row>
    <row r="6236" spans="4:10" x14ac:dyDescent="0.3">
      <c r="D6236" s="40"/>
      <c r="J6236" s="134"/>
    </row>
    <row r="6237" spans="4:10" x14ac:dyDescent="0.3">
      <c r="D6237" s="40"/>
      <c r="J6237" s="134"/>
    </row>
    <row r="6238" spans="4:10" x14ac:dyDescent="0.3">
      <c r="D6238" s="40"/>
      <c r="J6238" s="134"/>
    </row>
    <row r="6239" spans="4:10" x14ac:dyDescent="0.3">
      <c r="D6239" s="40"/>
      <c r="J6239" s="134"/>
    </row>
    <row r="6240" spans="4:10" x14ac:dyDescent="0.3">
      <c r="D6240" s="40"/>
      <c r="J6240" s="134"/>
    </row>
    <row r="6241" spans="4:10" x14ac:dyDescent="0.3">
      <c r="D6241" s="40"/>
      <c r="J6241" s="134"/>
    </row>
    <row r="6242" spans="4:10" x14ac:dyDescent="0.3">
      <c r="D6242" s="40"/>
      <c r="J6242" s="134"/>
    </row>
    <row r="6243" spans="4:10" x14ac:dyDescent="0.3">
      <c r="D6243" s="40"/>
      <c r="J6243" s="134"/>
    </row>
    <row r="6244" spans="4:10" x14ac:dyDescent="0.3">
      <c r="D6244" s="40"/>
      <c r="J6244" s="134"/>
    </row>
    <row r="6245" spans="4:10" x14ac:dyDescent="0.3">
      <c r="D6245" s="40"/>
      <c r="J6245" s="134"/>
    </row>
    <row r="6246" spans="4:10" x14ac:dyDescent="0.3">
      <c r="D6246" s="40"/>
      <c r="J6246" s="134"/>
    </row>
    <row r="6247" spans="4:10" x14ac:dyDescent="0.3">
      <c r="D6247" s="40"/>
      <c r="J6247" s="134"/>
    </row>
    <row r="6248" spans="4:10" x14ac:dyDescent="0.3">
      <c r="D6248" s="40"/>
      <c r="J6248" s="134"/>
    </row>
    <row r="6249" spans="4:10" x14ac:dyDescent="0.3">
      <c r="D6249" s="40"/>
      <c r="J6249" s="134"/>
    </row>
    <row r="6250" spans="4:10" x14ac:dyDescent="0.3">
      <c r="D6250" s="40"/>
      <c r="J6250" s="134"/>
    </row>
    <row r="6251" spans="4:10" x14ac:dyDescent="0.3">
      <c r="D6251" s="40"/>
      <c r="J6251" s="134"/>
    </row>
    <row r="6252" spans="4:10" x14ac:dyDescent="0.3">
      <c r="D6252" s="40"/>
      <c r="J6252" s="134"/>
    </row>
    <row r="6253" spans="4:10" x14ac:dyDescent="0.3">
      <c r="D6253" s="40"/>
      <c r="J6253" s="134"/>
    </row>
    <row r="6254" spans="4:10" x14ac:dyDescent="0.3">
      <c r="D6254" s="40"/>
      <c r="J6254" s="134"/>
    </row>
    <row r="6255" spans="4:10" x14ac:dyDescent="0.3">
      <c r="D6255" s="40"/>
      <c r="J6255" s="134"/>
    </row>
    <row r="6256" spans="4:10" x14ac:dyDescent="0.3">
      <c r="D6256" s="40"/>
      <c r="J6256" s="134"/>
    </row>
    <row r="6257" spans="4:10" x14ac:dyDescent="0.3">
      <c r="D6257" s="40"/>
      <c r="J6257" s="134"/>
    </row>
    <row r="6258" spans="4:10" x14ac:dyDescent="0.3">
      <c r="D6258" s="40"/>
      <c r="J6258" s="134"/>
    </row>
    <row r="6259" spans="4:10" x14ac:dyDescent="0.3">
      <c r="D6259" s="40"/>
      <c r="J6259" s="134"/>
    </row>
    <row r="6260" spans="4:10" x14ac:dyDescent="0.3">
      <c r="D6260" s="40"/>
      <c r="J6260" s="134"/>
    </row>
    <row r="6261" spans="4:10" x14ac:dyDescent="0.3">
      <c r="D6261" s="40"/>
      <c r="J6261" s="134"/>
    </row>
    <row r="6262" spans="4:10" x14ac:dyDescent="0.3">
      <c r="D6262" s="40"/>
      <c r="J6262" s="134"/>
    </row>
    <row r="6263" spans="4:10" x14ac:dyDescent="0.3">
      <c r="D6263" s="40"/>
      <c r="J6263" s="134"/>
    </row>
    <row r="6264" spans="4:10" x14ac:dyDescent="0.3">
      <c r="D6264" s="40"/>
      <c r="J6264" s="134"/>
    </row>
    <row r="6265" spans="4:10" x14ac:dyDescent="0.3">
      <c r="D6265" s="40"/>
      <c r="J6265" s="134"/>
    </row>
    <row r="6266" spans="4:10" x14ac:dyDescent="0.3">
      <c r="D6266" s="40"/>
      <c r="J6266" s="134"/>
    </row>
    <row r="6267" spans="4:10" x14ac:dyDescent="0.3">
      <c r="D6267" s="40"/>
      <c r="J6267" s="134"/>
    </row>
    <row r="6268" spans="4:10" x14ac:dyDescent="0.3">
      <c r="D6268" s="40"/>
      <c r="J6268" s="134"/>
    </row>
    <row r="6269" spans="4:10" x14ac:dyDescent="0.3">
      <c r="D6269" s="40"/>
      <c r="J6269" s="134"/>
    </row>
    <row r="6270" spans="4:10" x14ac:dyDescent="0.3">
      <c r="D6270" s="40"/>
      <c r="J6270" s="134"/>
    </row>
    <row r="6271" spans="4:10" x14ac:dyDescent="0.3">
      <c r="D6271" s="40"/>
      <c r="J6271" s="134"/>
    </row>
    <row r="6272" spans="4:10" x14ac:dyDescent="0.3">
      <c r="D6272" s="40"/>
      <c r="J6272" s="134"/>
    </row>
    <row r="6273" spans="4:10" x14ac:dyDescent="0.3">
      <c r="D6273" s="40"/>
      <c r="J6273" s="134"/>
    </row>
    <row r="6274" spans="4:10" x14ac:dyDescent="0.3">
      <c r="D6274" s="40"/>
      <c r="J6274" s="134"/>
    </row>
    <row r="6275" spans="4:10" x14ac:dyDescent="0.3">
      <c r="D6275" s="40"/>
      <c r="J6275" s="134"/>
    </row>
    <row r="6276" spans="4:10" x14ac:dyDescent="0.3">
      <c r="D6276" s="40"/>
      <c r="J6276" s="134"/>
    </row>
    <row r="6277" spans="4:10" x14ac:dyDescent="0.3">
      <c r="D6277" s="40"/>
      <c r="J6277" s="134"/>
    </row>
    <row r="6278" spans="4:10" x14ac:dyDescent="0.3">
      <c r="D6278" s="40"/>
      <c r="J6278" s="134"/>
    </row>
    <row r="6279" spans="4:10" x14ac:dyDescent="0.3">
      <c r="D6279" s="40"/>
      <c r="J6279" s="134"/>
    </row>
    <row r="6280" spans="4:10" x14ac:dyDescent="0.3">
      <c r="D6280" s="40"/>
      <c r="J6280" s="134"/>
    </row>
    <row r="6281" spans="4:10" x14ac:dyDescent="0.3">
      <c r="D6281" s="40"/>
      <c r="J6281" s="134"/>
    </row>
    <row r="6282" spans="4:10" x14ac:dyDescent="0.3">
      <c r="D6282" s="40"/>
      <c r="J6282" s="134"/>
    </row>
    <row r="6283" spans="4:10" x14ac:dyDescent="0.3">
      <c r="D6283" s="40"/>
      <c r="J6283" s="134"/>
    </row>
    <row r="6284" spans="4:10" x14ac:dyDescent="0.3">
      <c r="D6284" s="40"/>
      <c r="J6284" s="134"/>
    </row>
    <row r="6285" spans="4:10" x14ac:dyDescent="0.3">
      <c r="D6285" s="40"/>
      <c r="J6285" s="134"/>
    </row>
    <row r="6286" spans="4:10" x14ac:dyDescent="0.3">
      <c r="D6286" s="40"/>
      <c r="J6286" s="134"/>
    </row>
    <row r="6287" spans="4:10" x14ac:dyDescent="0.3">
      <c r="D6287" s="40"/>
      <c r="J6287" s="134"/>
    </row>
    <row r="6288" spans="4:10" x14ac:dyDescent="0.3">
      <c r="D6288" s="40"/>
      <c r="J6288" s="134"/>
    </row>
    <row r="6289" spans="4:10" x14ac:dyDescent="0.3">
      <c r="D6289" s="40"/>
      <c r="J6289" s="134"/>
    </row>
    <row r="6290" spans="4:10" x14ac:dyDescent="0.3">
      <c r="D6290" s="40"/>
      <c r="J6290" s="134"/>
    </row>
    <row r="6291" spans="4:10" x14ac:dyDescent="0.3">
      <c r="D6291" s="40"/>
      <c r="J6291" s="134"/>
    </row>
    <row r="6292" spans="4:10" x14ac:dyDescent="0.3">
      <c r="D6292" s="40"/>
      <c r="J6292" s="134"/>
    </row>
    <row r="6293" spans="4:10" x14ac:dyDescent="0.3">
      <c r="D6293" s="40"/>
      <c r="J6293" s="134"/>
    </row>
    <row r="6294" spans="4:10" x14ac:dyDescent="0.3">
      <c r="D6294" s="40"/>
      <c r="J6294" s="134"/>
    </row>
    <row r="6295" spans="4:10" x14ac:dyDescent="0.3">
      <c r="D6295" s="40"/>
      <c r="J6295" s="134"/>
    </row>
    <row r="6296" spans="4:10" x14ac:dyDescent="0.3">
      <c r="D6296" s="40"/>
      <c r="J6296" s="134"/>
    </row>
    <row r="6297" spans="4:10" x14ac:dyDescent="0.3">
      <c r="D6297" s="40"/>
      <c r="J6297" s="134"/>
    </row>
    <row r="6298" spans="4:10" x14ac:dyDescent="0.3">
      <c r="D6298" s="40"/>
      <c r="J6298" s="134"/>
    </row>
    <row r="6299" spans="4:10" x14ac:dyDescent="0.3">
      <c r="D6299" s="40"/>
      <c r="J6299" s="134"/>
    </row>
    <row r="6300" spans="4:10" x14ac:dyDescent="0.3">
      <c r="D6300" s="40"/>
      <c r="J6300" s="134"/>
    </row>
    <row r="6301" spans="4:10" x14ac:dyDescent="0.3">
      <c r="D6301" s="40"/>
      <c r="J6301" s="134"/>
    </row>
    <row r="6302" spans="4:10" x14ac:dyDescent="0.3">
      <c r="D6302" s="40"/>
      <c r="J6302" s="134"/>
    </row>
    <row r="6303" spans="4:10" x14ac:dyDescent="0.3">
      <c r="D6303" s="40"/>
      <c r="J6303" s="134"/>
    </row>
    <row r="6304" spans="4:10" x14ac:dyDescent="0.3">
      <c r="D6304" s="40"/>
      <c r="J6304" s="134"/>
    </row>
    <row r="6305" spans="4:10" x14ac:dyDescent="0.3">
      <c r="D6305" s="40"/>
      <c r="J6305" s="134"/>
    </row>
    <row r="6306" spans="4:10" x14ac:dyDescent="0.3">
      <c r="D6306" s="40"/>
      <c r="J6306" s="134"/>
    </row>
    <row r="6307" spans="4:10" x14ac:dyDescent="0.3">
      <c r="D6307" s="40"/>
      <c r="J6307" s="134"/>
    </row>
    <row r="6308" spans="4:10" x14ac:dyDescent="0.3">
      <c r="D6308" s="40"/>
      <c r="J6308" s="134"/>
    </row>
    <row r="6309" spans="4:10" x14ac:dyDescent="0.3">
      <c r="D6309" s="40"/>
      <c r="J6309" s="134"/>
    </row>
    <row r="6310" spans="4:10" x14ac:dyDescent="0.3">
      <c r="D6310" s="40"/>
      <c r="J6310" s="134"/>
    </row>
    <row r="6311" spans="4:10" x14ac:dyDescent="0.3">
      <c r="D6311" s="40"/>
      <c r="J6311" s="134"/>
    </row>
    <row r="6312" spans="4:10" x14ac:dyDescent="0.3">
      <c r="D6312" s="40"/>
      <c r="J6312" s="134"/>
    </row>
    <row r="6313" spans="4:10" x14ac:dyDescent="0.3">
      <c r="D6313" s="40"/>
      <c r="J6313" s="134"/>
    </row>
    <row r="6314" spans="4:10" x14ac:dyDescent="0.3">
      <c r="D6314" s="40"/>
      <c r="J6314" s="134"/>
    </row>
    <row r="6315" spans="4:10" x14ac:dyDescent="0.3">
      <c r="D6315" s="40"/>
      <c r="J6315" s="134"/>
    </row>
    <row r="6316" spans="4:10" x14ac:dyDescent="0.3">
      <c r="D6316" s="40"/>
      <c r="J6316" s="134"/>
    </row>
    <row r="6317" spans="4:10" x14ac:dyDescent="0.3">
      <c r="D6317" s="40"/>
      <c r="J6317" s="134"/>
    </row>
    <row r="6318" spans="4:10" x14ac:dyDescent="0.3">
      <c r="D6318" s="40"/>
      <c r="J6318" s="134"/>
    </row>
    <row r="6319" spans="4:10" x14ac:dyDescent="0.3">
      <c r="D6319" s="40"/>
      <c r="J6319" s="134"/>
    </row>
    <row r="6320" spans="4:10" x14ac:dyDescent="0.3">
      <c r="D6320" s="40"/>
      <c r="J6320" s="134"/>
    </row>
    <row r="6321" spans="4:10" x14ac:dyDescent="0.3">
      <c r="D6321" s="40"/>
      <c r="J6321" s="134"/>
    </row>
    <row r="6322" spans="4:10" x14ac:dyDescent="0.3">
      <c r="D6322" s="40"/>
      <c r="J6322" s="134"/>
    </row>
    <row r="6323" spans="4:10" x14ac:dyDescent="0.3">
      <c r="D6323" s="40"/>
      <c r="J6323" s="134"/>
    </row>
    <row r="6324" spans="4:10" x14ac:dyDescent="0.3">
      <c r="D6324" s="40"/>
      <c r="J6324" s="134"/>
    </row>
    <row r="6325" spans="4:10" x14ac:dyDescent="0.3">
      <c r="D6325" s="40"/>
      <c r="J6325" s="134"/>
    </row>
    <row r="6326" spans="4:10" x14ac:dyDescent="0.3">
      <c r="D6326" s="40"/>
      <c r="J6326" s="134"/>
    </row>
    <row r="6327" spans="4:10" x14ac:dyDescent="0.3">
      <c r="D6327" s="40"/>
      <c r="J6327" s="134"/>
    </row>
    <row r="6328" spans="4:10" x14ac:dyDescent="0.3">
      <c r="D6328" s="40"/>
      <c r="J6328" s="134"/>
    </row>
    <row r="6329" spans="4:10" x14ac:dyDescent="0.3">
      <c r="D6329" s="40"/>
      <c r="J6329" s="134"/>
    </row>
    <row r="6330" spans="4:10" x14ac:dyDescent="0.3">
      <c r="D6330" s="40"/>
      <c r="J6330" s="134"/>
    </row>
    <row r="6331" spans="4:10" x14ac:dyDescent="0.3">
      <c r="D6331" s="40"/>
      <c r="J6331" s="134"/>
    </row>
    <row r="6332" spans="4:10" x14ac:dyDescent="0.3">
      <c r="D6332" s="40"/>
      <c r="J6332" s="134"/>
    </row>
    <row r="6333" spans="4:10" x14ac:dyDescent="0.3">
      <c r="D6333" s="40"/>
      <c r="J6333" s="134"/>
    </row>
    <row r="6334" spans="4:10" x14ac:dyDescent="0.3">
      <c r="D6334" s="40"/>
      <c r="J6334" s="134"/>
    </row>
    <row r="6335" spans="4:10" x14ac:dyDescent="0.3">
      <c r="D6335" s="40"/>
      <c r="J6335" s="134"/>
    </row>
    <row r="6336" spans="4:10" x14ac:dyDescent="0.3">
      <c r="D6336" s="40"/>
      <c r="J6336" s="134"/>
    </row>
    <row r="6337" spans="4:10" x14ac:dyDescent="0.3">
      <c r="D6337" s="40"/>
      <c r="J6337" s="134"/>
    </row>
    <row r="6338" spans="4:10" x14ac:dyDescent="0.3">
      <c r="D6338" s="40"/>
      <c r="J6338" s="134"/>
    </row>
    <row r="6339" spans="4:10" x14ac:dyDescent="0.3">
      <c r="D6339" s="40"/>
      <c r="J6339" s="134"/>
    </row>
    <row r="6340" spans="4:10" x14ac:dyDescent="0.3">
      <c r="D6340" s="40"/>
      <c r="J6340" s="134"/>
    </row>
    <row r="6341" spans="4:10" x14ac:dyDescent="0.3">
      <c r="D6341" s="40"/>
      <c r="J6341" s="134"/>
    </row>
    <row r="6342" spans="4:10" x14ac:dyDescent="0.3">
      <c r="D6342" s="40"/>
      <c r="J6342" s="134"/>
    </row>
    <row r="6343" spans="4:10" x14ac:dyDescent="0.3">
      <c r="D6343" s="40"/>
      <c r="J6343" s="134"/>
    </row>
    <row r="6344" spans="4:10" x14ac:dyDescent="0.3">
      <c r="D6344" s="40"/>
      <c r="J6344" s="134"/>
    </row>
    <row r="6345" spans="4:10" x14ac:dyDescent="0.3">
      <c r="D6345" s="40"/>
      <c r="J6345" s="134"/>
    </row>
    <row r="6346" spans="4:10" x14ac:dyDescent="0.3">
      <c r="D6346" s="40"/>
      <c r="J6346" s="134"/>
    </row>
    <row r="6347" spans="4:10" x14ac:dyDescent="0.3">
      <c r="D6347" s="40"/>
      <c r="J6347" s="134"/>
    </row>
    <row r="6348" spans="4:10" x14ac:dyDescent="0.3">
      <c r="D6348" s="40"/>
      <c r="J6348" s="134"/>
    </row>
    <row r="6349" spans="4:10" x14ac:dyDescent="0.3">
      <c r="D6349" s="40"/>
      <c r="J6349" s="134"/>
    </row>
    <row r="6350" spans="4:10" x14ac:dyDescent="0.3">
      <c r="D6350" s="40"/>
      <c r="J6350" s="134"/>
    </row>
    <row r="6351" spans="4:10" x14ac:dyDescent="0.3">
      <c r="D6351" s="40"/>
      <c r="J6351" s="134"/>
    </row>
    <row r="6352" spans="4:10" x14ac:dyDescent="0.3">
      <c r="D6352" s="40"/>
      <c r="J6352" s="134"/>
    </row>
    <row r="6353" spans="4:10" x14ac:dyDescent="0.3">
      <c r="D6353" s="40"/>
      <c r="J6353" s="134"/>
    </row>
    <row r="6354" spans="4:10" x14ac:dyDescent="0.3">
      <c r="D6354" s="40"/>
      <c r="J6354" s="134"/>
    </row>
    <row r="6355" spans="4:10" x14ac:dyDescent="0.3">
      <c r="D6355" s="40"/>
      <c r="J6355" s="134"/>
    </row>
    <row r="6356" spans="4:10" x14ac:dyDescent="0.3">
      <c r="D6356" s="40"/>
      <c r="J6356" s="134"/>
    </row>
    <row r="6357" spans="4:10" x14ac:dyDescent="0.3">
      <c r="D6357" s="40"/>
      <c r="J6357" s="134"/>
    </row>
    <row r="6358" spans="4:10" x14ac:dyDescent="0.3">
      <c r="D6358" s="40"/>
      <c r="J6358" s="134"/>
    </row>
    <row r="6359" spans="4:10" x14ac:dyDescent="0.3">
      <c r="D6359" s="40"/>
      <c r="J6359" s="134"/>
    </row>
    <row r="6360" spans="4:10" x14ac:dyDescent="0.3">
      <c r="D6360" s="40"/>
      <c r="J6360" s="134"/>
    </row>
    <row r="6361" spans="4:10" x14ac:dyDescent="0.3">
      <c r="D6361" s="40"/>
      <c r="J6361" s="134"/>
    </row>
    <row r="6362" spans="4:10" x14ac:dyDescent="0.3">
      <c r="D6362" s="40"/>
      <c r="J6362" s="134"/>
    </row>
    <row r="6363" spans="4:10" x14ac:dyDescent="0.3">
      <c r="D6363" s="40"/>
      <c r="J6363" s="134"/>
    </row>
    <row r="6364" spans="4:10" x14ac:dyDescent="0.3">
      <c r="D6364" s="40"/>
      <c r="J6364" s="134"/>
    </row>
    <row r="6365" spans="4:10" x14ac:dyDescent="0.3">
      <c r="D6365" s="40"/>
      <c r="J6365" s="134"/>
    </row>
    <row r="6366" spans="4:10" x14ac:dyDescent="0.3">
      <c r="D6366" s="40"/>
      <c r="J6366" s="134"/>
    </row>
    <row r="6367" spans="4:10" x14ac:dyDescent="0.3">
      <c r="D6367" s="40"/>
      <c r="J6367" s="134"/>
    </row>
    <row r="6368" spans="4:10" x14ac:dyDescent="0.3">
      <c r="D6368" s="40"/>
      <c r="J6368" s="134"/>
    </row>
    <row r="6369" spans="4:10" x14ac:dyDescent="0.3">
      <c r="D6369" s="40"/>
      <c r="J6369" s="134"/>
    </row>
    <row r="6370" spans="4:10" x14ac:dyDescent="0.3">
      <c r="D6370" s="40"/>
      <c r="J6370" s="134"/>
    </row>
    <row r="6371" spans="4:10" x14ac:dyDescent="0.3">
      <c r="D6371" s="40"/>
      <c r="J6371" s="134"/>
    </row>
    <row r="6372" spans="4:10" x14ac:dyDescent="0.3">
      <c r="D6372" s="40"/>
      <c r="J6372" s="134"/>
    </row>
    <row r="6373" spans="4:10" x14ac:dyDescent="0.3">
      <c r="D6373" s="40"/>
      <c r="J6373" s="134"/>
    </row>
    <row r="6374" spans="4:10" x14ac:dyDescent="0.3">
      <c r="D6374" s="40"/>
      <c r="J6374" s="134"/>
    </row>
    <row r="6375" spans="4:10" x14ac:dyDescent="0.3">
      <c r="D6375" s="40"/>
      <c r="J6375" s="134"/>
    </row>
    <row r="6376" spans="4:10" x14ac:dyDescent="0.3">
      <c r="D6376" s="40"/>
      <c r="J6376" s="134"/>
    </row>
    <row r="6377" spans="4:10" x14ac:dyDescent="0.3">
      <c r="D6377" s="40"/>
      <c r="J6377" s="134"/>
    </row>
    <row r="6378" spans="4:10" x14ac:dyDescent="0.3">
      <c r="D6378" s="40"/>
      <c r="J6378" s="134"/>
    </row>
    <row r="6379" spans="4:10" x14ac:dyDescent="0.3">
      <c r="D6379" s="40"/>
      <c r="J6379" s="134"/>
    </row>
    <row r="6380" spans="4:10" x14ac:dyDescent="0.3">
      <c r="D6380" s="40"/>
      <c r="J6380" s="134"/>
    </row>
    <row r="6381" spans="4:10" x14ac:dyDescent="0.3">
      <c r="D6381" s="40"/>
      <c r="J6381" s="134"/>
    </row>
    <row r="6382" spans="4:10" x14ac:dyDescent="0.3">
      <c r="D6382" s="40"/>
      <c r="J6382" s="134"/>
    </row>
    <row r="6383" spans="4:10" x14ac:dyDescent="0.3">
      <c r="D6383" s="40"/>
      <c r="J6383" s="134"/>
    </row>
    <row r="6384" spans="4:10" x14ac:dyDescent="0.3">
      <c r="D6384" s="40"/>
      <c r="J6384" s="134"/>
    </row>
    <row r="6385" spans="4:10" x14ac:dyDescent="0.3">
      <c r="D6385" s="40"/>
      <c r="J6385" s="134"/>
    </row>
    <row r="6386" spans="4:10" x14ac:dyDescent="0.3">
      <c r="D6386" s="40"/>
      <c r="J6386" s="134"/>
    </row>
    <row r="6387" spans="4:10" x14ac:dyDescent="0.3">
      <c r="D6387" s="40"/>
      <c r="J6387" s="134"/>
    </row>
    <row r="6388" spans="4:10" x14ac:dyDescent="0.3">
      <c r="D6388" s="40"/>
      <c r="J6388" s="134"/>
    </row>
    <row r="6389" spans="4:10" x14ac:dyDescent="0.3">
      <c r="D6389" s="40"/>
      <c r="J6389" s="134"/>
    </row>
    <row r="6390" spans="4:10" x14ac:dyDescent="0.3">
      <c r="D6390" s="40"/>
      <c r="J6390" s="134"/>
    </row>
    <row r="6391" spans="4:10" x14ac:dyDescent="0.3">
      <c r="D6391" s="40"/>
      <c r="J6391" s="134"/>
    </row>
    <row r="6392" spans="4:10" x14ac:dyDescent="0.3">
      <c r="D6392" s="40"/>
      <c r="J6392" s="134"/>
    </row>
    <row r="6393" spans="4:10" x14ac:dyDescent="0.3">
      <c r="D6393" s="40"/>
      <c r="J6393" s="134"/>
    </row>
    <row r="6394" spans="4:10" x14ac:dyDescent="0.3">
      <c r="D6394" s="40"/>
      <c r="J6394" s="134"/>
    </row>
    <row r="6395" spans="4:10" x14ac:dyDescent="0.3">
      <c r="D6395" s="40"/>
      <c r="J6395" s="134"/>
    </row>
    <row r="6396" spans="4:10" x14ac:dyDescent="0.3">
      <c r="D6396" s="40"/>
      <c r="J6396" s="134"/>
    </row>
    <row r="6397" spans="4:10" x14ac:dyDescent="0.3">
      <c r="D6397" s="40"/>
      <c r="J6397" s="134"/>
    </row>
    <row r="6398" spans="4:10" x14ac:dyDescent="0.3">
      <c r="D6398" s="40"/>
      <c r="J6398" s="134"/>
    </row>
    <row r="6399" spans="4:10" x14ac:dyDescent="0.3">
      <c r="D6399" s="40"/>
      <c r="J6399" s="134"/>
    </row>
    <row r="6400" spans="4:10" x14ac:dyDescent="0.3">
      <c r="D6400" s="40"/>
      <c r="J6400" s="134"/>
    </row>
    <row r="6401" spans="4:10" x14ac:dyDescent="0.3">
      <c r="D6401" s="40"/>
      <c r="J6401" s="134"/>
    </row>
    <row r="6402" spans="4:10" x14ac:dyDescent="0.3">
      <c r="D6402" s="40"/>
      <c r="J6402" s="134"/>
    </row>
    <row r="6403" spans="4:10" x14ac:dyDescent="0.3">
      <c r="D6403" s="40"/>
      <c r="J6403" s="134"/>
    </row>
    <row r="6404" spans="4:10" x14ac:dyDescent="0.3">
      <c r="D6404" s="40"/>
      <c r="J6404" s="134"/>
    </row>
    <row r="6405" spans="4:10" x14ac:dyDescent="0.3">
      <c r="D6405" s="40"/>
      <c r="J6405" s="134"/>
    </row>
    <row r="6406" spans="4:10" x14ac:dyDescent="0.3">
      <c r="D6406" s="40"/>
      <c r="J6406" s="134"/>
    </row>
    <row r="6407" spans="4:10" x14ac:dyDescent="0.3">
      <c r="D6407" s="40"/>
      <c r="J6407" s="134"/>
    </row>
    <row r="6408" spans="4:10" x14ac:dyDescent="0.3">
      <c r="D6408" s="40"/>
      <c r="J6408" s="134"/>
    </row>
    <row r="6409" spans="4:10" x14ac:dyDescent="0.3">
      <c r="D6409" s="40"/>
      <c r="J6409" s="134"/>
    </row>
    <row r="6410" spans="4:10" x14ac:dyDescent="0.3">
      <c r="D6410" s="40"/>
      <c r="J6410" s="134"/>
    </row>
    <row r="6411" spans="4:10" x14ac:dyDescent="0.3">
      <c r="D6411" s="40"/>
      <c r="J6411" s="134"/>
    </row>
    <row r="6412" spans="4:10" x14ac:dyDescent="0.3">
      <c r="D6412" s="40"/>
      <c r="J6412" s="134"/>
    </row>
    <row r="6413" spans="4:10" x14ac:dyDescent="0.3">
      <c r="D6413" s="40"/>
      <c r="J6413" s="134"/>
    </row>
    <row r="6414" spans="4:10" x14ac:dyDescent="0.3">
      <c r="D6414" s="40"/>
      <c r="J6414" s="134"/>
    </row>
    <row r="6415" spans="4:10" x14ac:dyDescent="0.3">
      <c r="D6415" s="40"/>
      <c r="J6415" s="134"/>
    </row>
    <row r="6416" spans="4:10" x14ac:dyDescent="0.3">
      <c r="D6416" s="40"/>
      <c r="J6416" s="134"/>
    </row>
    <row r="6417" spans="4:10" x14ac:dyDescent="0.3">
      <c r="D6417" s="40"/>
      <c r="J6417" s="134"/>
    </row>
    <row r="6418" spans="4:10" x14ac:dyDescent="0.3">
      <c r="D6418" s="40"/>
      <c r="J6418" s="134"/>
    </row>
    <row r="6419" spans="4:10" x14ac:dyDescent="0.3">
      <c r="D6419" s="40"/>
      <c r="J6419" s="134"/>
    </row>
    <row r="6420" spans="4:10" x14ac:dyDescent="0.3">
      <c r="D6420" s="40"/>
      <c r="J6420" s="134"/>
    </row>
    <row r="6421" spans="4:10" x14ac:dyDescent="0.3">
      <c r="D6421" s="40"/>
      <c r="J6421" s="134"/>
    </row>
    <row r="6422" spans="4:10" x14ac:dyDescent="0.3">
      <c r="D6422" s="40"/>
      <c r="J6422" s="134"/>
    </row>
    <row r="6423" spans="4:10" x14ac:dyDescent="0.3">
      <c r="D6423" s="40"/>
      <c r="J6423" s="134"/>
    </row>
    <row r="6424" spans="4:10" x14ac:dyDescent="0.3">
      <c r="D6424" s="40"/>
      <c r="J6424" s="134"/>
    </row>
    <row r="6425" spans="4:10" x14ac:dyDescent="0.3">
      <c r="D6425" s="40"/>
      <c r="J6425" s="134"/>
    </row>
    <row r="6426" spans="4:10" x14ac:dyDescent="0.3">
      <c r="D6426" s="40"/>
      <c r="J6426" s="134"/>
    </row>
    <row r="6427" spans="4:10" x14ac:dyDescent="0.3">
      <c r="D6427" s="40"/>
      <c r="J6427" s="134"/>
    </row>
    <row r="6428" spans="4:10" x14ac:dyDescent="0.3">
      <c r="D6428" s="40"/>
      <c r="J6428" s="134"/>
    </row>
    <row r="6429" spans="4:10" x14ac:dyDescent="0.3">
      <c r="D6429" s="40"/>
      <c r="J6429" s="134"/>
    </row>
    <row r="6430" spans="4:10" x14ac:dyDescent="0.3">
      <c r="D6430" s="40"/>
      <c r="J6430" s="134"/>
    </row>
    <row r="6431" spans="4:10" x14ac:dyDescent="0.3">
      <c r="D6431" s="40"/>
      <c r="J6431" s="134"/>
    </row>
    <row r="6432" spans="4:10" x14ac:dyDescent="0.3">
      <c r="D6432" s="40"/>
      <c r="J6432" s="134"/>
    </row>
    <row r="6433" spans="4:10" x14ac:dyDescent="0.3">
      <c r="D6433" s="40"/>
      <c r="J6433" s="134"/>
    </row>
    <row r="6434" spans="4:10" x14ac:dyDescent="0.3">
      <c r="D6434" s="40"/>
      <c r="J6434" s="134"/>
    </row>
    <row r="6435" spans="4:10" x14ac:dyDescent="0.3">
      <c r="D6435" s="40"/>
      <c r="J6435" s="134"/>
    </row>
    <row r="6436" spans="4:10" x14ac:dyDescent="0.3">
      <c r="D6436" s="40"/>
      <c r="J6436" s="134"/>
    </row>
    <row r="6437" spans="4:10" x14ac:dyDescent="0.3">
      <c r="D6437" s="40"/>
      <c r="J6437" s="134"/>
    </row>
    <row r="6438" spans="4:10" x14ac:dyDescent="0.3">
      <c r="D6438" s="40"/>
      <c r="J6438" s="134"/>
    </row>
    <row r="6439" spans="4:10" x14ac:dyDescent="0.3">
      <c r="D6439" s="40"/>
      <c r="J6439" s="134"/>
    </row>
    <row r="6440" spans="4:10" x14ac:dyDescent="0.3">
      <c r="D6440" s="40"/>
      <c r="J6440" s="134"/>
    </row>
    <row r="6441" spans="4:10" x14ac:dyDescent="0.3">
      <c r="D6441" s="40"/>
      <c r="J6441" s="134"/>
    </row>
    <row r="6442" spans="4:10" x14ac:dyDescent="0.3">
      <c r="D6442" s="40"/>
      <c r="J6442" s="134"/>
    </row>
    <row r="6443" spans="4:10" x14ac:dyDescent="0.3">
      <c r="D6443" s="40"/>
      <c r="J6443" s="134"/>
    </row>
    <row r="6444" spans="4:10" x14ac:dyDescent="0.3">
      <c r="D6444" s="40"/>
      <c r="J6444" s="134"/>
    </row>
    <row r="6445" spans="4:10" x14ac:dyDescent="0.3">
      <c r="D6445" s="40"/>
      <c r="J6445" s="134"/>
    </row>
    <row r="6446" spans="4:10" x14ac:dyDescent="0.3">
      <c r="D6446" s="40"/>
      <c r="J6446" s="134"/>
    </row>
    <row r="6447" spans="4:10" x14ac:dyDescent="0.3">
      <c r="D6447" s="40"/>
      <c r="J6447" s="134"/>
    </row>
    <row r="6448" spans="4:10" x14ac:dyDescent="0.3">
      <c r="D6448" s="40"/>
      <c r="J6448" s="134"/>
    </row>
    <row r="6449" spans="4:10" x14ac:dyDescent="0.3">
      <c r="D6449" s="40"/>
      <c r="J6449" s="134"/>
    </row>
    <row r="6450" spans="4:10" x14ac:dyDescent="0.3">
      <c r="D6450" s="40"/>
      <c r="J6450" s="134"/>
    </row>
    <row r="6451" spans="4:10" x14ac:dyDescent="0.3">
      <c r="D6451" s="40"/>
      <c r="J6451" s="134"/>
    </row>
    <row r="6452" spans="4:10" x14ac:dyDescent="0.3">
      <c r="D6452" s="40"/>
      <c r="J6452" s="134"/>
    </row>
    <row r="6453" spans="4:10" x14ac:dyDescent="0.3">
      <c r="D6453" s="40"/>
      <c r="J6453" s="134"/>
    </row>
    <row r="6454" spans="4:10" x14ac:dyDescent="0.3">
      <c r="D6454" s="40"/>
      <c r="J6454" s="134"/>
    </row>
    <row r="6455" spans="4:10" x14ac:dyDescent="0.3">
      <c r="D6455" s="40"/>
      <c r="J6455" s="134"/>
    </row>
    <row r="6456" spans="4:10" x14ac:dyDescent="0.3">
      <c r="D6456" s="40"/>
      <c r="J6456" s="134"/>
    </row>
    <row r="6457" spans="4:10" x14ac:dyDescent="0.3">
      <c r="D6457" s="40"/>
      <c r="J6457" s="134"/>
    </row>
    <row r="6458" spans="4:10" x14ac:dyDescent="0.3">
      <c r="D6458" s="40"/>
      <c r="J6458" s="134"/>
    </row>
    <row r="6459" spans="4:10" x14ac:dyDescent="0.3">
      <c r="D6459" s="40"/>
      <c r="J6459" s="134"/>
    </row>
    <row r="6460" spans="4:10" x14ac:dyDescent="0.3">
      <c r="D6460" s="40"/>
      <c r="J6460" s="134"/>
    </row>
    <row r="6461" spans="4:10" x14ac:dyDescent="0.3">
      <c r="D6461" s="40"/>
      <c r="J6461" s="134"/>
    </row>
    <row r="6462" spans="4:10" x14ac:dyDescent="0.3">
      <c r="D6462" s="40"/>
      <c r="J6462" s="134"/>
    </row>
    <row r="6463" spans="4:10" x14ac:dyDescent="0.3">
      <c r="D6463" s="40"/>
      <c r="J6463" s="134"/>
    </row>
    <row r="6464" spans="4:10" x14ac:dyDescent="0.3">
      <c r="D6464" s="40"/>
      <c r="J6464" s="134"/>
    </row>
    <row r="6465" spans="4:10" x14ac:dyDescent="0.3">
      <c r="D6465" s="40"/>
      <c r="J6465" s="134"/>
    </row>
    <row r="6466" spans="4:10" x14ac:dyDescent="0.3">
      <c r="D6466" s="40"/>
      <c r="J6466" s="134"/>
    </row>
    <row r="6467" spans="4:10" x14ac:dyDescent="0.3">
      <c r="D6467" s="40"/>
      <c r="J6467" s="134"/>
    </row>
    <row r="6468" spans="4:10" x14ac:dyDescent="0.3">
      <c r="D6468" s="40"/>
      <c r="J6468" s="134"/>
    </row>
    <row r="6469" spans="4:10" x14ac:dyDescent="0.3">
      <c r="D6469" s="40"/>
      <c r="J6469" s="134"/>
    </row>
    <row r="6470" spans="4:10" x14ac:dyDescent="0.3">
      <c r="D6470" s="40"/>
      <c r="J6470" s="134"/>
    </row>
    <row r="6471" spans="4:10" x14ac:dyDescent="0.3">
      <c r="D6471" s="40"/>
      <c r="J6471" s="134"/>
    </row>
    <row r="6472" spans="4:10" x14ac:dyDescent="0.3">
      <c r="D6472" s="40"/>
      <c r="J6472" s="134"/>
    </row>
    <row r="6473" spans="4:10" x14ac:dyDescent="0.3">
      <c r="D6473" s="40"/>
      <c r="J6473" s="134"/>
    </row>
    <row r="6474" spans="4:10" x14ac:dyDescent="0.3">
      <c r="D6474" s="40"/>
      <c r="J6474" s="134"/>
    </row>
    <row r="6475" spans="4:10" x14ac:dyDescent="0.3">
      <c r="D6475" s="40"/>
      <c r="J6475" s="134"/>
    </row>
    <row r="6476" spans="4:10" x14ac:dyDescent="0.3">
      <c r="D6476" s="40"/>
      <c r="J6476" s="134"/>
    </row>
    <row r="6477" spans="4:10" x14ac:dyDescent="0.3">
      <c r="D6477" s="40"/>
      <c r="J6477" s="134"/>
    </row>
    <row r="6478" spans="4:10" x14ac:dyDescent="0.3">
      <c r="D6478" s="40"/>
      <c r="J6478" s="134"/>
    </row>
    <row r="6479" spans="4:10" x14ac:dyDescent="0.3">
      <c r="D6479" s="40"/>
      <c r="J6479" s="134"/>
    </row>
    <row r="6480" spans="4:10" x14ac:dyDescent="0.3">
      <c r="D6480" s="40"/>
      <c r="J6480" s="134"/>
    </row>
    <row r="6481" spans="4:10" x14ac:dyDescent="0.3">
      <c r="D6481" s="40"/>
      <c r="J6481" s="134"/>
    </row>
    <row r="6482" spans="4:10" x14ac:dyDescent="0.3">
      <c r="D6482" s="40"/>
      <c r="J6482" s="134"/>
    </row>
    <row r="6483" spans="4:10" x14ac:dyDescent="0.3">
      <c r="D6483" s="40"/>
      <c r="J6483" s="134"/>
    </row>
    <row r="6484" spans="4:10" x14ac:dyDescent="0.3">
      <c r="D6484" s="40"/>
      <c r="J6484" s="134"/>
    </row>
    <row r="6485" spans="4:10" x14ac:dyDescent="0.3">
      <c r="D6485" s="40"/>
      <c r="J6485" s="134"/>
    </row>
    <row r="6486" spans="4:10" x14ac:dyDescent="0.3">
      <c r="D6486" s="40"/>
      <c r="J6486" s="134"/>
    </row>
    <row r="6487" spans="4:10" x14ac:dyDescent="0.3">
      <c r="D6487" s="40"/>
      <c r="J6487" s="134"/>
    </row>
    <row r="6488" spans="4:10" x14ac:dyDescent="0.3">
      <c r="D6488" s="40"/>
      <c r="J6488" s="134"/>
    </row>
    <row r="6489" spans="4:10" x14ac:dyDescent="0.3">
      <c r="D6489" s="40"/>
      <c r="J6489" s="134"/>
    </row>
    <row r="6490" spans="4:10" x14ac:dyDescent="0.3">
      <c r="D6490" s="40"/>
      <c r="J6490" s="134"/>
    </row>
    <row r="6491" spans="4:10" x14ac:dyDescent="0.3">
      <c r="D6491" s="40"/>
      <c r="J6491" s="134"/>
    </row>
    <row r="6492" spans="4:10" x14ac:dyDescent="0.3">
      <c r="D6492" s="40"/>
      <c r="J6492" s="134"/>
    </row>
    <row r="6493" spans="4:10" x14ac:dyDescent="0.3">
      <c r="D6493" s="40"/>
      <c r="J6493" s="134"/>
    </row>
    <row r="6494" spans="4:10" x14ac:dyDescent="0.3">
      <c r="D6494" s="40"/>
      <c r="J6494" s="134"/>
    </row>
    <row r="6495" spans="4:10" x14ac:dyDescent="0.3">
      <c r="D6495" s="40"/>
      <c r="J6495" s="134"/>
    </row>
    <row r="6496" spans="4:10" x14ac:dyDescent="0.3">
      <c r="D6496" s="40"/>
      <c r="J6496" s="134"/>
    </row>
    <row r="6497" spans="4:10" x14ac:dyDescent="0.3">
      <c r="D6497" s="40"/>
      <c r="J6497" s="134"/>
    </row>
    <row r="6498" spans="4:10" x14ac:dyDescent="0.3">
      <c r="D6498" s="40"/>
      <c r="J6498" s="134"/>
    </row>
    <row r="6499" spans="4:10" x14ac:dyDescent="0.3">
      <c r="D6499" s="40"/>
      <c r="J6499" s="134"/>
    </row>
    <row r="6500" spans="4:10" x14ac:dyDescent="0.3">
      <c r="D6500" s="40"/>
      <c r="J6500" s="134"/>
    </row>
    <row r="6501" spans="4:10" x14ac:dyDescent="0.3">
      <c r="D6501" s="40"/>
      <c r="J6501" s="134"/>
    </row>
    <row r="6502" spans="4:10" x14ac:dyDescent="0.3">
      <c r="D6502" s="40"/>
      <c r="J6502" s="134"/>
    </row>
    <row r="6503" spans="4:10" x14ac:dyDescent="0.3">
      <c r="D6503" s="40"/>
      <c r="J6503" s="134"/>
    </row>
    <row r="6504" spans="4:10" x14ac:dyDescent="0.3">
      <c r="D6504" s="40"/>
      <c r="J6504" s="134"/>
    </row>
    <row r="6505" spans="4:10" x14ac:dyDescent="0.3">
      <c r="D6505" s="40"/>
      <c r="J6505" s="134"/>
    </row>
    <row r="6506" spans="4:10" x14ac:dyDescent="0.3">
      <c r="D6506" s="40"/>
      <c r="J6506" s="134"/>
    </row>
    <row r="6507" spans="4:10" x14ac:dyDescent="0.3">
      <c r="D6507" s="40"/>
      <c r="J6507" s="134"/>
    </row>
    <row r="6508" spans="4:10" x14ac:dyDescent="0.3">
      <c r="D6508" s="40"/>
      <c r="J6508" s="134"/>
    </row>
    <row r="6509" spans="4:10" x14ac:dyDescent="0.3">
      <c r="D6509" s="40"/>
      <c r="J6509" s="134"/>
    </row>
    <row r="6510" spans="4:10" x14ac:dyDescent="0.3">
      <c r="D6510" s="40"/>
      <c r="J6510" s="134"/>
    </row>
    <row r="6511" spans="4:10" x14ac:dyDescent="0.3">
      <c r="D6511" s="40"/>
      <c r="J6511" s="134"/>
    </row>
    <row r="6512" spans="4:10" x14ac:dyDescent="0.3">
      <c r="D6512" s="40"/>
      <c r="J6512" s="134"/>
    </row>
    <row r="6513" spans="4:10" x14ac:dyDescent="0.3">
      <c r="D6513" s="40"/>
      <c r="J6513" s="134"/>
    </row>
    <row r="6514" spans="4:10" x14ac:dyDescent="0.3">
      <c r="D6514" s="40"/>
      <c r="J6514" s="134"/>
    </row>
    <row r="6515" spans="4:10" x14ac:dyDescent="0.3">
      <c r="D6515" s="40"/>
      <c r="J6515" s="134"/>
    </row>
    <row r="6516" spans="4:10" x14ac:dyDescent="0.3">
      <c r="D6516" s="40"/>
      <c r="J6516" s="134"/>
    </row>
    <row r="6517" spans="4:10" x14ac:dyDescent="0.3">
      <c r="D6517" s="40"/>
      <c r="J6517" s="134"/>
    </row>
    <row r="6518" spans="4:10" x14ac:dyDescent="0.3">
      <c r="D6518" s="40"/>
      <c r="J6518" s="134"/>
    </row>
    <row r="6519" spans="4:10" x14ac:dyDescent="0.3">
      <c r="D6519" s="40"/>
      <c r="J6519" s="134"/>
    </row>
    <row r="6520" spans="4:10" x14ac:dyDescent="0.3">
      <c r="D6520" s="40"/>
      <c r="J6520" s="134"/>
    </row>
    <row r="6521" spans="4:10" x14ac:dyDescent="0.3">
      <c r="D6521" s="40"/>
      <c r="J6521" s="134"/>
    </row>
    <row r="6522" spans="4:10" x14ac:dyDescent="0.3">
      <c r="D6522" s="40"/>
      <c r="J6522" s="134"/>
    </row>
    <row r="6523" spans="4:10" x14ac:dyDescent="0.3">
      <c r="D6523" s="40"/>
      <c r="J6523" s="134"/>
    </row>
    <row r="6524" spans="4:10" x14ac:dyDescent="0.3">
      <c r="D6524" s="40"/>
      <c r="J6524" s="134"/>
    </row>
    <row r="6525" spans="4:10" x14ac:dyDescent="0.3">
      <c r="D6525" s="40"/>
      <c r="J6525" s="134"/>
    </row>
    <row r="6526" spans="4:10" x14ac:dyDescent="0.3">
      <c r="D6526" s="40"/>
      <c r="J6526" s="134"/>
    </row>
    <row r="6527" spans="4:10" x14ac:dyDescent="0.3">
      <c r="D6527" s="40"/>
      <c r="J6527" s="134"/>
    </row>
    <row r="6528" spans="4:10" x14ac:dyDescent="0.3">
      <c r="D6528" s="40"/>
      <c r="J6528" s="134"/>
    </row>
    <row r="6529" spans="4:10" x14ac:dyDescent="0.3">
      <c r="D6529" s="40"/>
      <c r="J6529" s="134"/>
    </row>
    <row r="6530" spans="4:10" x14ac:dyDescent="0.3">
      <c r="D6530" s="40"/>
      <c r="J6530" s="134"/>
    </row>
    <row r="6531" spans="4:10" x14ac:dyDescent="0.3">
      <c r="D6531" s="40"/>
      <c r="J6531" s="134"/>
    </row>
    <row r="6532" spans="4:10" x14ac:dyDescent="0.3">
      <c r="D6532" s="40"/>
      <c r="J6532" s="134"/>
    </row>
    <row r="6533" spans="4:10" x14ac:dyDescent="0.3">
      <c r="D6533" s="40"/>
      <c r="J6533" s="134"/>
    </row>
    <row r="6534" spans="4:10" x14ac:dyDescent="0.3">
      <c r="D6534" s="40"/>
      <c r="J6534" s="134"/>
    </row>
    <row r="6535" spans="4:10" x14ac:dyDescent="0.3">
      <c r="D6535" s="40"/>
      <c r="J6535" s="134"/>
    </row>
    <row r="6536" spans="4:10" x14ac:dyDescent="0.3">
      <c r="D6536" s="40"/>
      <c r="J6536" s="134"/>
    </row>
    <row r="6537" spans="4:10" x14ac:dyDescent="0.3">
      <c r="D6537" s="40"/>
      <c r="J6537" s="134"/>
    </row>
    <row r="6538" spans="4:10" x14ac:dyDescent="0.3">
      <c r="D6538" s="40"/>
      <c r="J6538" s="134"/>
    </row>
    <row r="6539" spans="4:10" x14ac:dyDescent="0.3">
      <c r="D6539" s="40"/>
      <c r="J6539" s="134"/>
    </row>
    <row r="6540" spans="4:10" x14ac:dyDescent="0.3">
      <c r="D6540" s="40"/>
      <c r="J6540" s="134"/>
    </row>
    <row r="6541" spans="4:10" x14ac:dyDescent="0.3">
      <c r="D6541" s="40"/>
      <c r="J6541" s="134"/>
    </row>
    <row r="6542" spans="4:10" x14ac:dyDescent="0.3">
      <c r="D6542" s="40"/>
      <c r="J6542" s="134"/>
    </row>
    <row r="6543" spans="4:10" x14ac:dyDescent="0.3">
      <c r="D6543" s="40"/>
      <c r="J6543" s="134"/>
    </row>
    <row r="6544" spans="4:10" x14ac:dyDescent="0.3">
      <c r="D6544" s="40"/>
      <c r="J6544" s="134"/>
    </row>
    <row r="6545" spans="4:10" x14ac:dyDescent="0.3">
      <c r="D6545" s="40"/>
      <c r="J6545" s="134"/>
    </row>
    <row r="6546" spans="4:10" x14ac:dyDescent="0.3">
      <c r="D6546" s="40"/>
      <c r="J6546" s="134"/>
    </row>
    <row r="6547" spans="4:10" x14ac:dyDescent="0.3">
      <c r="D6547" s="40"/>
      <c r="J6547" s="134"/>
    </row>
    <row r="6548" spans="4:10" x14ac:dyDescent="0.3">
      <c r="D6548" s="40"/>
      <c r="J6548" s="134"/>
    </row>
    <row r="6549" spans="4:10" x14ac:dyDescent="0.3">
      <c r="D6549" s="40"/>
      <c r="J6549" s="134"/>
    </row>
    <row r="6550" spans="4:10" x14ac:dyDescent="0.3">
      <c r="D6550" s="40"/>
      <c r="J6550" s="134"/>
    </row>
    <row r="6551" spans="4:10" x14ac:dyDescent="0.3">
      <c r="D6551" s="40"/>
      <c r="J6551" s="134"/>
    </row>
    <row r="6552" spans="4:10" x14ac:dyDescent="0.3">
      <c r="D6552" s="40"/>
      <c r="J6552" s="134"/>
    </row>
    <row r="6553" spans="4:10" x14ac:dyDescent="0.3">
      <c r="D6553" s="40"/>
      <c r="J6553" s="134"/>
    </row>
    <row r="6554" spans="4:10" x14ac:dyDescent="0.3">
      <c r="D6554" s="40"/>
      <c r="J6554" s="134"/>
    </row>
    <row r="6555" spans="4:10" x14ac:dyDescent="0.3">
      <c r="D6555" s="40"/>
      <c r="J6555" s="134"/>
    </row>
    <row r="6556" spans="4:10" x14ac:dyDescent="0.3">
      <c r="D6556" s="40"/>
      <c r="J6556" s="134"/>
    </row>
    <row r="6557" spans="4:10" x14ac:dyDescent="0.3">
      <c r="D6557" s="40"/>
      <c r="J6557" s="134"/>
    </row>
    <row r="6558" spans="4:10" x14ac:dyDescent="0.3">
      <c r="D6558" s="40"/>
      <c r="J6558" s="134"/>
    </row>
    <row r="6559" spans="4:10" x14ac:dyDescent="0.3">
      <c r="D6559" s="40"/>
      <c r="J6559" s="134"/>
    </row>
    <row r="6560" spans="4:10" x14ac:dyDescent="0.3">
      <c r="D6560" s="40"/>
      <c r="J6560" s="134"/>
    </row>
    <row r="6561" spans="4:10" x14ac:dyDescent="0.3">
      <c r="D6561" s="40"/>
      <c r="J6561" s="134"/>
    </row>
    <row r="6562" spans="4:10" x14ac:dyDescent="0.3">
      <c r="D6562" s="40"/>
      <c r="J6562" s="134"/>
    </row>
    <row r="6563" spans="4:10" x14ac:dyDescent="0.3">
      <c r="D6563" s="40"/>
      <c r="J6563" s="134"/>
    </row>
    <row r="6564" spans="4:10" x14ac:dyDescent="0.3">
      <c r="D6564" s="40"/>
      <c r="J6564" s="134"/>
    </row>
    <row r="6565" spans="4:10" x14ac:dyDescent="0.3">
      <c r="D6565" s="40"/>
      <c r="J6565" s="134"/>
    </row>
    <row r="6566" spans="4:10" x14ac:dyDescent="0.3">
      <c r="D6566" s="40"/>
      <c r="J6566" s="134"/>
    </row>
    <row r="6567" spans="4:10" x14ac:dyDescent="0.3">
      <c r="D6567" s="40"/>
      <c r="J6567" s="134"/>
    </row>
    <row r="6568" spans="4:10" x14ac:dyDescent="0.3">
      <c r="D6568" s="40"/>
      <c r="J6568" s="134"/>
    </row>
    <row r="6569" spans="4:10" x14ac:dyDescent="0.3">
      <c r="D6569" s="40"/>
      <c r="J6569" s="134"/>
    </row>
    <row r="6570" spans="4:10" x14ac:dyDescent="0.3">
      <c r="D6570" s="40"/>
      <c r="J6570" s="134"/>
    </row>
    <row r="6571" spans="4:10" x14ac:dyDescent="0.3">
      <c r="D6571" s="40"/>
      <c r="J6571" s="134"/>
    </row>
    <row r="6572" spans="4:10" x14ac:dyDescent="0.3">
      <c r="D6572" s="40"/>
      <c r="J6572" s="134"/>
    </row>
    <row r="6573" spans="4:10" x14ac:dyDescent="0.3">
      <c r="D6573" s="40"/>
      <c r="J6573" s="134"/>
    </row>
    <row r="6574" spans="4:10" x14ac:dyDescent="0.3">
      <c r="D6574" s="40"/>
      <c r="J6574" s="134"/>
    </row>
    <row r="6575" spans="4:10" x14ac:dyDescent="0.3">
      <c r="D6575" s="40"/>
      <c r="J6575" s="134"/>
    </row>
    <row r="6576" spans="4:10" x14ac:dyDescent="0.3">
      <c r="D6576" s="40"/>
      <c r="J6576" s="134"/>
    </row>
    <row r="6577" spans="4:10" x14ac:dyDescent="0.3">
      <c r="D6577" s="40"/>
      <c r="J6577" s="134"/>
    </row>
    <row r="6578" spans="4:10" x14ac:dyDescent="0.3">
      <c r="D6578" s="40"/>
      <c r="J6578" s="134"/>
    </row>
    <row r="6579" spans="4:10" x14ac:dyDescent="0.3">
      <c r="D6579" s="40"/>
      <c r="J6579" s="134"/>
    </row>
    <row r="6580" spans="4:10" x14ac:dyDescent="0.3">
      <c r="D6580" s="40"/>
      <c r="J6580" s="134"/>
    </row>
    <row r="6581" spans="4:10" x14ac:dyDescent="0.3">
      <c r="D6581" s="40"/>
      <c r="J6581" s="134"/>
    </row>
    <row r="6582" spans="4:10" x14ac:dyDescent="0.3">
      <c r="D6582" s="40"/>
      <c r="J6582" s="134"/>
    </row>
    <row r="6583" spans="4:10" x14ac:dyDescent="0.3">
      <c r="D6583" s="40"/>
      <c r="J6583" s="134"/>
    </row>
    <row r="6584" spans="4:10" x14ac:dyDescent="0.3">
      <c r="D6584" s="40"/>
      <c r="J6584" s="134"/>
    </row>
    <row r="6585" spans="4:10" x14ac:dyDescent="0.3">
      <c r="D6585" s="40"/>
      <c r="J6585" s="134"/>
    </row>
    <row r="6586" spans="4:10" x14ac:dyDescent="0.3">
      <c r="D6586" s="40"/>
      <c r="J6586" s="134"/>
    </row>
    <row r="6587" spans="4:10" x14ac:dyDescent="0.3">
      <c r="D6587" s="40"/>
      <c r="J6587" s="134"/>
    </row>
    <row r="6588" spans="4:10" x14ac:dyDescent="0.3">
      <c r="D6588" s="40"/>
      <c r="J6588" s="134"/>
    </row>
    <row r="6589" spans="4:10" x14ac:dyDescent="0.3">
      <c r="D6589" s="40"/>
      <c r="J6589" s="134"/>
    </row>
    <row r="6590" spans="4:10" x14ac:dyDescent="0.3">
      <c r="D6590" s="40"/>
      <c r="J6590" s="134"/>
    </row>
    <row r="6591" spans="4:10" x14ac:dyDescent="0.3">
      <c r="D6591" s="40"/>
      <c r="J6591" s="134"/>
    </row>
    <row r="6592" spans="4:10" x14ac:dyDescent="0.3">
      <c r="D6592" s="40"/>
      <c r="J6592" s="134"/>
    </row>
    <row r="6593" spans="4:10" x14ac:dyDescent="0.3">
      <c r="D6593" s="40"/>
      <c r="J6593" s="134"/>
    </row>
    <row r="6594" spans="4:10" x14ac:dyDescent="0.3">
      <c r="D6594" s="40"/>
      <c r="J6594" s="134"/>
    </row>
    <row r="6595" spans="4:10" x14ac:dyDescent="0.3">
      <c r="D6595" s="40"/>
      <c r="J6595" s="134"/>
    </row>
    <row r="6596" spans="4:10" x14ac:dyDescent="0.3">
      <c r="D6596" s="40"/>
      <c r="J6596" s="134"/>
    </row>
    <row r="6597" spans="4:10" x14ac:dyDescent="0.3">
      <c r="D6597" s="40"/>
      <c r="J6597" s="134"/>
    </row>
    <row r="6598" spans="4:10" x14ac:dyDescent="0.3">
      <c r="D6598" s="40"/>
      <c r="J6598" s="134"/>
    </row>
    <row r="6599" spans="4:10" x14ac:dyDescent="0.3">
      <c r="D6599" s="40"/>
      <c r="J6599" s="134"/>
    </row>
    <row r="6600" spans="4:10" x14ac:dyDescent="0.3">
      <c r="D6600" s="40"/>
      <c r="J6600" s="134"/>
    </row>
    <row r="6601" spans="4:10" x14ac:dyDescent="0.3">
      <c r="D6601" s="40"/>
      <c r="J6601" s="134"/>
    </row>
    <row r="6602" spans="4:10" x14ac:dyDescent="0.3">
      <c r="D6602" s="40"/>
      <c r="J6602" s="134"/>
    </row>
    <row r="6603" spans="4:10" x14ac:dyDescent="0.3">
      <c r="D6603" s="40"/>
      <c r="J6603" s="134"/>
    </row>
    <row r="6604" spans="4:10" x14ac:dyDescent="0.3">
      <c r="D6604" s="40"/>
      <c r="J6604" s="134"/>
    </row>
    <row r="6605" spans="4:10" x14ac:dyDescent="0.3">
      <c r="D6605" s="40"/>
      <c r="J6605" s="134"/>
    </row>
    <row r="6606" spans="4:10" x14ac:dyDescent="0.3">
      <c r="D6606" s="40"/>
      <c r="J6606" s="134"/>
    </row>
    <row r="6607" spans="4:10" x14ac:dyDescent="0.3">
      <c r="D6607" s="40"/>
      <c r="J6607" s="134"/>
    </row>
    <row r="6608" spans="4:10" x14ac:dyDescent="0.3">
      <c r="D6608" s="40"/>
      <c r="J6608" s="134"/>
    </row>
    <row r="6609" spans="4:10" x14ac:dyDescent="0.3">
      <c r="D6609" s="40"/>
      <c r="J6609" s="134"/>
    </row>
    <row r="6610" spans="4:10" x14ac:dyDescent="0.3">
      <c r="D6610" s="40"/>
      <c r="J6610" s="134"/>
    </row>
    <row r="6611" spans="4:10" x14ac:dyDescent="0.3">
      <c r="D6611" s="40"/>
      <c r="J6611" s="134"/>
    </row>
    <row r="6612" spans="4:10" x14ac:dyDescent="0.3">
      <c r="D6612" s="40"/>
      <c r="J6612" s="134"/>
    </row>
    <row r="6613" spans="4:10" x14ac:dyDescent="0.3">
      <c r="D6613" s="40"/>
      <c r="J6613" s="134"/>
    </row>
    <row r="6614" spans="4:10" x14ac:dyDescent="0.3">
      <c r="D6614" s="40"/>
      <c r="J6614" s="134"/>
    </row>
    <row r="6615" spans="4:10" x14ac:dyDescent="0.3">
      <c r="D6615" s="40"/>
      <c r="J6615" s="134"/>
    </row>
    <row r="6616" spans="4:10" x14ac:dyDescent="0.3">
      <c r="D6616" s="40"/>
      <c r="J6616" s="134"/>
    </row>
    <row r="6617" spans="4:10" x14ac:dyDescent="0.3">
      <c r="D6617" s="40"/>
      <c r="J6617" s="134"/>
    </row>
    <row r="6618" spans="4:10" x14ac:dyDescent="0.3">
      <c r="D6618" s="40"/>
      <c r="J6618" s="134"/>
    </row>
    <row r="6619" spans="4:10" x14ac:dyDescent="0.3">
      <c r="D6619" s="40"/>
      <c r="J6619" s="134"/>
    </row>
    <row r="6620" spans="4:10" x14ac:dyDescent="0.3">
      <c r="D6620" s="40"/>
      <c r="J6620" s="134"/>
    </row>
    <row r="6621" spans="4:10" x14ac:dyDescent="0.3">
      <c r="D6621" s="40"/>
      <c r="J6621" s="134"/>
    </row>
    <row r="6622" spans="4:10" x14ac:dyDescent="0.3">
      <c r="D6622" s="40"/>
      <c r="J6622" s="134"/>
    </row>
    <row r="6623" spans="4:10" x14ac:dyDescent="0.3">
      <c r="D6623" s="40"/>
      <c r="J6623" s="134"/>
    </row>
    <row r="6624" spans="4:10" x14ac:dyDescent="0.3">
      <c r="D6624" s="40"/>
      <c r="J6624" s="134"/>
    </row>
    <row r="6625" spans="4:10" x14ac:dyDescent="0.3">
      <c r="D6625" s="40"/>
      <c r="J6625" s="134"/>
    </row>
    <row r="6626" spans="4:10" x14ac:dyDescent="0.3">
      <c r="D6626" s="40"/>
      <c r="J6626" s="134"/>
    </row>
    <row r="6627" spans="4:10" x14ac:dyDescent="0.3">
      <c r="D6627" s="40"/>
      <c r="J6627" s="134"/>
    </row>
    <row r="6628" spans="4:10" x14ac:dyDescent="0.3">
      <c r="D6628" s="40"/>
      <c r="J6628" s="134"/>
    </row>
    <row r="6629" spans="4:10" x14ac:dyDescent="0.3">
      <c r="D6629" s="40"/>
      <c r="J6629" s="134"/>
    </row>
    <row r="6630" spans="4:10" x14ac:dyDescent="0.3">
      <c r="D6630" s="40"/>
      <c r="J6630" s="134"/>
    </row>
    <row r="6631" spans="4:10" x14ac:dyDescent="0.3">
      <c r="D6631" s="40"/>
      <c r="J6631" s="134"/>
    </row>
    <row r="6632" spans="4:10" x14ac:dyDescent="0.3">
      <c r="D6632" s="40"/>
      <c r="J6632" s="134"/>
    </row>
    <row r="6633" spans="4:10" x14ac:dyDescent="0.3">
      <c r="D6633" s="40"/>
      <c r="J6633" s="134"/>
    </row>
    <row r="6634" spans="4:10" x14ac:dyDescent="0.3">
      <c r="D6634" s="40"/>
      <c r="J6634" s="134"/>
    </row>
    <row r="6635" spans="4:10" x14ac:dyDescent="0.3">
      <c r="D6635" s="40"/>
      <c r="J6635" s="134"/>
    </row>
    <row r="6636" spans="4:10" x14ac:dyDescent="0.3">
      <c r="D6636" s="40"/>
      <c r="J6636" s="134"/>
    </row>
    <row r="6637" spans="4:10" x14ac:dyDescent="0.3">
      <c r="D6637" s="40"/>
      <c r="J6637" s="134"/>
    </row>
    <row r="6638" spans="4:10" x14ac:dyDescent="0.3">
      <c r="D6638" s="40"/>
      <c r="J6638" s="134"/>
    </row>
    <row r="6639" spans="4:10" x14ac:dyDescent="0.3">
      <c r="D6639" s="40"/>
      <c r="J6639" s="134"/>
    </row>
    <row r="6640" spans="4:10" x14ac:dyDescent="0.3">
      <c r="D6640" s="40"/>
      <c r="J6640" s="134"/>
    </row>
    <row r="6641" spans="4:10" x14ac:dyDescent="0.3">
      <c r="D6641" s="40"/>
      <c r="J6641" s="134"/>
    </row>
    <row r="6642" spans="4:10" x14ac:dyDescent="0.3">
      <c r="D6642" s="40"/>
      <c r="J6642" s="134"/>
    </row>
    <row r="6643" spans="4:10" x14ac:dyDescent="0.3">
      <c r="D6643" s="40"/>
      <c r="J6643" s="134"/>
    </row>
    <row r="6644" spans="4:10" x14ac:dyDescent="0.3">
      <c r="D6644" s="40"/>
      <c r="J6644" s="134"/>
    </row>
    <row r="6645" spans="4:10" x14ac:dyDescent="0.3">
      <c r="D6645" s="40"/>
      <c r="J6645" s="134"/>
    </row>
    <row r="6646" spans="4:10" x14ac:dyDescent="0.3">
      <c r="D6646" s="40"/>
      <c r="J6646" s="134"/>
    </row>
    <row r="6647" spans="4:10" x14ac:dyDescent="0.3">
      <c r="D6647" s="40"/>
      <c r="J6647" s="134"/>
    </row>
    <row r="6648" spans="4:10" x14ac:dyDescent="0.3">
      <c r="D6648" s="40"/>
      <c r="J6648" s="134"/>
    </row>
    <row r="6649" spans="4:10" x14ac:dyDescent="0.3">
      <c r="D6649" s="40"/>
      <c r="J6649" s="134"/>
    </row>
    <row r="6650" spans="4:10" x14ac:dyDescent="0.3">
      <c r="D6650" s="40"/>
      <c r="J6650" s="134"/>
    </row>
    <row r="6651" spans="4:10" x14ac:dyDescent="0.3">
      <c r="D6651" s="40"/>
      <c r="J6651" s="134"/>
    </row>
    <row r="6652" spans="4:10" x14ac:dyDescent="0.3">
      <c r="D6652" s="40"/>
      <c r="J6652" s="134"/>
    </row>
    <row r="6653" spans="4:10" x14ac:dyDescent="0.3">
      <c r="D6653" s="40"/>
      <c r="J6653" s="134"/>
    </row>
    <row r="6654" spans="4:10" x14ac:dyDescent="0.3">
      <c r="D6654" s="40"/>
      <c r="J6654" s="134"/>
    </row>
    <row r="6655" spans="4:10" x14ac:dyDescent="0.3">
      <c r="D6655" s="40"/>
      <c r="J6655" s="134"/>
    </row>
    <row r="6656" spans="4:10" x14ac:dyDescent="0.3">
      <c r="D6656" s="40"/>
      <c r="J6656" s="134"/>
    </row>
    <row r="6657" spans="4:10" x14ac:dyDescent="0.3">
      <c r="D6657" s="40"/>
      <c r="J6657" s="134"/>
    </row>
    <row r="6658" spans="4:10" x14ac:dyDescent="0.3">
      <c r="D6658" s="40"/>
      <c r="J6658" s="134"/>
    </row>
    <row r="6659" spans="4:10" x14ac:dyDescent="0.3">
      <c r="D6659" s="40"/>
      <c r="J6659" s="134"/>
    </row>
    <row r="6660" spans="4:10" x14ac:dyDescent="0.3">
      <c r="D6660" s="40"/>
      <c r="J6660" s="134"/>
    </row>
    <row r="6661" spans="4:10" x14ac:dyDescent="0.3">
      <c r="D6661" s="40"/>
      <c r="J6661" s="134"/>
    </row>
    <row r="6662" spans="4:10" x14ac:dyDescent="0.3">
      <c r="D6662" s="40"/>
      <c r="J6662" s="134"/>
    </row>
    <row r="6663" spans="4:10" x14ac:dyDescent="0.3">
      <c r="D6663" s="40"/>
      <c r="J6663" s="134"/>
    </row>
    <row r="6664" spans="4:10" x14ac:dyDescent="0.3">
      <c r="D6664" s="40"/>
      <c r="J6664" s="134"/>
    </row>
    <row r="6665" spans="4:10" x14ac:dyDescent="0.3">
      <c r="D6665" s="40"/>
      <c r="J6665" s="134"/>
    </row>
    <row r="6666" spans="4:10" x14ac:dyDescent="0.3">
      <c r="D6666" s="40"/>
      <c r="J6666" s="134"/>
    </row>
    <row r="6667" spans="4:10" x14ac:dyDescent="0.3">
      <c r="D6667" s="40"/>
      <c r="J6667" s="134"/>
    </row>
    <row r="6668" spans="4:10" x14ac:dyDescent="0.3">
      <c r="D6668" s="40"/>
      <c r="J6668" s="134"/>
    </row>
    <row r="6669" spans="4:10" x14ac:dyDescent="0.3">
      <c r="D6669" s="40"/>
      <c r="J6669" s="134"/>
    </row>
    <row r="6670" spans="4:10" x14ac:dyDescent="0.3">
      <c r="D6670" s="40"/>
      <c r="J6670" s="134"/>
    </row>
    <row r="6671" spans="4:10" x14ac:dyDescent="0.3">
      <c r="D6671" s="40"/>
      <c r="J6671" s="134"/>
    </row>
    <row r="6672" spans="4:10" x14ac:dyDescent="0.3">
      <c r="D6672" s="40"/>
      <c r="J6672" s="134"/>
    </row>
    <row r="6673" spans="4:10" x14ac:dyDescent="0.3">
      <c r="D6673" s="40"/>
      <c r="J6673" s="134"/>
    </row>
    <row r="6674" spans="4:10" x14ac:dyDescent="0.3">
      <c r="D6674" s="40"/>
      <c r="J6674" s="134"/>
    </row>
    <row r="6675" spans="4:10" x14ac:dyDescent="0.3">
      <c r="D6675" s="40"/>
      <c r="J6675" s="134"/>
    </row>
    <row r="6676" spans="4:10" x14ac:dyDescent="0.3">
      <c r="D6676" s="40"/>
      <c r="J6676" s="134"/>
    </row>
    <row r="6677" spans="4:10" x14ac:dyDescent="0.3">
      <c r="D6677" s="40"/>
      <c r="J6677" s="134"/>
    </row>
    <row r="6678" spans="4:10" x14ac:dyDescent="0.3">
      <c r="D6678" s="40"/>
      <c r="J6678" s="134"/>
    </row>
    <row r="6679" spans="4:10" x14ac:dyDescent="0.3">
      <c r="D6679" s="40"/>
      <c r="J6679" s="134"/>
    </row>
    <row r="6680" spans="4:10" x14ac:dyDescent="0.3">
      <c r="D6680" s="40"/>
      <c r="J6680" s="134"/>
    </row>
    <row r="6681" spans="4:10" x14ac:dyDescent="0.3">
      <c r="D6681" s="40"/>
      <c r="J6681" s="134"/>
    </row>
    <row r="6682" spans="4:10" x14ac:dyDescent="0.3">
      <c r="D6682" s="40"/>
      <c r="J6682" s="134"/>
    </row>
    <row r="6683" spans="4:10" x14ac:dyDescent="0.3">
      <c r="D6683" s="40"/>
      <c r="J6683" s="134"/>
    </row>
    <row r="6684" spans="4:10" x14ac:dyDescent="0.3">
      <c r="D6684" s="40"/>
      <c r="J6684" s="134"/>
    </row>
    <row r="6685" spans="4:10" x14ac:dyDescent="0.3">
      <c r="D6685" s="40"/>
      <c r="J6685" s="134"/>
    </row>
    <row r="6686" spans="4:10" x14ac:dyDescent="0.3">
      <c r="D6686" s="40"/>
      <c r="J6686" s="134"/>
    </row>
    <row r="6687" spans="4:10" x14ac:dyDescent="0.3">
      <c r="D6687" s="40"/>
      <c r="J6687" s="134"/>
    </row>
    <row r="6688" spans="4:10" x14ac:dyDescent="0.3">
      <c r="D6688" s="40"/>
      <c r="J6688" s="134"/>
    </row>
    <row r="6689" spans="4:10" x14ac:dyDescent="0.3">
      <c r="D6689" s="40"/>
      <c r="J6689" s="134"/>
    </row>
    <row r="6690" spans="4:10" x14ac:dyDescent="0.3">
      <c r="D6690" s="40"/>
      <c r="J6690" s="134"/>
    </row>
    <row r="6691" spans="4:10" x14ac:dyDescent="0.3">
      <c r="D6691" s="40"/>
      <c r="J6691" s="134"/>
    </row>
    <row r="6692" spans="4:10" x14ac:dyDescent="0.3">
      <c r="D6692" s="40"/>
      <c r="J6692" s="134"/>
    </row>
    <row r="6693" spans="4:10" x14ac:dyDescent="0.3">
      <c r="D6693" s="40"/>
      <c r="J6693" s="134"/>
    </row>
    <row r="6694" spans="4:10" x14ac:dyDescent="0.3">
      <c r="D6694" s="40"/>
      <c r="J6694" s="134"/>
    </row>
    <row r="6695" spans="4:10" x14ac:dyDescent="0.3">
      <c r="D6695" s="40"/>
      <c r="J6695" s="134"/>
    </row>
    <row r="6696" spans="4:10" x14ac:dyDescent="0.3">
      <c r="D6696" s="40"/>
      <c r="J6696" s="134"/>
    </row>
    <row r="6697" spans="4:10" x14ac:dyDescent="0.3">
      <c r="D6697" s="40"/>
      <c r="J6697" s="134"/>
    </row>
    <row r="6698" spans="4:10" x14ac:dyDescent="0.3">
      <c r="D6698" s="40"/>
      <c r="J6698" s="134"/>
    </row>
    <row r="6699" spans="4:10" x14ac:dyDescent="0.3">
      <c r="D6699" s="40"/>
      <c r="J6699" s="134"/>
    </row>
    <row r="6700" spans="4:10" x14ac:dyDescent="0.3">
      <c r="D6700" s="40"/>
      <c r="J6700" s="134"/>
    </row>
    <row r="6701" spans="4:10" x14ac:dyDescent="0.3">
      <c r="D6701" s="40"/>
      <c r="J6701" s="134"/>
    </row>
    <row r="6702" spans="4:10" x14ac:dyDescent="0.3">
      <c r="D6702" s="40"/>
      <c r="J6702" s="134"/>
    </row>
    <row r="6703" spans="4:10" x14ac:dyDescent="0.3">
      <c r="D6703" s="40"/>
      <c r="J6703" s="134"/>
    </row>
    <row r="6704" spans="4:10" x14ac:dyDescent="0.3">
      <c r="D6704" s="40"/>
      <c r="J6704" s="134"/>
    </row>
    <row r="6705" spans="4:10" x14ac:dyDescent="0.3">
      <c r="D6705" s="40"/>
      <c r="J6705" s="134"/>
    </row>
    <row r="6706" spans="4:10" x14ac:dyDescent="0.3">
      <c r="D6706" s="40"/>
      <c r="J6706" s="134"/>
    </row>
    <row r="6707" spans="4:10" x14ac:dyDescent="0.3">
      <c r="D6707" s="40"/>
      <c r="J6707" s="134"/>
    </row>
    <row r="6708" spans="4:10" x14ac:dyDescent="0.3">
      <c r="D6708" s="40"/>
      <c r="J6708" s="134"/>
    </row>
    <row r="6709" spans="4:10" x14ac:dyDescent="0.3">
      <c r="D6709" s="40"/>
      <c r="J6709" s="134"/>
    </row>
    <row r="6710" spans="4:10" x14ac:dyDescent="0.3">
      <c r="D6710" s="40"/>
      <c r="J6710" s="134"/>
    </row>
    <row r="6711" spans="4:10" x14ac:dyDescent="0.3">
      <c r="D6711" s="40"/>
      <c r="J6711" s="134"/>
    </row>
    <row r="6712" spans="4:10" x14ac:dyDescent="0.3">
      <c r="D6712" s="40"/>
      <c r="J6712" s="134"/>
    </row>
    <row r="6713" spans="4:10" x14ac:dyDescent="0.3">
      <c r="D6713" s="40"/>
      <c r="J6713" s="134"/>
    </row>
    <row r="6714" spans="4:10" x14ac:dyDescent="0.3">
      <c r="D6714" s="40"/>
      <c r="J6714" s="134"/>
    </row>
    <row r="6715" spans="4:10" x14ac:dyDescent="0.3">
      <c r="D6715" s="40"/>
      <c r="J6715" s="134"/>
    </row>
    <row r="6716" spans="4:10" x14ac:dyDescent="0.3">
      <c r="D6716" s="40"/>
      <c r="J6716" s="134"/>
    </row>
    <row r="6717" spans="4:10" x14ac:dyDescent="0.3">
      <c r="D6717" s="40"/>
      <c r="J6717" s="134"/>
    </row>
    <row r="6718" spans="4:10" x14ac:dyDescent="0.3">
      <c r="D6718" s="40"/>
      <c r="J6718" s="134"/>
    </row>
    <row r="6719" spans="4:10" x14ac:dyDescent="0.3">
      <c r="D6719" s="40"/>
      <c r="J6719" s="134"/>
    </row>
    <row r="6720" spans="4:10" x14ac:dyDescent="0.3">
      <c r="D6720" s="40"/>
      <c r="J6720" s="134"/>
    </row>
    <row r="6721" spans="4:10" x14ac:dyDescent="0.3">
      <c r="D6721" s="40"/>
      <c r="J6721" s="134"/>
    </row>
    <row r="6722" spans="4:10" x14ac:dyDescent="0.3">
      <c r="D6722" s="40"/>
      <c r="J6722" s="134"/>
    </row>
    <row r="6723" spans="4:10" x14ac:dyDescent="0.3">
      <c r="D6723" s="40"/>
      <c r="J6723" s="134"/>
    </row>
    <row r="6724" spans="4:10" x14ac:dyDescent="0.3">
      <c r="D6724" s="40"/>
      <c r="J6724" s="134"/>
    </row>
    <row r="6725" spans="4:10" x14ac:dyDescent="0.3">
      <c r="D6725" s="40"/>
      <c r="J6725" s="134"/>
    </row>
    <row r="6726" spans="4:10" x14ac:dyDescent="0.3">
      <c r="D6726" s="40"/>
      <c r="J6726" s="134"/>
    </row>
    <row r="6727" spans="4:10" x14ac:dyDescent="0.3">
      <c r="D6727" s="40"/>
      <c r="J6727" s="134"/>
    </row>
    <row r="6728" spans="4:10" x14ac:dyDescent="0.3">
      <c r="D6728" s="40"/>
      <c r="J6728" s="134"/>
    </row>
    <row r="6729" spans="4:10" x14ac:dyDescent="0.3">
      <c r="D6729" s="40"/>
      <c r="J6729" s="134"/>
    </row>
    <row r="6730" spans="4:10" x14ac:dyDescent="0.3">
      <c r="D6730" s="40"/>
      <c r="J6730" s="134"/>
    </row>
    <row r="6731" spans="4:10" x14ac:dyDescent="0.3">
      <c r="D6731" s="40"/>
      <c r="J6731" s="134"/>
    </row>
    <row r="6732" spans="4:10" x14ac:dyDescent="0.3">
      <c r="D6732" s="40"/>
      <c r="J6732" s="134"/>
    </row>
    <row r="6733" spans="4:10" x14ac:dyDescent="0.3">
      <c r="D6733" s="40"/>
      <c r="J6733" s="134"/>
    </row>
    <row r="6734" spans="4:10" x14ac:dyDescent="0.3">
      <c r="D6734" s="40"/>
      <c r="J6734" s="134"/>
    </row>
    <row r="6735" spans="4:10" x14ac:dyDescent="0.3">
      <c r="D6735" s="40"/>
      <c r="J6735" s="134"/>
    </row>
    <row r="6736" spans="4:10" x14ac:dyDescent="0.3">
      <c r="D6736" s="40"/>
      <c r="J6736" s="134"/>
    </row>
    <row r="6737" spans="4:10" x14ac:dyDescent="0.3">
      <c r="D6737" s="40"/>
      <c r="J6737" s="134"/>
    </row>
    <row r="6738" spans="4:10" x14ac:dyDescent="0.3">
      <c r="D6738" s="40"/>
      <c r="J6738" s="134"/>
    </row>
    <row r="6739" spans="4:10" x14ac:dyDescent="0.3">
      <c r="D6739" s="40"/>
      <c r="J6739" s="134"/>
    </row>
    <row r="6740" spans="4:10" x14ac:dyDescent="0.3">
      <c r="D6740" s="40"/>
      <c r="J6740" s="134"/>
    </row>
    <row r="6741" spans="4:10" x14ac:dyDescent="0.3">
      <c r="D6741" s="40"/>
      <c r="J6741" s="134"/>
    </row>
    <row r="6742" spans="4:10" x14ac:dyDescent="0.3">
      <c r="D6742" s="40"/>
      <c r="J6742" s="134"/>
    </row>
    <row r="6743" spans="4:10" x14ac:dyDescent="0.3">
      <c r="D6743" s="40"/>
      <c r="J6743" s="134"/>
    </row>
    <row r="6744" spans="4:10" x14ac:dyDescent="0.3">
      <c r="D6744" s="40"/>
      <c r="J6744" s="134"/>
    </row>
    <row r="6745" spans="4:10" x14ac:dyDescent="0.3">
      <c r="D6745" s="40"/>
      <c r="J6745" s="134"/>
    </row>
    <row r="6746" spans="4:10" x14ac:dyDescent="0.3">
      <c r="D6746" s="40"/>
      <c r="J6746" s="134"/>
    </row>
    <row r="6747" spans="4:10" x14ac:dyDescent="0.3">
      <c r="D6747" s="40"/>
      <c r="J6747" s="134"/>
    </row>
    <row r="6748" spans="4:10" x14ac:dyDescent="0.3">
      <c r="D6748" s="40"/>
      <c r="J6748" s="134"/>
    </row>
    <row r="6749" spans="4:10" x14ac:dyDescent="0.3">
      <c r="D6749" s="40"/>
      <c r="J6749" s="134"/>
    </row>
    <row r="6750" spans="4:10" x14ac:dyDescent="0.3">
      <c r="D6750" s="40"/>
      <c r="J6750" s="134"/>
    </row>
    <row r="6751" spans="4:10" x14ac:dyDescent="0.3">
      <c r="D6751" s="40"/>
      <c r="J6751" s="134"/>
    </row>
    <row r="6752" spans="4:10" x14ac:dyDescent="0.3">
      <c r="D6752" s="40"/>
      <c r="J6752" s="134"/>
    </row>
    <row r="6753" spans="4:10" x14ac:dyDescent="0.3">
      <c r="D6753" s="40"/>
      <c r="J6753" s="134"/>
    </row>
    <row r="6754" spans="4:10" x14ac:dyDescent="0.3">
      <c r="D6754" s="40"/>
      <c r="J6754" s="134"/>
    </row>
    <row r="6755" spans="4:10" x14ac:dyDescent="0.3">
      <c r="D6755" s="40"/>
      <c r="J6755" s="134"/>
    </row>
    <row r="6756" spans="4:10" x14ac:dyDescent="0.3">
      <c r="D6756" s="40"/>
      <c r="J6756" s="134"/>
    </row>
    <row r="6757" spans="4:10" x14ac:dyDescent="0.3">
      <c r="D6757" s="40"/>
      <c r="J6757" s="134"/>
    </row>
    <row r="6758" spans="4:10" x14ac:dyDescent="0.3">
      <c r="D6758" s="40"/>
      <c r="J6758" s="134"/>
    </row>
    <row r="6759" spans="4:10" x14ac:dyDescent="0.3">
      <c r="D6759" s="40"/>
      <c r="J6759" s="134"/>
    </row>
    <row r="6760" spans="4:10" x14ac:dyDescent="0.3">
      <c r="D6760" s="40"/>
      <c r="J6760" s="134"/>
    </row>
    <row r="6761" spans="4:10" x14ac:dyDescent="0.3">
      <c r="D6761" s="40"/>
      <c r="J6761" s="134"/>
    </row>
    <row r="6762" spans="4:10" x14ac:dyDescent="0.3">
      <c r="D6762" s="40"/>
      <c r="J6762" s="134"/>
    </row>
    <row r="6763" spans="4:10" x14ac:dyDescent="0.3">
      <c r="D6763" s="40"/>
      <c r="J6763" s="134"/>
    </row>
    <row r="6764" spans="4:10" x14ac:dyDescent="0.3">
      <c r="D6764" s="40"/>
      <c r="J6764" s="134"/>
    </row>
    <row r="6765" spans="4:10" x14ac:dyDescent="0.3">
      <c r="D6765" s="40"/>
      <c r="J6765" s="134"/>
    </row>
    <row r="6766" spans="4:10" x14ac:dyDescent="0.3">
      <c r="D6766" s="40"/>
      <c r="J6766" s="134"/>
    </row>
    <row r="6767" spans="4:10" x14ac:dyDescent="0.3">
      <c r="D6767" s="40"/>
      <c r="J6767" s="134"/>
    </row>
    <row r="6768" spans="4:10" x14ac:dyDescent="0.3">
      <c r="D6768" s="40"/>
      <c r="J6768" s="134"/>
    </row>
    <row r="6769" spans="4:10" x14ac:dyDescent="0.3">
      <c r="D6769" s="40"/>
      <c r="J6769" s="134"/>
    </row>
    <row r="6770" spans="4:10" x14ac:dyDescent="0.3">
      <c r="D6770" s="40"/>
      <c r="J6770" s="134"/>
    </row>
    <row r="6771" spans="4:10" x14ac:dyDescent="0.3">
      <c r="D6771" s="40"/>
      <c r="J6771" s="134"/>
    </row>
    <row r="6772" spans="4:10" x14ac:dyDescent="0.3">
      <c r="D6772" s="40"/>
      <c r="J6772" s="134"/>
    </row>
    <row r="6773" spans="4:10" x14ac:dyDescent="0.3">
      <c r="D6773" s="40"/>
      <c r="J6773" s="134"/>
    </row>
    <row r="6774" spans="4:10" x14ac:dyDescent="0.3">
      <c r="D6774" s="40"/>
      <c r="J6774" s="134"/>
    </row>
    <row r="6775" spans="4:10" x14ac:dyDescent="0.3">
      <c r="D6775" s="40"/>
      <c r="J6775" s="134"/>
    </row>
    <row r="6776" spans="4:10" x14ac:dyDescent="0.3">
      <c r="D6776" s="40"/>
      <c r="J6776" s="134"/>
    </row>
    <row r="6777" spans="4:10" x14ac:dyDescent="0.3">
      <c r="D6777" s="40"/>
      <c r="J6777" s="134"/>
    </row>
    <row r="6778" spans="4:10" x14ac:dyDescent="0.3">
      <c r="D6778" s="40"/>
      <c r="J6778" s="134"/>
    </row>
    <row r="6779" spans="4:10" x14ac:dyDescent="0.3">
      <c r="D6779" s="40"/>
      <c r="J6779" s="134"/>
    </row>
    <row r="6780" spans="4:10" x14ac:dyDescent="0.3">
      <c r="D6780" s="40"/>
      <c r="J6780" s="134"/>
    </row>
    <row r="6781" spans="4:10" x14ac:dyDescent="0.3">
      <c r="D6781" s="40"/>
      <c r="J6781" s="134"/>
    </row>
    <row r="6782" spans="4:10" x14ac:dyDescent="0.3">
      <c r="D6782" s="40"/>
      <c r="J6782" s="134"/>
    </row>
    <row r="6783" spans="4:10" x14ac:dyDescent="0.3">
      <c r="D6783" s="40"/>
      <c r="J6783" s="134"/>
    </row>
    <row r="6784" spans="4:10" x14ac:dyDescent="0.3">
      <c r="D6784" s="40"/>
      <c r="J6784" s="134"/>
    </row>
    <row r="6785" spans="4:10" x14ac:dyDescent="0.3">
      <c r="D6785" s="40"/>
      <c r="J6785" s="134"/>
    </row>
    <row r="6786" spans="4:10" x14ac:dyDescent="0.3">
      <c r="D6786" s="40"/>
      <c r="J6786" s="134"/>
    </row>
    <row r="6787" spans="4:10" x14ac:dyDescent="0.3">
      <c r="D6787" s="40"/>
      <c r="J6787" s="134"/>
    </row>
    <row r="6788" spans="4:10" x14ac:dyDescent="0.3">
      <c r="D6788" s="40"/>
      <c r="J6788" s="134"/>
    </row>
    <row r="6789" spans="4:10" x14ac:dyDescent="0.3">
      <c r="D6789" s="40"/>
      <c r="J6789" s="134"/>
    </row>
    <row r="6790" spans="4:10" x14ac:dyDescent="0.3">
      <c r="D6790" s="40"/>
      <c r="J6790" s="134"/>
    </row>
    <row r="6791" spans="4:10" x14ac:dyDescent="0.3">
      <c r="D6791" s="40"/>
      <c r="J6791" s="134"/>
    </row>
    <row r="6792" spans="4:10" x14ac:dyDescent="0.3">
      <c r="D6792" s="40"/>
      <c r="J6792" s="134"/>
    </row>
    <row r="6793" spans="4:10" x14ac:dyDescent="0.3">
      <c r="D6793" s="40"/>
      <c r="J6793" s="134"/>
    </row>
    <row r="6794" spans="4:10" x14ac:dyDescent="0.3">
      <c r="D6794" s="40"/>
      <c r="J6794" s="134"/>
    </row>
    <row r="6795" spans="4:10" x14ac:dyDescent="0.3">
      <c r="D6795" s="40"/>
      <c r="J6795" s="134"/>
    </row>
    <row r="6796" spans="4:10" x14ac:dyDescent="0.3">
      <c r="D6796" s="40"/>
      <c r="J6796" s="134"/>
    </row>
    <row r="6797" spans="4:10" x14ac:dyDescent="0.3">
      <c r="D6797" s="40"/>
      <c r="J6797" s="134"/>
    </row>
    <row r="6798" spans="4:10" x14ac:dyDescent="0.3">
      <c r="D6798" s="40"/>
      <c r="J6798" s="134"/>
    </row>
    <row r="6799" spans="4:10" x14ac:dyDescent="0.3">
      <c r="D6799" s="40"/>
      <c r="J6799" s="134"/>
    </row>
    <row r="6800" spans="4:10" x14ac:dyDescent="0.3">
      <c r="D6800" s="40"/>
      <c r="J6800" s="134"/>
    </row>
    <row r="6801" spans="4:10" x14ac:dyDescent="0.3">
      <c r="D6801" s="40"/>
      <c r="J6801" s="134"/>
    </row>
    <row r="6802" spans="4:10" x14ac:dyDescent="0.3">
      <c r="D6802" s="40"/>
      <c r="J6802" s="134"/>
    </row>
    <row r="6803" spans="4:10" x14ac:dyDescent="0.3">
      <c r="D6803" s="40"/>
      <c r="J6803" s="134"/>
    </row>
    <row r="6804" spans="4:10" x14ac:dyDescent="0.3">
      <c r="D6804" s="40"/>
      <c r="J6804" s="134"/>
    </row>
    <row r="6805" spans="4:10" x14ac:dyDescent="0.3">
      <c r="D6805" s="40"/>
      <c r="J6805" s="134"/>
    </row>
    <row r="6806" spans="4:10" x14ac:dyDescent="0.3">
      <c r="D6806" s="40"/>
      <c r="J6806" s="134"/>
    </row>
    <row r="6807" spans="4:10" x14ac:dyDescent="0.3">
      <c r="D6807" s="40"/>
      <c r="J6807" s="134"/>
    </row>
    <row r="6808" spans="4:10" x14ac:dyDescent="0.3">
      <c r="D6808" s="40"/>
      <c r="J6808" s="134"/>
    </row>
    <row r="6809" spans="4:10" x14ac:dyDescent="0.3">
      <c r="D6809" s="40"/>
      <c r="J6809" s="134"/>
    </row>
    <row r="6810" spans="4:10" x14ac:dyDescent="0.3">
      <c r="D6810" s="40"/>
      <c r="J6810" s="134"/>
    </row>
    <row r="6811" spans="4:10" x14ac:dyDescent="0.3">
      <c r="D6811" s="40"/>
      <c r="J6811" s="134"/>
    </row>
    <row r="6812" spans="4:10" x14ac:dyDescent="0.3">
      <c r="D6812" s="40"/>
      <c r="J6812" s="134"/>
    </row>
    <row r="6813" spans="4:10" x14ac:dyDescent="0.3">
      <c r="D6813" s="40"/>
      <c r="J6813" s="134"/>
    </row>
    <row r="6814" spans="4:10" x14ac:dyDescent="0.3">
      <c r="D6814" s="40"/>
      <c r="J6814" s="134"/>
    </row>
    <row r="6815" spans="4:10" x14ac:dyDescent="0.3">
      <c r="D6815" s="40"/>
      <c r="J6815" s="134"/>
    </row>
    <row r="6816" spans="4:10" x14ac:dyDescent="0.3">
      <c r="D6816" s="40"/>
      <c r="J6816" s="134"/>
    </row>
    <row r="6817" spans="4:10" x14ac:dyDescent="0.3">
      <c r="D6817" s="40"/>
      <c r="J6817" s="134"/>
    </row>
    <row r="6818" spans="4:10" x14ac:dyDescent="0.3">
      <c r="D6818" s="40"/>
      <c r="J6818" s="134"/>
    </row>
    <row r="6819" spans="4:10" x14ac:dyDescent="0.3">
      <c r="D6819" s="40"/>
      <c r="J6819" s="134"/>
    </row>
    <row r="6820" spans="4:10" x14ac:dyDescent="0.3">
      <c r="D6820" s="40"/>
      <c r="J6820" s="134"/>
    </row>
    <row r="6821" spans="4:10" x14ac:dyDescent="0.3">
      <c r="D6821" s="40"/>
      <c r="J6821" s="134"/>
    </row>
    <row r="6822" spans="4:10" x14ac:dyDescent="0.3">
      <c r="D6822" s="40"/>
      <c r="J6822" s="134"/>
    </row>
    <row r="6823" spans="4:10" x14ac:dyDescent="0.3">
      <c r="D6823" s="40"/>
      <c r="J6823" s="134"/>
    </row>
    <row r="6824" spans="4:10" x14ac:dyDescent="0.3">
      <c r="D6824" s="40"/>
      <c r="J6824" s="134"/>
    </row>
    <row r="6825" spans="4:10" x14ac:dyDescent="0.3">
      <c r="D6825" s="40"/>
      <c r="J6825" s="134"/>
    </row>
    <row r="6826" spans="4:10" x14ac:dyDescent="0.3">
      <c r="D6826" s="40"/>
      <c r="J6826" s="134"/>
    </row>
    <row r="6827" spans="4:10" x14ac:dyDescent="0.3">
      <c r="D6827" s="40"/>
      <c r="J6827" s="134"/>
    </row>
    <row r="6828" spans="4:10" x14ac:dyDescent="0.3">
      <c r="D6828" s="40"/>
      <c r="J6828" s="134"/>
    </row>
    <row r="6829" spans="4:10" x14ac:dyDescent="0.3">
      <c r="D6829" s="40"/>
      <c r="J6829" s="134"/>
    </row>
    <row r="6830" spans="4:10" x14ac:dyDescent="0.3">
      <c r="D6830" s="40"/>
      <c r="J6830" s="134"/>
    </row>
    <row r="6831" spans="4:10" x14ac:dyDescent="0.3">
      <c r="D6831" s="40"/>
      <c r="J6831" s="134"/>
    </row>
    <row r="6832" spans="4:10" x14ac:dyDescent="0.3">
      <c r="D6832" s="40"/>
      <c r="J6832" s="134"/>
    </row>
    <row r="6833" spans="4:10" x14ac:dyDescent="0.3">
      <c r="D6833" s="40"/>
      <c r="J6833" s="134"/>
    </row>
    <row r="6834" spans="4:10" x14ac:dyDescent="0.3">
      <c r="D6834" s="40"/>
      <c r="J6834" s="134"/>
    </row>
    <row r="6835" spans="4:10" x14ac:dyDescent="0.3">
      <c r="D6835" s="40"/>
      <c r="J6835" s="134"/>
    </row>
    <row r="6836" spans="4:10" x14ac:dyDescent="0.3">
      <c r="D6836" s="40"/>
      <c r="J6836" s="134"/>
    </row>
    <row r="6837" spans="4:10" x14ac:dyDescent="0.3">
      <c r="D6837" s="40"/>
      <c r="J6837" s="134"/>
    </row>
    <row r="6838" spans="4:10" x14ac:dyDescent="0.3">
      <c r="D6838" s="40"/>
      <c r="J6838" s="134"/>
    </row>
    <row r="6839" spans="4:10" x14ac:dyDescent="0.3">
      <c r="D6839" s="40"/>
      <c r="J6839" s="134"/>
    </row>
    <row r="6840" spans="4:10" x14ac:dyDescent="0.3">
      <c r="D6840" s="40"/>
      <c r="J6840" s="134"/>
    </row>
    <row r="6841" spans="4:10" x14ac:dyDescent="0.3">
      <c r="D6841" s="40"/>
      <c r="J6841" s="134"/>
    </row>
    <row r="6842" spans="4:10" x14ac:dyDescent="0.3">
      <c r="D6842" s="40"/>
      <c r="J6842" s="134"/>
    </row>
    <row r="6843" spans="4:10" x14ac:dyDescent="0.3">
      <c r="D6843" s="40"/>
      <c r="J6843" s="134"/>
    </row>
    <row r="6844" spans="4:10" x14ac:dyDescent="0.3">
      <c r="D6844" s="40"/>
      <c r="J6844" s="134"/>
    </row>
    <row r="6845" spans="4:10" x14ac:dyDescent="0.3">
      <c r="D6845" s="40"/>
      <c r="J6845" s="134"/>
    </row>
    <row r="6846" spans="4:10" x14ac:dyDescent="0.3">
      <c r="D6846" s="40"/>
      <c r="J6846" s="134"/>
    </row>
    <row r="6847" spans="4:10" x14ac:dyDescent="0.3">
      <c r="D6847" s="40"/>
      <c r="J6847" s="134"/>
    </row>
    <row r="6848" spans="4:10" x14ac:dyDescent="0.3">
      <c r="D6848" s="40"/>
      <c r="J6848" s="134"/>
    </row>
    <row r="6849" spans="4:10" x14ac:dyDescent="0.3">
      <c r="D6849" s="40"/>
      <c r="J6849" s="134"/>
    </row>
    <row r="6850" spans="4:10" x14ac:dyDescent="0.3">
      <c r="D6850" s="40"/>
      <c r="J6850" s="134"/>
    </row>
    <row r="6851" spans="4:10" x14ac:dyDescent="0.3">
      <c r="D6851" s="40"/>
      <c r="J6851" s="134"/>
    </row>
    <row r="6852" spans="4:10" x14ac:dyDescent="0.3">
      <c r="D6852" s="40"/>
      <c r="J6852" s="134"/>
    </row>
    <row r="6853" spans="4:10" x14ac:dyDescent="0.3">
      <c r="D6853" s="40"/>
      <c r="J6853" s="134"/>
    </row>
    <row r="6854" spans="4:10" x14ac:dyDescent="0.3">
      <c r="D6854" s="40"/>
      <c r="J6854" s="134"/>
    </row>
    <row r="6855" spans="4:10" x14ac:dyDescent="0.3">
      <c r="D6855" s="40"/>
      <c r="J6855" s="134"/>
    </row>
    <row r="6856" spans="4:10" x14ac:dyDescent="0.3">
      <c r="D6856" s="40"/>
      <c r="J6856" s="134"/>
    </row>
    <row r="6857" spans="4:10" x14ac:dyDescent="0.3">
      <c r="D6857" s="40"/>
      <c r="J6857" s="134"/>
    </row>
    <row r="6858" spans="4:10" x14ac:dyDescent="0.3">
      <c r="D6858" s="40"/>
      <c r="J6858" s="134"/>
    </row>
    <row r="6859" spans="4:10" x14ac:dyDescent="0.3">
      <c r="D6859" s="40"/>
      <c r="J6859" s="134"/>
    </row>
    <row r="6860" spans="4:10" x14ac:dyDescent="0.3">
      <c r="D6860" s="40"/>
      <c r="J6860" s="134"/>
    </row>
    <row r="6861" spans="4:10" x14ac:dyDescent="0.3">
      <c r="D6861" s="40"/>
      <c r="J6861" s="134"/>
    </row>
    <row r="6862" spans="4:10" x14ac:dyDescent="0.3">
      <c r="D6862" s="40"/>
      <c r="J6862" s="134"/>
    </row>
    <row r="6863" spans="4:10" x14ac:dyDescent="0.3">
      <c r="D6863" s="40"/>
      <c r="J6863" s="134"/>
    </row>
    <row r="6864" spans="4:10" x14ac:dyDescent="0.3">
      <c r="D6864" s="40"/>
      <c r="J6864" s="134"/>
    </row>
    <row r="6865" spans="4:10" x14ac:dyDescent="0.3">
      <c r="D6865" s="40"/>
      <c r="J6865" s="134"/>
    </row>
    <row r="6866" spans="4:10" x14ac:dyDescent="0.3">
      <c r="D6866" s="40"/>
      <c r="J6866" s="134"/>
    </row>
    <row r="6867" spans="4:10" x14ac:dyDescent="0.3">
      <c r="D6867" s="40"/>
      <c r="J6867" s="134"/>
    </row>
    <row r="6868" spans="4:10" x14ac:dyDescent="0.3">
      <c r="D6868" s="40"/>
      <c r="J6868" s="134"/>
    </row>
    <row r="6869" spans="4:10" x14ac:dyDescent="0.3">
      <c r="D6869" s="40"/>
      <c r="J6869" s="134"/>
    </row>
    <row r="6870" spans="4:10" x14ac:dyDescent="0.3">
      <c r="D6870" s="40"/>
      <c r="J6870" s="134"/>
    </row>
    <row r="6871" spans="4:10" x14ac:dyDescent="0.3">
      <c r="D6871" s="40"/>
      <c r="J6871" s="134"/>
    </row>
    <row r="6872" spans="4:10" x14ac:dyDescent="0.3">
      <c r="D6872" s="40"/>
      <c r="J6872" s="134"/>
    </row>
    <row r="6873" spans="4:10" x14ac:dyDescent="0.3">
      <c r="D6873" s="40"/>
      <c r="J6873" s="134"/>
    </row>
    <row r="6874" spans="4:10" x14ac:dyDescent="0.3">
      <c r="D6874" s="40"/>
      <c r="J6874" s="134"/>
    </row>
    <row r="6875" spans="4:10" x14ac:dyDescent="0.3">
      <c r="D6875" s="40"/>
      <c r="J6875" s="134"/>
    </row>
    <row r="6876" spans="4:10" x14ac:dyDescent="0.3">
      <c r="D6876" s="40"/>
      <c r="J6876" s="134"/>
    </row>
    <row r="6877" spans="4:10" x14ac:dyDescent="0.3">
      <c r="D6877" s="40"/>
      <c r="J6877" s="134"/>
    </row>
    <row r="6878" spans="4:10" x14ac:dyDescent="0.3">
      <c r="D6878" s="40"/>
      <c r="J6878" s="134"/>
    </row>
    <row r="6879" spans="4:10" x14ac:dyDescent="0.3">
      <c r="D6879" s="40"/>
      <c r="J6879" s="134"/>
    </row>
    <row r="6880" spans="4:10" x14ac:dyDescent="0.3">
      <c r="D6880" s="40"/>
      <c r="J6880" s="134"/>
    </row>
    <row r="6881" spans="4:10" x14ac:dyDescent="0.3">
      <c r="D6881" s="40"/>
      <c r="J6881" s="134"/>
    </row>
    <row r="6882" spans="4:10" x14ac:dyDescent="0.3">
      <c r="D6882" s="40"/>
      <c r="J6882" s="134"/>
    </row>
    <row r="6883" spans="4:10" x14ac:dyDescent="0.3">
      <c r="D6883" s="40"/>
      <c r="J6883" s="134"/>
    </row>
    <row r="6884" spans="4:10" x14ac:dyDescent="0.3">
      <c r="D6884" s="40"/>
      <c r="J6884" s="134"/>
    </row>
    <row r="6885" spans="4:10" x14ac:dyDescent="0.3">
      <c r="D6885" s="40"/>
      <c r="J6885" s="134"/>
    </row>
    <row r="6886" spans="4:10" x14ac:dyDescent="0.3">
      <c r="D6886" s="40"/>
      <c r="J6886" s="134"/>
    </row>
    <row r="6887" spans="4:10" x14ac:dyDescent="0.3">
      <c r="D6887" s="40"/>
      <c r="J6887" s="134"/>
    </row>
    <row r="6888" spans="4:10" x14ac:dyDescent="0.3">
      <c r="D6888" s="40"/>
      <c r="J6888" s="134"/>
    </row>
    <row r="6889" spans="4:10" x14ac:dyDescent="0.3">
      <c r="D6889" s="40"/>
      <c r="J6889" s="134"/>
    </row>
    <row r="6890" spans="4:10" x14ac:dyDescent="0.3">
      <c r="D6890" s="40"/>
      <c r="J6890" s="134"/>
    </row>
    <row r="6891" spans="4:10" x14ac:dyDescent="0.3">
      <c r="D6891" s="40"/>
      <c r="J6891" s="134"/>
    </row>
    <row r="6892" spans="4:10" x14ac:dyDescent="0.3">
      <c r="D6892" s="40"/>
      <c r="J6892" s="134"/>
    </row>
    <row r="6893" spans="4:10" x14ac:dyDescent="0.3">
      <c r="D6893" s="40"/>
      <c r="J6893" s="134"/>
    </row>
    <row r="6894" spans="4:10" x14ac:dyDescent="0.3">
      <c r="D6894" s="40"/>
      <c r="J6894" s="134"/>
    </row>
    <row r="6895" spans="4:10" x14ac:dyDescent="0.3">
      <c r="D6895" s="40"/>
      <c r="J6895" s="134"/>
    </row>
    <row r="6896" spans="4:10" x14ac:dyDescent="0.3">
      <c r="D6896" s="40"/>
      <c r="J6896" s="134"/>
    </row>
    <row r="6897" spans="4:10" x14ac:dyDescent="0.3">
      <c r="D6897" s="40"/>
      <c r="J6897" s="134"/>
    </row>
    <row r="6898" spans="4:10" x14ac:dyDescent="0.3">
      <c r="D6898" s="40"/>
      <c r="J6898" s="134"/>
    </row>
    <row r="6899" spans="4:10" x14ac:dyDescent="0.3">
      <c r="D6899" s="40"/>
      <c r="J6899" s="134"/>
    </row>
    <row r="6900" spans="4:10" x14ac:dyDescent="0.3">
      <c r="D6900" s="40"/>
      <c r="J6900" s="134"/>
    </row>
    <row r="6901" spans="4:10" x14ac:dyDescent="0.3">
      <c r="D6901" s="40"/>
      <c r="J6901" s="134"/>
    </row>
    <row r="6902" spans="4:10" x14ac:dyDescent="0.3">
      <c r="D6902" s="40"/>
      <c r="J6902" s="134"/>
    </row>
    <row r="6903" spans="4:10" x14ac:dyDescent="0.3">
      <c r="D6903" s="40"/>
      <c r="J6903" s="134"/>
    </row>
    <row r="6904" spans="4:10" x14ac:dyDescent="0.3">
      <c r="D6904" s="40"/>
      <c r="J6904" s="134"/>
    </row>
    <row r="6905" spans="4:10" x14ac:dyDescent="0.3">
      <c r="D6905" s="40"/>
      <c r="J6905" s="134"/>
    </row>
    <row r="6906" spans="4:10" x14ac:dyDescent="0.3">
      <c r="D6906" s="40"/>
      <c r="J6906" s="134"/>
    </row>
    <row r="6907" spans="4:10" x14ac:dyDescent="0.3">
      <c r="D6907" s="40"/>
      <c r="J6907" s="134"/>
    </row>
    <row r="6908" spans="4:10" x14ac:dyDescent="0.3">
      <c r="D6908" s="40"/>
      <c r="J6908" s="134"/>
    </row>
    <row r="6909" spans="4:10" x14ac:dyDescent="0.3">
      <c r="D6909" s="40"/>
      <c r="J6909" s="134"/>
    </row>
    <row r="6910" spans="4:10" x14ac:dyDescent="0.3">
      <c r="D6910" s="40"/>
      <c r="J6910" s="134"/>
    </row>
    <row r="6911" spans="4:10" x14ac:dyDescent="0.3">
      <c r="D6911" s="40"/>
      <c r="J6911" s="134"/>
    </row>
    <row r="6912" spans="4:10" x14ac:dyDescent="0.3">
      <c r="D6912" s="40"/>
      <c r="J6912" s="134"/>
    </row>
    <row r="6913" spans="4:10" x14ac:dyDescent="0.3">
      <c r="D6913" s="40"/>
      <c r="J6913" s="134"/>
    </row>
    <row r="6914" spans="4:10" x14ac:dyDescent="0.3">
      <c r="D6914" s="40"/>
      <c r="J6914" s="134"/>
    </row>
    <row r="6915" spans="4:10" x14ac:dyDescent="0.3">
      <c r="D6915" s="40"/>
      <c r="J6915" s="134"/>
    </row>
    <row r="6916" spans="4:10" x14ac:dyDescent="0.3">
      <c r="D6916" s="40"/>
      <c r="J6916" s="134"/>
    </row>
    <row r="6917" spans="4:10" x14ac:dyDescent="0.3">
      <c r="D6917" s="40"/>
      <c r="J6917" s="134"/>
    </row>
    <row r="6918" spans="4:10" x14ac:dyDescent="0.3">
      <c r="D6918" s="40"/>
      <c r="J6918" s="134"/>
    </row>
    <row r="6919" spans="4:10" x14ac:dyDescent="0.3">
      <c r="D6919" s="40"/>
      <c r="J6919" s="134"/>
    </row>
    <row r="6920" spans="4:10" x14ac:dyDescent="0.3">
      <c r="D6920" s="40"/>
      <c r="J6920" s="134"/>
    </row>
    <row r="6921" spans="4:10" x14ac:dyDescent="0.3">
      <c r="D6921" s="40"/>
      <c r="J6921" s="134"/>
    </row>
    <row r="6922" spans="4:10" x14ac:dyDescent="0.3">
      <c r="D6922" s="40"/>
      <c r="J6922" s="134"/>
    </row>
    <row r="6923" spans="4:10" x14ac:dyDescent="0.3">
      <c r="D6923" s="40"/>
      <c r="J6923" s="134"/>
    </row>
    <row r="6924" spans="4:10" x14ac:dyDescent="0.3">
      <c r="D6924" s="40"/>
      <c r="J6924" s="134"/>
    </row>
    <row r="6925" spans="4:10" x14ac:dyDescent="0.3">
      <c r="D6925" s="40"/>
      <c r="J6925" s="134"/>
    </row>
    <row r="6926" spans="4:10" x14ac:dyDescent="0.3">
      <c r="D6926" s="40"/>
      <c r="J6926" s="134"/>
    </row>
    <row r="6927" spans="4:10" x14ac:dyDescent="0.3">
      <c r="D6927" s="40"/>
      <c r="J6927" s="134"/>
    </row>
    <row r="6928" spans="4:10" x14ac:dyDescent="0.3">
      <c r="D6928" s="40"/>
      <c r="J6928" s="134"/>
    </row>
    <row r="6929" spans="4:10" x14ac:dyDescent="0.3">
      <c r="D6929" s="40"/>
      <c r="J6929" s="134"/>
    </row>
    <row r="6930" spans="4:10" x14ac:dyDescent="0.3">
      <c r="D6930" s="40"/>
      <c r="J6930" s="134"/>
    </row>
    <row r="6931" spans="4:10" x14ac:dyDescent="0.3">
      <c r="D6931" s="40"/>
      <c r="J6931" s="134"/>
    </row>
    <row r="6932" spans="4:10" x14ac:dyDescent="0.3">
      <c r="D6932" s="40"/>
      <c r="J6932" s="134"/>
    </row>
    <row r="6933" spans="4:10" x14ac:dyDescent="0.3">
      <c r="D6933" s="40"/>
      <c r="J6933" s="134"/>
    </row>
    <row r="6934" spans="4:10" x14ac:dyDescent="0.3">
      <c r="D6934" s="40"/>
      <c r="J6934" s="134"/>
    </row>
    <row r="6935" spans="4:10" x14ac:dyDescent="0.3">
      <c r="D6935" s="40"/>
      <c r="J6935" s="134"/>
    </row>
    <row r="6936" spans="4:10" x14ac:dyDescent="0.3">
      <c r="D6936" s="40"/>
      <c r="J6936" s="134"/>
    </row>
    <row r="6937" spans="4:10" x14ac:dyDescent="0.3">
      <c r="D6937" s="40"/>
      <c r="J6937" s="134"/>
    </row>
    <row r="6938" spans="4:10" x14ac:dyDescent="0.3">
      <c r="D6938" s="40"/>
      <c r="J6938" s="134"/>
    </row>
    <row r="6939" spans="4:10" x14ac:dyDescent="0.3">
      <c r="D6939" s="40"/>
      <c r="J6939" s="134"/>
    </row>
    <row r="6940" spans="4:10" x14ac:dyDescent="0.3">
      <c r="D6940" s="40"/>
      <c r="J6940" s="134"/>
    </row>
    <row r="6941" spans="4:10" x14ac:dyDescent="0.3">
      <c r="D6941" s="40"/>
      <c r="J6941" s="134"/>
    </row>
    <row r="6942" spans="4:10" x14ac:dyDescent="0.3">
      <c r="D6942" s="40"/>
      <c r="J6942" s="134"/>
    </row>
    <row r="6943" spans="4:10" x14ac:dyDescent="0.3">
      <c r="D6943" s="40"/>
      <c r="J6943" s="134"/>
    </row>
    <row r="6944" spans="4:10" x14ac:dyDescent="0.3">
      <c r="D6944" s="40"/>
      <c r="J6944" s="134"/>
    </row>
    <row r="6945" spans="4:10" x14ac:dyDescent="0.3">
      <c r="D6945" s="40"/>
      <c r="J6945" s="134"/>
    </row>
    <row r="6946" spans="4:10" x14ac:dyDescent="0.3">
      <c r="D6946" s="40"/>
      <c r="J6946" s="134"/>
    </row>
    <row r="6947" spans="4:10" x14ac:dyDescent="0.3">
      <c r="D6947" s="40"/>
      <c r="J6947" s="134"/>
    </row>
    <row r="6948" spans="4:10" x14ac:dyDescent="0.3">
      <c r="D6948" s="40"/>
      <c r="J6948" s="134"/>
    </row>
    <row r="6949" spans="4:10" x14ac:dyDescent="0.3">
      <c r="D6949" s="40"/>
      <c r="J6949" s="134"/>
    </row>
    <row r="6950" spans="4:10" x14ac:dyDescent="0.3">
      <c r="D6950" s="40"/>
      <c r="J6950" s="134"/>
    </row>
    <row r="6951" spans="4:10" x14ac:dyDescent="0.3">
      <c r="D6951" s="40"/>
      <c r="J6951" s="134"/>
    </row>
    <row r="6952" spans="4:10" x14ac:dyDescent="0.3">
      <c r="D6952" s="40"/>
      <c r="J6952" s="134"/>
    </row>
    <row r="6953" spans="4:10" x14ac:dyDescent="0.3">
      <c r="D6953" s="40"/>
      <c r="J6953" s="134"/>
    </row>
    <row r="6954" spans="4:10" x14ac:dyDescent="0.3">
      <c r="D6954" s="40"/>
      <c r="J6954" s="134"/>
    </row>
    <row r="6955" spans="4:10" x14ac:dyDescent="0.3">
      <c r="D6955" s="40"/>
      <c r="J6955" s="134"/>
    </row>
    <row r="6956" spans="4:10" x14ac:dyDescent="0.3">
      <c r="D6956" s="40"/>
      <c r="J6956" s="134"/>
    </row>
    <row r="6957" spans="4:10" x14ac:dyDescent="0.3">
      <c r="D6957" s="40"/>
      <c r="J6957" s="134"/>
    </row>
    <row r="6958" spans="4:10" x14ac:dyDescent="0.3">
      <c r="D6958" s="40"/>
      <c r="J6958" s="134"/>
    </row>
    <row r="6959" spans="4:10" x14ac:dyDescent="0.3">
      <c r="D6959" s="40"/>
      <c r="J6959" s="134"/>
    </row>
    <row r="6960" spans="4:10" x14ac:dyDescent="0.3">
      <c r="D6960" s="40"/>
      <c r="J6960" s="134"/>
    </row>
    <row r="6961" spans="4:10" x14ac:dyDescent="0.3">
      <c r="D6961" s="40"/>
      <c r="J6961" s="134"/>
    </row>
    <row r="6962" spans="4:10" x14ac:dyDescent="0.3">
      <c r="D6962" s="40"/>
      <c r="J6962" s="134"/>
    </row>
    <row r="6963" spans="4:10" x14ac:dyDescent="0.3">
      <c r="D6963" s="40"/>
      <c r="J6963" s="134"/>
    </row>
    <row r="6964" spans="4:10" x14ac:dyDescent="0.3">
      <c r="D6964" s="40"/>
      <c r="J6964" s="134"/>
    </row>
    <row r="6965" spans="4:10" x14ac:dyDescent="0.3">
      <c r="D6965" s="40"/>
      <c r="J6965" s="134"/>
    </row>
    <row r="6966" spans="4:10" x14ac:dyDescent="0.3">
      <c r="D6966" s="40"/>
      <c r="J6966" s="134"/>
    </row>
    <row r="6967" spans="4:10" x14ac:dyDescent="0.3">
      <c r="D6967" s="40"/>
      <c r="J6967" s="134"/>
    </row>
    <row r="6968" spans="4:10" x14ac:dyDescent="0.3">
      <c r="D6968" s="40"/>
      <c r="J6968" s="134"/>
    </row>
    <row r="6969" spans="4:10" x14ac:dyDescent="0.3">
      <c r="D6969" s="40"/>
      <c r="J6969" s="134"/>
    </row>
    <row r="6970" spans="4:10" x14ac:dyDescent="0.3">
      <c r="D6970" s="40"/>
      <c r="J6970" s="134"/>
    </row>
    <row r="6971" spans="4:10" x14ac:dyDescent="0.3">
      <c r="D6971" s="40"/>
      <c r="J6971" s="134"/>
    </row>
    <row r="6972" spans="4:10" x14ac:dyDescent="0.3">
      <c r="D6972" s="40"/>
      <c r="J6972" s="134"/>
    </row>
    <row r="6973" spans="4:10" x14ac:dyDescent="0.3">
      <c r="D6973" s="40"/>
      <c r="J6973" s="134"/>
    </row>
    <row r="6974" spans="4:10" x14ac:dyDescent="0.3">
      <c r="D6974" s="40"/>
      <c r="J6974" s="134"/>
    </row>
    <row r="6975" spans="4:10" x14ac:dyDescent="0.3">
      <c r="D6975" s="40"/>
      <c r="J6975" s="134"/>
    </row>
    <row r="6976" spans="4:10" x14ac:dyDescent="0.3">
      <c r="D6976" s="40"/>
      <c r="J6976" s="134"/>
    </row>
    <row r="6977" spans="4:10" x14ac:dyDescent="0.3">
      <c r="D6977" s="40"/>
      <c r="J6977" s="134"/>
    </row>
    <row r="6978" spans="4:10" x14ac:dyDescent="0.3">
      <c r="D6978" s="40"/>
      <c r="J6978" s="134"/>
    </row>
    <row r="6979" spans="4:10" x14ac:dyDescent="0.3">
      <c r="D6979" s="40"/>
      <c r="J6979" s="134"/>
    </row>
    <row r="6980" spans="4:10" x14ac:dyDescent="0.3">
      <c r="D6980" s="40"/>
      <c r="J6980" s="134"/>
    </row>
    <row r="6981" spans="4:10" x14ac:dyDescent="0.3">
      <c r="D6981" s="40"/>
      <c r="J6981" s="134"/>
    </row>
    <row r="6982" spans="4:10" x14ac:dyDescent="0.3">
      <c r="D6982" s="40"/>
      <c r="J6982" s="134"/>
    </row>
    <row r="6983" spans="4:10" x14ac:dyDescent="0.3">
      <c r="D6983" s="40"/>
      <c r="J6983" s="134"/>
    </row>
    <row r="6984" spans="4:10" x14ac:dyDescent="0.3">
      <c r="D6984" s="40"/>
      <c r="J6984" s="134"/>
    </row>
    <row r="6985" spans="4:10" x14ac:dyDescent="0.3">
      <c r="D6985" s="40"/>
      <c r="J6985" s="134"/>
    </row>
    <row r="6986" spans="4:10" x14ac:dyDescent="0.3">
      <c r="D6986" s="40"/>
      <c r="J6986" s="134"/>
    </row>
    <row r="6987" spans="4:10" x14ac:dyDescent="0.3">
      <c r="D6987" s="40"/>
      <c r="J6987" s="134"/>
    </row>
    <row r="6988" spans="4:10" x14ac:dyDescent="0.3">
      <c r="D6988" s="40"/>
      <c r="J6988" s="134"/>
    </row>
    <row r="6989" spans="4:10" x14ac:dyDescent="0.3">
      <c r="D6989" s="40"/>
      <c r="J6989" s="134"/>
    </row>
    <row r="6990" spans="4:10" x14ac:dyDescent="0.3">
      <c r="D6990" s="40"/>
      <c r="J6990" s="134"/>
    </row>
    <row r="6991" spans="4:10" x14ac:dyDescent="0.3">
      <c r="D6991" s="40"/>
      <c r="J6991" s="134"/>
    </row>
    <row r="6992" spans="4:10" x14ac:dyDescent="0.3">
      <c r="D6992" s="40"/>
      <c r="J6992" s="134"/>
    </row>
    <row r="6993" spans="4:10" x14ac:dyDescent="0.3">
      <c r="D6993" s="40"/>
      <c r="J6993" s="134"/>
    </row>
    <row r="6994" spans="4:10" x14ac:dyDescent="0.3">
      <c r="D6994" s="40"/>
      <c r="J6994" s="134"/>
    </row>
    <row r="6995" spans="4:10" x14ac:dyDescent="0.3">
      <c r="D6995" s="40"/>
      <c r="J6995" s="134"/>
    </row>
    <row r="6996" spans="4:10" x14ac:dyDescent="0.3">
      <c r="D6996" s="40"/>
      <c r="J6996" s="134"/>
    </row>
    <row r="6997" spans="4:10" x14ac:dyDescent="0.3">
      <c r="D6997" s="40"/>
      <c r="J6997" s="134"/>
    </row>
    <row r="6998" spans="4:10" x14ac:dyDescent="0.3">
      <c r="D6998" s="40"/>
      <c r="J6998" s="134"/>
    </row>
    <row r="6999" spans="4:10" x14ac:dyDescent="0.3">
      <c r="D6999" s="40"/>
      <c r="J6999" s="134"/>
    </row>
    <row r="7000" spans="4:10" x14ac:dyDescent="0.3">
      <c r="D7000" s="40"/>
      <c r="J7000" s="134"/>
    </row>
    <row r="7001" spans="4:10" x14ac:dyDescent="0.3">
      <c r="D7001" s="40"/>
      <c r="J7001" s="134"/>
    </row>
    <row r="7002" spans="4:10" x14ac:dyDescent="0.3">
      <c r="D7002" s="40"/>
      <c r="J7002" s="134"/>
    </row>
    <row r="7003" spans="4:10" x14ac:dyDescent="0.3">
      <c r="D7003" s="40"/>
      <c r="J7003" s="134"/>
    </row>
    <row r="7004" spans="4:10" x14ac:dyDescent="0.3">
      <c r="D7004" s="40"/>
      <c r="J7004" s="134"/>
    </row>
    <row r="7005" spans="4:10" x14ac:dyDescent="0.3">
      <c r="D7005" s="40"/>
      <c r="J7005" s="134"/>
    </row>
    <row r="7006" spans="4:10" x14ac:dyDescent="0.3">
      <c r="D7006" s="40"/>
      <c r="J7006" s="134"/>
    </row>
    <row r="7007" spans="4:10" x14ac:dyDescent="0.3">
      <c r="D7007" s="40"/>
      <c r="J7007" s="134"/>
    </row>
    <row r="7008" spans="4:10" x14ac:dyDescent="0.3">
      <c r="D7008" s="40"/>
      <c r="J7008" s="134"/>
    </row>
    <row r="7009" spans="4:10" x14ac:dyDescent="0.3">
      <c r="D7009" s="40"/>
      <c r="J7009" s="134"/>
    </row>
    <row r="7010" spans="4:10" x14ac:dyDescent="0.3">
      <c r="D7010" s="40"/>
      <c r="J7010" s="134"/>
    </row>
    <row r="7011" spans="4:10" x14ac:dyDescent="0.3">
      <c r="D7011" s="40"/>
      <c r="J7011" s="134"/>
    </row>
    <row r="7012" spans="4:10" x14ac:dyDescent="0.3">
      <c r="D7012" s="40"/>
      <c r="J7012" s="134"/>
    </row>
    <row r="7013" spans="4:10" x14ac:dyDescent="0.3">
      <c r="D7013" s="40"/>
      <c r="J7013" s="134"/>
    </row>
    <row r="7014" spans="4:10" x14ac:dyDescent="0.3">
      <c r="D7014" s="40"/>
      <c r="J7014" s="134"/>
    </row>
    <row r="7015" spans="4:10" x14ac:dyDescent="0.3">
      <c r="D7015" s="40"/>
      <c r="J7015" s="134"/>
    </row>
    <row r="7016" spans="4:10" x14ac:dyDescent="0.3">
      <c r="D7016" s="40"/>
      <c r="J7016" s="134"/>
    </row>
    <row r="7017" spans="4:10" x14ac:dyDescent="0.3">
      <c r="D7017" s="40"/>
      <c r="J7017" s="134"/>
    </row>
    <row r="7018" spans="4:10" x14ac:dyDescent="0.3">
      <c r="D7018" s="40"/>
      <c r="J7018" s="134"/>
    </row>
    <row r="7019" spans="4:10" x14ac:dyDescent="0.3">
      <c r="D7019" s="40"/>
      <c r="J7019" s="134"/>
    </row>
    <row r="7020" spans="4:10" x14ac:dyDescent="0.3">
      <c r="D7020" s="40"/>
      <c r="J7020" s="134"/>
    </row>
    <row r="7021" spans="4:10" x14ac:dyDescent="0.3">
      <c r="D7021" s="40"/>
      <c r="J7021" s="134"/>
    </row>
    <row r="7022" spans="4:10" x14ac:dyDescent="0.3">
      <c r="D7022" s="40"/>
      <c r="J7022" s="134"/>
    </row>
    <row r="7023" spans="4:10" x14ac:dyDescent="0.3">
      <c r="D7023" s="40"/>
      <c r="J7023" s="134"/>
    </row>
    <row r="7024" spans="4:10" x14ac:dyDescent="0.3">
      <c r="D7024" s="40"/>
      <c r="J7024" s="134"/>
    </row>
    <row r="7025" spans="4:10" x14ac:dyDescent="0.3">
      <c r="D7025" s="40"/>
      <c r="J7025" s="134"/>
    </row>
    <row r="7026" spans="4:10" x14ac:dyDescent="0.3">
      <c r="D7026" s="40"/>
      <c r="J7026" s="134"/>
    </row>
    <row r="7027" spans="4:10" x14ac:dyDescent="0.3">
      <c r="D7027" s="40"/>
      <c r="J7027" s="134"/>
    </row>
    <row r="7028" spans="4:10" x14ac:dyDescent="0.3">
      <c r="D7028" s="40"/>
      <c r="J7028" s="134"/>
    </row>
    <row r="7029" spans="4:10" x14ac:dyDescent="0.3">
      <c r="D7029" s="40"/>
      <c r="J7029" s="134"/>
    </row>
    <row r="7030" spans="4:10" x14ac:dyDescent="0.3">
      <c r="D7030" s="40"/>
      <c r="J7030" s="134"/>
    </row>
    <row r="7031" spans="4:10" x14ac:dyDescent="0.3">
      <c r="D7031" s="40"/>
      <c r="J7031" s="134"/>
    </row>
    <row r="7032" spans="4:10" x14ac:dyDescent="0.3">
      <c r="D7032" s="40"/>
      <c r="J7032" s="134"/>
    </row>
    <row r="7033" spans="4:10" x14ac:dyDescent="0.3">
      <c r="D7033" s="40"/>
      <c r="J7033" s="134"/>
    </row>
    <row r="7034" spans="4:10" x14ac:dyDescent="0.3">
      <c r="D7034" s="40"/>
      <c r="J7034" s="134"/>
    </row>
    <row r="7035" spans="4:10" x14ac:dyDescent="0.3">
      <c r="D7035" s="40"/>
      <c r="J7035" s="134"/>
    </row>
    <row r="7036" spans="4:10" x14ac:dyDescent="0.3">
      <c r="D7036" s="40"/>
      <c r="J7036" s="134"/>
    </row>
    <row r="7037" spans="4:10" x14ac:dyDescent="0.3">
      <c r="D7037" s="40"/>
      <c r="J7037" s="134"/>
    </row>
    <row r="7038" spans="4:10" x14ac:dyDescent="0.3">
      <c r="D7038" s="40"/>
      <c r="J7038" s="134"/>
    </row>
    <row r="7039" spans="4:10" x14ac:dyDescent="0.3">
      <c r="D7039" s="40"/>
      <c r="J7039" s="134"/>
    </row>
    <row r="7040" spans="4:10" x14ac:dyDescent="0.3">
      <c r="D7040" s="40"/>
      <c r="J7040" s="134"/>
    </row>
    <row r="7041" spans="4:10" x14ac:dyDescent="0.3">
      <c r="D7041" s="40"/>
      <c r="J7041" s="134"/>
    </row>
    <row r="7042" spans="4:10" x14ac:dyDescent="0.3">
      <c r="D7042" s="40"/>
      <c r="J7042" s="134"/>
    </row>
    <row r="7043" spans="4:10" x14ac:dyDescent="0.3">
      <c r="D7043" s="40"/>
      <c r="J7043" s="134"/>
    </row>
    <row r="7044" spans="4:10" x14ac:dyDescent="0.3">
      <c r="D7044" s="40"/>
      <c r="J7044" s="134"/>
    </row>
    <row r="7045" spans="4:10" x14ac:dyDescent="0.3">
      <c r="D7045" s="40"/>
      <c r="J7045" s="134"/>
    </row>
    <row r="7046" spans="4:10" x14ac:dyDescent="0.3">
      <c r="D7046" s="40"/>
      <c r="J7046" s="134"/>
    </row>
    <row r="7047" spans="4:10" x14ac:dyDescent="0.3">
      <c r="D7047" s="40"/>
      <c r="J7047" s="134"/>
    </row>
    <row r="7048" spans="4:10" x14ac:dyDescent="0.3">
      <c r="D7048" s="40"/>
      <c r="J7048" s="134"/>
    </row>
    <row r="7049" spans="4:10" x14ac:dyDescent="0.3">
      <c r="D7049" s="40"/>
      <c r="J7049" s="134"/>
    </row>
    <row r="7050" spans="4:10" x14ac:dyDescent="0.3">
      <c r="D7050" s="40"/>
      <c r="J7050" s="134"/>
    </row>
    <row r="7051" spans="4:10" x14ac:dyDescent="0.3">
      <c r="D7051" s="40"/>
      <c r="J7051" s="134"/>
    </row>
    <row r="7052" spans="4:10" x14ac:dyDescent="0.3">
      <c r="D7052" s="40"/>
      <c r="J7052" s="134"/>
    </row>
    <row r="7053" spans="4:10" x14ac:dyDescent="0.3">
      <c r="D7053" s="40"/>
      <c r="J7053" s="134"/>
    </row>
    <row r="7054" spans="4:10" x14ac:dyDescent="0.3">
      <c r="D7054" s="40"/>
      <c r="J7054" s="134"/>
    </row>
    <row r="7055" spans="4:10" x14ac:dyDescent="0.3">
      <c r="D7055" s="40"/>
      <c r="J7055" s="134"/>
    </row>
    <row r="7056" spans="4:10" x14ac:dyDescent="0.3">
      <c r="D7056" s="40"/>
      <c r="J7056" s="134"/>
    </row>
    <row r="7057" spans="4:10" x14ac:dyDescent="0.3">
      <c r="D7057" s="40"/>
      <c r="J7057" s="134"/>
    </row>
    <row r="7058" spans="4:10" x14ac:dyDescent="0.3">
      <c r="D7058" s="40"/>
      <c r="J7058" s="134"/>
    </row>
    <row r="7059" spans="4:10" x14ac:dyDescent="0.3">
      <c r="D7059" s="40"/>
      <c r="J7059" s="134"/>
    </row>
    <row r="7060" spans="4:10" x14ac:dyDescent="0.3">
      <c r="D7060" s="40"/>
      <c r="J7060" s="134"/>
    </row>
    <row r="7061" spans="4:10" x14ac:dyDescent="0.3">
      <c r="D7061" s="40"/>
      <c r="J7061" s="134"/>
    </row>
    <row r="7062" spans="4:10" x14ac:dyDescent="0.3">
      <c r="D7062" s="40"/>
      <c r="J7062" s="134"/>
    </row>
    <row r="7063" spans="4:10" x14ac:dyDescent="0.3">
      <c r="D7063" s="40"/>
      <c r="J7063" s="134"/>
    </row>
    <row r="7064" spans="4:10" x14ac:dyDescent="0.3">
      <c r="D7064" s="40"/>
      <c r="J7064" s="134"/>
    </row>
    <row r="7065" spans="4:10" x14ac:dyDescent="0.3">
      <c r="D7065" s="40"/>
      <c r="J7065" s="134"/>
    </row>
    <row r="7066" spans="4:10" x14ac:dyDescent="0.3">
      <c r="D7066" s="40"/>
      <c r="J7066" s="134"/>
    </row>
    <row r="7067" spans="4:10" x14ac:dyDescent="0.3">
      <c r="D7067" s="40"/>
      <c r="J7067" s="134"/>
    </row>
    <row r="7068" spans="4:10" x14ac:dyDescent="0.3">
      <c r="D7068" s="40"/>
      <c r="J7068" s="134"/>
    </row>
    <row r="7069" spans="4:10" x14ac:dyDescent="0.3">
      <c r="D7069" s="40"/>
      <c r="J7069" s="134"/>
    </row>
    <row r="7070" spans="4:10" x14ac:dyDescent="0.3">
      <c r="D7070" s="40"/>
      <c r="J7070" s="134"/>
    </row>
    <row r="7071" spans="4:10" x14ac:dyDescent="0.3">
      <c r="D7071" s="40"/>
      <c r="J7071" s="134"/>
    </row>
    <row r="7072" spans="4:10" x14ac:dyDescent="0.3">
      <c r="D7072" s="40"/>
      <c r="J7072" s="134"/>
    </row>
    <row r="7073" spans="4:10" x14ac:dyDescent="0.3">
      <c r="D7073" s="40"/>
      <c r="J7073" s="134"/>
    </row>
    <row r="7074" spans="4:10" x14ac:dyDescent="0.3">
      <c r="D7074" s="40"/>
      <c r="J7074" s="134"/>
    </row>
    <row r="7075" spans="4:10" x14ac:dyDescent="0.3">
      <c r="D7075" s="40"/>
      <c r="J7075" s="134"/>
    </row>
    <row r="7076" spans="4:10" x14ac:dyDescent="0.3">
      <c r="D7076" s="40"/>
      <c r="J7076" s="134"/>
    </row>
    <row r="7077" spans="4:10" x14ac:dyDescent="0.3">
      <c r="D7077" s="40"/>
      <c r="J7077" s="134"/>
    </row>
    <row r="7078" spans="4:10" x14ac:dyDescent="0.3">
      <c r="D7078" s="40"/>
      <c r="J7078" s="134"/>
    </row>
    <row r="7079" spans="4:10" x14ac:dyDescent="0.3">
      <c r="D7079" s="40"/>
      <c r="J7079" s="134"/>
    </row>
    <row r="7080" spans="4:10" x14ac:dyDescent="0.3">
      <c r="D7080" s="40"/>
      <c r="J7080" s="134"/>
    </row>
    <row r="7081" spans="4:10" x14ac:dyDescent="0.3">
      <c r="D7081" s="40"/>
      <c r="J7081" s="134"/>
    </row>
    <row r="7082" spans="4:10" x14ac:dyDescent="0.3">
      <c r="D7082" s="40"/>
      <c r="J7082" s="134"/>
    </row>
    <row r="7083" spans="4:10" x14ac:dyDescent="0.3">
      <c r="D7083" s="40"/>
      <c r="J7083" s="134"/>
    </row>
    <row r="7084" spans="4:10" x14ac:dyDescent="0.3">
      <c r="D7084" s="40"/>
      <c r="J7084" s="134"/>
    </row>
    <row r="7085" spans="4:10" x14ac:dyDescent="0.3">
      <c r="D7085" s="40"/>
      <c r="J7085" s="134"/>
    </row>
    <row r="7086" spans="4:10" x14ac:dyDescent="0.3">
      <c r="D7086" s="40"/>
      <c r="J7086" s="134"/>
    </row>
    <row r="7087" spans="4:10" x14ac:dyDescent="0.3">
      <c r="D7087" s="40"/>
      <c r="J7087" s="134"/>
    </row>
    <row r="7088" spans="4:10" x14ac:dyDescent="0.3">
      <c r="D7088" s="40"/>
      <c r="J7088" s="134"/>
    </row>
    <row r="7089" spans="4:10" x14ac:dyDescent="0.3">
      <c r="D7089" s="40"/>
      <c r="J7089" s="134"/>
    </row>
    <row r="7090" spans="4:10" x14ac:dyDescent="0.3">
      <c r="D7090" s="40"/>
      <c r="J7090" s="134"/>
    </row>
    <row r="7091" spans="4:10" x14ac:dyDescent="0.3">
      <c r="D7091" s="40"/>
      <c r="J7091" s="134"/>
    </row>
    <row r="7092" spans="4:10" x14ac:dyDescent="0.3">
      <c r="D7092" s="40"/>
      <c r="J7092" s="134"/>
    </row>
    <row r="7093" spans="4:10" x14ac:dyDescent="0.3">
      <c r="D7093" s="40"/>
      <c r="J7093" s="134"/>
    </row>
    <row r="7094" spans="4:10" x14ac:dyDescent="0.3">
      <c r="D7094" s="40"/>
      <c r="J7094" s="134"/>
    </row>
    <row r="7095" spans="4:10" x14ac:dyDescent="0.3">
      <c r="D7095" s="40"/>
      <c r="J7095" s="134"/>
    </row>
    <row r="7096" spans="4:10" x14ac:dyDescent="0.3">
      <c r="D7096" s="40"/>
      <c r="J7096" s="134"/>
    </row>
    <row r="7097" spans="4:10" x14ac:dyDescent="0.3">
      <c r="D7097" s="40"/>
      <c r="J7097" s="134"/>
    </row>
    <row r="7098" spans="4:10" x14ac:dyDescent="0.3">
      <c r="D7098" s="40"/>
      <c r="J7098" s="134"/>
    </row>
    <row r="7099" spans="4:10" x14ac:dyDescent="0.3">
      <c r="D7099" s="40"/>
      <c r="J7099" s="134"/>
    </row>
    <row r="7100" spans="4:10" x14ac:dyDescent="0.3">
      <c r="D7100" s="40"/>
      <c r="J7100" s="134"/>
    </row>
    <row r="7101" spans="4:10" x14ac:dyDescent="0.3">
      <c r="D7101" s="40"/>
      <c r="J7101" s="134"/>
    </row>
    <row r="7102" spans="4:10" x14ac:dyDescent="0.3">
      <c r="D7102" s="40"/>
      <c r="J7102" s="134"/>
    </row>
    <row r="7103" spans="4:10" x14ac:dyDescent="0.3">
      <c r="D7103" s="40"/>
      <c r="J7103" s="134"/>
    </row>
    <row r="7104" spans="4:10" x14ac:dyDescent="0.3">
      <c r="D7104" s="40"/>
      <c r="J7104" s="134"/>
    </row>
    <row r="7105" spans="4:10" x14ac:dyDescent="0.3">
      <c r="D7105" s="40"/>
      <c r="J7105" s="134"/>
    </row>
    <row r="7106" spans="4:10" x14ac:dyDescent="0.3">
      <c r="D7106" s="40"/>
      <c r="J7106" s="134"/>
    </row>
    <row r="7107" spans="4:10" x14ac:dyDescent="0.3">
      <c r="D7107" s="40"/>
      <c r="J7107" s="134"/>
    </row>
    <row r="7108" spans="4:10" x14ac:dyDescent="0.3">
      <c r="D7108" s="40"/>
      <c r="J7108" s="134"/>
    </row>
    <row r="7109" spans="4:10" x14ac:dyDescent="0.3">
      <c r="D7109" s="40"/>
      <c r="J7109" s="134"/>
    </row>
    <row r="7110" spans="4:10" x14ac:dyDescent="0.3">
      <c r="D7110" s="40"/>
      <c r="J7110" s="134"/>
    </row>
    <row r="7111" spans="4:10" x14ac:dyDescent="0.3">
      <c r="D7111" s="40"/>
      <c r="J7111" s="134"/>
    </row>
    <row r="7112" spans="4:10" x14ac:dyDescent="0.3">
      <c r="D7112" s="40"/>
      <c r="J7112" s="134"/>
    </row>
    <row r="7113" spans="4:10" x14ac:dyDescent="0.3">
      <c r="D7113" s="40"/>
      <c r="J7113" s="134"/>
    </row>
    <row r="7114" spans="4:10" x14ac:dyDescent="0.3">
      <c r="D7114" s="40"/>
      <c r="J7114" s="134"/>
    </row>
    <row r="7115" spans="4:10" x14ac:dyDescent="0.3">
      <c r="D7115" s="40"/>
      <c r="J7115" s="134"/>
    </row>
    <row r="7116" spans="4:10" x14ac:dyDescent="0.3">
      <c r="D7116" s="40"/>
      <c r="J7116" s="134"/>
    </row>
    <row r="7117" spans="4:10" x14ac:dyDescent="0.3">
      <c r="D7117" s="40"/>
      <c r="J7117" s="134"/>
    </row>
    <row r="7118" spans="4:10" x14ac:dyDescent="0.3">
      <c r="D7118" s="40"/>
      <c r="J7118" s="134"/>
    </row>
    <row r="7119" spans="4:10" x14ac:dyDescent="0.3">
      <c r="D7119" s="40"/>
      <c r="J7119" s="134"/>
    </row>
    <row r="7120" spans="4:10" x14ac:dyDescent="0.3">
      <c r="D7120" s="40"/>
      <c r="J7120" s="134"/>
    </row>
    <row r="7121" spans="4:10" x14ac:dyDescent="0.3">
      <c r="D7121" s="40"/>
      <c r="J7121" s="134"/>
    </row>
    <row r="7122" spans="4:10" x14ac:dyDescent="0.3">
      <c r="D7122" s="40"/>
      <c r="J7122" s="134"/>
    </row>
    <row r="7123" spans="4:10" x14ac:dyDescent="0.3">
      <c r="D7123" s="40"/>
      <c r="J7123" s="134"/>
    </row>
    <row r="7124" spans="4:10" x14ac:dyDescent="0.3">
      <c r="D7124" s="40"/>
      <c r="J7124" s="134"/>
    </row>
    <row r="7125" spans="4:10" x14ac:dyDescent="0.3">
      <c r="D7125" s="40"/>
      <c r="J7125" s="134"/>
    </row>
    <row r="7126" spans="4:10" x14ac:dyDescent="0.3">
      <c r="D7126" s="40"/>
      <c r="J7126" s="134"/>
    </row>
    <row r="7127" spans="4:10" x14ac:dyDescent="0.3">
      <c r="D7127" s="40"/>
      <c r="J7127" s="134"/>
    </row>
    <row r="7128" spans="4:10" x14ac:dyDescent="0.3">
      <c r="D7128" s="40"/>
      <c r="J7128" s="134"/>
    </row>
    <row r="7129" spans="4:10" x14ac:dyDescent="0.3">
      <c r="D7129" s="40"/>
      <c r="J7129" s="134"/>
    </row>
    <row r="7130" spans="4:10" x14ac:dyDescent="0.3">
      <c r="D7130" s="40"/>
      <c r="J7130" s="134"/>
    </row>
    <row r="7131" spans="4:10" x14ac:dyDescent="0.3">
      <c r="D7131" s="40"/>
      <c r="J7131" s="134"/>
    </row>
    <row r="7132" spans="4:10" x14ac:dyDescent="0.3">
      <c r="D7132" s="40"/>
      <c r="J7132" s="134"/>
    </row>
    <row r="7133" spans="4:10" x14ac:dyDescent="0.3">
      <c r="D7133" s="40"/>
      <c r="J7133" s="134"/>
    </row>
    <row r="7134" spans="4:10" x14ac:dyDescent="0.3">
      <c r="D7134" s="40"/>
      <c r="J7134" s="134"/>
    </row>
    <row r="7135" spans="4:10" x14ac:dyDescent="0.3">
      <c r="D7135" s="40"/>
      <c r="J7135" s="134"/>
    </row>
    <row r="7136" spans="4:10" x14ac:dyDescent="0.3">
      <c r="D7136" s="40"/>
      <c r="J7136" s="134"/>
    </row>
    <row r="7137" spans="4:10" x14ac:dyDescent="0.3">
      <c r="D7137" s="40"/>
      <c r="J7137" s="134"/>
    </row>
    <row r="7138" spans="4:10" x14ac:dyDescent="0.3">
      <c r="D7138" s="40"/>
      <c r="J7138" s="134"/>
    </row>
    <row r="7139" spans="4:10" x14ac:dyDescent="0.3">
      <c r="D7139" s="40"/>
      <c r="J7139" s="134"/>
    </row>
    <row r="7140" spans="4:10" x14ac:dyDescent="0.3">
      <c r="D7140" s="40"/>
      <c r="J7140" s="134"/>
    </row>
    <row r="7141" spans="4:10" x14ac:dyDescent="0.3">
      <c r="D7141" s="40"/>
      <c r="J7141" s="134"/>
    </row>
    <row r="7142" spans="4:10" x14ac:dyDescent="0.3">
      <c r="D7142" s="40"/>
      <c r="J7142" s="134"/>
    </row>
    <row r="7143" spans="4:10" x14ac:dyDescent="0.3">
      <c r="D7143" s="40"/>
      <c r="J7143" s="134"/>
    </row>
    <row r="7144" spans="4:10" x14ac:dyDescent="0.3">
      <c r="D7144" s="40"/>
      <c r="J7144" s="134"/>
    </row>
    <row r="7145" spans="4:10" x14ac:dyDescent="0.3">
      <c r="D7145" s="40"/>
      <c r="J7145" s="134"/>
    </row>
    <row r="7146" spans="4:10" x14ac:dyDescent="0.3">
      <c r="D7146" s="40"/>
      <c r="J7146" s="134"/>
    </row>
    <row r="7147" spans="4:10" x14ac:dyDescent="0.3">
      <c r="D7147" s="40"/>
      <c r="J7147" s="134"/>
    </row>
    <row r="7148" spans="4:10" x14ac:dyDescent="0.3">
      <c r="D7148" s="40"/>
      <c r="J7148" s="134"/>
    </row>
    <row r="7149" spans="4:10" x14ac:dyDescent="0.3">
      <c r="D7149" s="40"/>
      <c r="J7149" s="134"/>
    </row>
    <row r="7150" spans="4:10" x14ac:dyDescent="0.3">
      <c r="D7150" s="40"/>
      <c r="J7150" s="134"/>
    </row>
    <row r="7151" spans="4:10" x14ac:dyDescent="0.3">
      <c r="D7151" s="40"/>
      <c r="J7151" s="134"/>
    </row>
    <row r="7152" spans="4:10" x14ac:dyDescent="0.3">
      <c r="D7152" s="40"/>
      <c r="J7152" s="134"/>
    </row>
    <row r="7153" spans="4:10" x14ac:dyDescent="0.3">
      <c r="D7153" s="40"/>
      <c r="J7153" s="134"/>
    </row>
    <row r="7154" spans="4:10" x14ac:dyDescent="0.3">
      <c r="D7154" s="40"/>
      <c r="J7154" s="134"/>
    </row>
    <row r="7155" spans="4:10" x14ac:dyDescent="0.3">
      <c r="D7155" s="40"/>
      <c r="J7155" s="134"/>
    </row>
    <row r="7156" spans="4:10" x14ac:dyDescent="0.3">
      <c r="D7156" s="40"/>
      <c r="J7156" s="134"/>
    </row>
    <row r="7157" spans="4:10" x14ac:dyDescent="0.3">
      <c r="D7157" s="40"/>
      <c r="J7157" s="134"/>
    </row>
    <row r="7158" spans="4:10" x14ac:dyDescent="0.3">
      <c r="D7158" s="40"/>
      <c r="J7158" s="134"/>
    </row>
    <row r="7159" spans="4:10" x14ac:dyDescent="0.3">
      <c r="D7159" s="40"/>
      <c r="J7159" s="134"/>
    </row>
    <row r="7160" spans="4:10" x14ac:dyDescent="0.3">
      <c r="D7160" s="40"/>
      <c r="J7160" s="134"/>
    </row>
    <row r="7161" spans="4:10" x14ac:dyDescent="0.3">
      <c r="D7161" s="40"/>
      <c r="J7161" s="134"/>
    </row>
    <row r="7162" spans="4:10" x14ac:dyDescent="0.3">
      <c r="D7162" s="40"/>
      <c r="J7162" s="134"/>
    </row>
    <row r="7163" spans="4:10" x14ac:dyDescent="0.3">
      <c r="D7163" s="40"/>
      <c r="J7163" s="134"/>
    </row>
    <row r="7164" spans="4:10" x14ac:dyDescent="0.3">
      <c r="D7164" s="40"/>
      <c r="J7164" s="134"/>
    </row>
    <row r="7165" spans="4:10" x14ac:dyDescent="0.3">
      <c r="D7165" s="40"/>
      <c r="J7165" s="134"/>
    </row>
    <row r="7166" spans="4:10" x14ac:dyDescent="0.3">
      <c r="D7166" s="40"/>
      <c r="J7166" s="134"/>
    </row>
    <row r="7167" spans="4:10" x14ac:dyDescent="0.3">
      <c r="D7167" s="40"/>
      <c r="J7167" s="134"/>
    </row>
    <row r="7168" spans="4:10" x14ac:dyDescent="0.3">
      <c r="D7168" s="40"/>
      <c r="J7168" s="134"/>
    </row>
    <row r="7169" spans="4:10" x14ac:dyDescent="0.3">
      <c r="D7169" s="40"/>
      <c r="J7169" s="134"/>
    </row>
    <row r="7170" spans="4:10" x14ac:dyDescent="0.3">
      <c r="D7170" s="40"/>
      <c r="J7170" s="134"/>
    </row>
    <row r="7171" spans="4:10" x14ac:dyDescent="0.3">
      <c r="D7171" s="40"/>
      <c r="J7171" s="134"/>
    </row>
    <row r="7172" spans="4:10" x14ac:dyDescent="0.3">
      <c r="D7172" s="40"/>
      <c r="J7172" s="134"/>
    </row>
    <row r="7173" spans="4:10" x14ac:dyDescent="0.3">
      <c r="D7173" s="40"/>
      <c r="J7173" s="134"/>
    </row>
    <row r="7174" spans="4:10" x14ac:dyDescent="0.3">
      <c r="D7174" s="40"/>
      <c r="J7174" s="134"/>
    </row>
    <row r="7175" spans="4:10" x14ac:dyDescent="0.3">
      <c r="D7175" s="40"/>
      <c r="J7175" s="134"/>
    </row>
    <row r="7176" spans="4:10" x14ac:dyDescent="0.3">
      <c r="D7176" s="40"/>
      <c r="J7176" s="134"/>
    </row>
    <row r="7177" spans="4:10" x14ac:dyDescent="0.3">
      <c r="D7177" s="40"/>
      <c r="J7177" s="134"/>
    </row>
    <row r="7178" spans="4:10" x14ac:dyDescent="0.3">
      <c r="D7178" s="40"/>
      <c r="J7178" s="134"/>
    </row>
    <row r="7179" spans="4:10" x14ac:dyDescent="0.3">
      <c r="D7179" s="40"/>
      <c r="J7179" s="134"/>
    </row>
    <row r="7180" spans="4:10" x14ac:dyDescent="0.3">
      <c r="D7180" s="40"/>
      <c r="J7180" s="134"/>
    </row>
    <row r="7181" spans="4:10" x14ac:dyDescent="0.3">
      <c r="D7181" s="40"/>
      <c r="J7181" s="134"/>
    </row>
    <row r="7182" spans="4:10" x14ac:dyDescent="0.3">
      <c r="D7182" s="40"/>
      <c r="J7182" s="134"/>
    </row>
    <row r="7183" spans="4:10" x14ac:dyDescent="0.3">
      <c r="D7183" s="40"/>
      <c r="J7183" s="134"/>
    </row>
    <row r="7184" spans="4:10" x14ac:dyDescent="0.3">
      <c r="D7184" s="40"/>
      <c r="J7184" s="134"/>
    </row>
    <row r="7185" spans="4:10" x14ac:dyDescent="0.3">
      <c r="D7185" s="40"/>
      <c r="J7185" s="134"/>
    </row>
    <row r="7186" spans="4:10" x14ac:dyDescent="0.3">
      <c r="D7186" s="40"/>
      <c r="J7186" s="134"/>
    </row>
    <row r="7187" spans="4:10" x14ac:dyDescent="0.3">
      <c r="D7187" s="40"/>
      <c r="J7187" s="134"/>
    </row>
    <row r="7188" spans="4:10" x14ac:dyDescent="0.3">
      <c r="D7188" s="40"/>
      <c r="J7188" s="134"/>
    </row>
    <row r="7189" spans="4:10" x14ac:dyDescent="0.3">
      <c r="D7189" s="40"/>
      <c r="J7189" s="134"/>
    </row>
    <row r="7190" spans="4:10" x14ac:dyDescent="0.3">
      <c r="D7190" s="40"/>
      <c r="J7190" s="134"/>
    </row>
    <row r="7191" spans="4:10" x14ac:dyDescent="0.3">
      <c r="D7191" s="40"/>
      <c r="J7191" s="134"/>
    </row>
    <row r="7192" spans="4:10" x14ac:dyDescent="0.3">
      <c r="D7192" s="40"/>
      <c r="J7192" s="134"/>
    </row>
    <row r="7193" spans="4:10" x14ac:dyDescent="0.3">
      <c r="D7193" s="40"/>
      <c r="J7193" s="134"/>
    </row>
    <row r="7194" spans="4:10" x14ac:dyDescent="0.3">
      <c r="D7194" s="40"/>
      <c r="J7194" s="134"/>
    </row>
    <row r="7195" spans="4:10" x14ac:dyDescent="0.3">
      <c r="D7195" s="40"/>
      <c r="J7195" s="134"/>
    </row>
    <row r="7196" spans="4:10" x14ac:dyDescent="0.3">
      <c r="D7196" s="40"/>
      <c r="J7196" s="134"/>
    </row>
    <row r="7197" spans="4:10" x14ac:dyDescent="0.3">
      <c r="D7197" s="40"/>
      <c r="J7197" s="134"/>
    </row>
    <row r="7198" spans="4:10" x14ac:dyDescent="0.3">
      <c r="D7198" s="40"/>
      <c r="J7198" s="134"/>
    </row>
    <row r="7199" spans="4:10" x14ac:dyDescent="0.3">
      <c r="D7199" s="40"/>
      <c r="J7199" s="134"/>
    </row>
    <row r="7200" spans="4:10" x14ac:dyDescent="0.3">
      <c r="D7200" s="40"/>
      <c r="J7200" s="134"/>
    </row>
    <row r="7201" spans="4:10" x14ac:dyDescent="0.3">
      <c r="D7201" s="40"/>
      <c r="J7201" s="134"/>
    </row>
    <row r="7202" spans="4:10" x14ac:dyDescent="0.3">
      <c r="D7202" s="40"/>
      <c r="J7202" s="134"/>
    </row>
    <row r="7203" spans="4:10" x14ac:dyDescent="0.3">
      <c r="D7203" s="40"/>
      <c r="J7203" s="134"/>
    </row>
    <row r="7204" spans="4:10" x14ac:dyDescent="0.3">
      <c r="D7204" s="40"/>
      <c r="J7204" s="134"/>
    </row>
    <row r="7205" spans="4:10" x14ac:dyDescent="0.3">
      <c r="D7205" s="40"/>
      <c r="J7205" s="134"/>
    </row>
    <row r="7206" spans="4:10" x14ac:dyDescent="0.3">
      <c r="D7206" s="40"/>
      <c r="J7206" s="134"/>
    </row>
    <row r="7207" spans="4:10" x14ac:dyDescent="0.3">
      <c r="D7207" s="40"/>
      <c r="J7207" s="134"/>
    </row>
    <row r="7208" spans="4:10" x14ac:dyDescent="0.3">
      <c r="D7208" s="40"/>
      <c r="J7208" s="134"/>
    </row>
    <row r="7209" spans="4:10" x14ac:dyDescent="0.3">
      <c r="D7209" s="40"/>
      <c r="J7209" s="134"/>
    </row>
    <row r="7210" spans="4:10" x14ac:dyDescent="0.3">
      <c r="D7210" s="40"/>
      <c r="J7210" s="134"/>
    </row>
    <row r="7211" spans="4:10" x14ac:dyDescent="0.3">
      <c r="D7211" s="40"/>
      <c r="J7211" s="134"/>
    </row>
    <row r="7212" spans="4:10" x14ac:dyDescent="0.3">
      <c r="D7212" s="40"/>
      <c r="J7212" s="134"/>
    </row>
    <row r="7213" spans="4:10" x14ac:dyDescent="0.3">
      <c r="D7213" s="40"/>
      <c r="J7213" s="134"/>
    </row>
    <row r="7214" spans="4:10" x14ac:dyDescent="0.3">
      <c r="D7214" s="40"/>
      <c r="J7214" s="134"/>
    </row>
    <row r="7215" spans="4:10" x14ac:dyDescent="0.3">
      <c r="D7215" s="40"/>
      <c r="J7215" s="134"/>
    </row>
    <row r="7216" spans="4:10" x14ac:dyDescent="0.3">
      <c r="D7216" s="40"/>
      <c r="J7216" s="134"/>
    </row>
    <row r="7217" spans="4:10" x14ac:dyDescent="0.3">
      <c r="D7217" s="40"/>
      <c r="J7217" s="134"/>
    </row>
    <row r="7218" spans="4:10" x14ac:dyDescent="0.3">
      <c r="D7218" s="40"/>
      <c r="J7218" s="134"/>
    </row>
    <row r="7219" spans="4:10" x14ac:dyDescent="0.3">
      <c r="D7219" s="40"/>
      <c r="J7219" s="134"/>
    </row>
    <row r="7220" spans="4:10" x14ac:dyDescent="0.3">
      <c r="D7220" s="40"/>
      <c r="J7220" s="134"/>
    </row>
    <row r="7221" spans="4:10" x14ac:dyDescent="0.3">
      <c r="D7221" s="40"/>
      <c r="J7221" s="134"/>
    </row>
    <row r="7222" spans="4:10" x14ac:dyDescent="0.3">
      <c r="D7222" s="40"/>
      <c r="J7222" s="134"/>
    </row>
    <row r="7223" spans="4:10" x14ac:dyDescent="0.3">
      <c r="D7223" s="40"/>
      <c r="J7223" s="134"/>
    </row>
    <row r="7224" spans="4:10" x14ac:dyDescent="0.3">
      <c r="D7224" s="40"/>
      <c r="J7224" s="134"/>
    </row>
    <row r="7225" spans="4:10" x14ac:dyDescent="0.3">
      <c r="D7225" s="40"/>
      <c r="J7225" s="134"/>
    </row>
    <row r="7226" spans="4:10" x14ac:dyDescent="0.3">
      <c r="D7226" s="40"/>
      <c r="J7226" s="134"/>
    </row>
    <row r="7227" spans="4:10" x14ac:dyDescent="0.3">
      <c r="D7227" s="40"/>
      <c r="J7227" s="134"/>
    </row>
    <row r="7228" spans="4:10" x14ac:dyDescent="0.3">
      <c r="D7228" s="40"/>
      <c r="J7228" s="134"/>
    </row>
    <row r="7229" spans="4:10" x14ac:dyDescent="0.3">
      <c r="D7229" s="40"/>
      <c r="J7229" s="134"/>
    </row>
    <row r="7230" spans="4:10" x14ac:dyDescent="0.3">
      <c r="D7230" s="40"/>
      <c r="J7230" s="134"/>
    </row>
    <row r="7231" spans="4:10" x14ac:dyDescent="0.3">
      <c r="D7231" s="40"/>
      <c r="J7231" s="134"/>
    </row>
    <row r="7232" spans="4:10" x14ac:dyDescent="0.3">
      <c r="D7232" s="40"/>
      <c r="J7232" s="134"/>
    </row>
    <row r="7233" spans="4:10" x14ac:dyDescent="0.3">
      <c r="D7233" s="40"/>
      <c r="J7233" s="134"/>
    </row>
    <row r="7234" spans="4:10" x14ac:dyDescent="0.3">
      <c r="D7234" s="40"/>
      <c r="J7234" s="134"/>
    </row>
    <row r="7235" spans="4:10" x14ac:dyDescent="0.3">
      <c r="D7235" s="40"/>
      <c r="J7235" s="134"/>
    </row>
    <row r="7236" spans="4:10" x14ac:dyDescent="0.3">
      <c r="D7236" s="40"/>
      <c r="J7236" s="134"/>
    </row>
    <row r="7237" spans="4:10" x14ac:dyDescent="0.3">
      <c r="D7237" s="40"/>
      <c r="J7237" s="134"/>
    </row>
    <row r="7238" spans="4:10" x14ac:dyDescent="0.3">
      <c r="D7238" s="40"/>
      <c r="J7238" s="134"/>
    </row>
    <row r="7239" spans="4:10" x14ac:dyDescent="0.3">
      <c r="D7239" s="40"/>
      <c r="J7239" s="134"/>
    </row>
    <row r="7240" spans="4:10" x14ac:dyDescent="0.3">
      <c r="D7240" s="40"/>
      <c r="J7240" s="134"/>
    </row>
    <row r="7241" spans="4:10" x14ac:dyDescent="0.3">
      <c r="D7241" s="40"/>
      <c r="J7241" s="134"/>
    </row>
    <row r="7242" spans="4:10" x14ac:dyDescent="0.3">
      <c r="D7242" s="40"/>
      <c r="J7242" s="134"/>
    </row>
    <row r="7243" spans="4:10" x14ac:dyDescent="0.3">
      <c r="D7243" s="40"/>
      <c r="J7243" s="134"/>
    </row>
    <row r="7244" spans="4:10" x14ac:dyDescent="0.3">
      <c r="D7244" s="40"/>
      <c r="J7244" s="134"/>
    </row>
    <row r="7245" spans="4:10" x14ac:dyDescent="0.3">
      <c r="D7245" s="40"/>
      <c r="J7245" s="134"/>
    </row>
    <row r="7246" spans="4:10" x14ac:dyDescent="0.3">
      <c r="D7246" s="40"/>
      <c r="J7246" s="134"/>
    </row>
    <row r="7247" spans="4:10" x14ac:dyDescent="0.3">
      <c r="D7247" s="40"/>
      <c r="J7247" s="134"/>
    </row>
    <row r="7248" spans="4:10" x14ac:dyDescent="0.3">
      <c r="D7248" s="40"/>
      <c r="J7248" s="134"/>
    </row>
    <row r="7249" spans="4:10" x14ac:dyDescent="0.3">
      <c r="D7249" s="40"/>
      <c r="J7249" s="134"/>
    </row>
    <row r="7250" spans="4:10" x14ac:dyDescent="0.3">
      <c r="D7250" s="40"/>
      <c r="J7250" s="134"/>
    </row>
    <row r="7251" spans="4:10" x14ac:dyDescent="0.3">
      <c r="D7251" s="40"/>
      <c r="J7251" s="134"/>
    </row>
    <row r="7252" spans="4:10" x14ac:dyDescent="0.3">
      <c r="D7252" s="40"/>
      <c r="J7252" s="134"/>
    </row>
    <row r="7253" spans="4:10" x14ac:dyDescent="0.3">
      <c r="D7253" s="40"/>
      <c r="J7253" s="134"/>
    </row>
    <row r="7254" spans="4:10" x14ac:dyDescent="0.3">
      <c r="D7254" s="40"/>
      <c r="J7254" s="134"/>
    </row>
    <row r="7255" spans="4:10" x14ac:dyDescent="0.3">
      <c r="D7255" s="40"/>
      <c r="J7255" s="134"/>
    </row>
    <row r="7256" spans="4:10" x14ac:dyDescent="0.3">
      <c r="D7256" s="40"/>
      <c r="J7256" s="134"/>
    </row>
    <row r="7257" spans="4:10" x14ac:dyDescent="0.3">
      <c r="D7257" s="40"/>
      <c r="J7257" s="134"/>
    </row>
    <row r="7258" spans="4:10" x14ac:dyDescent="0.3">
      <c r="D7258" s="40"/>
      <c r="J7258" s="134"/>
    </row>
    <row r="7259" spans="4:10" x14ac:dyDescent="0.3">
      <c r="D7259" s="40"/>
      <c r="J7259" s="134"/>
    </row>
    <row r="7260" spans="4:10" x14ac:dyDescent="0.3">
      <c r="D7260" s="40"/>
      <c r="J7260" s="134"/>
    </row>
    <row r="7261" spans="4:10" x14ac:dyDescent="0.3">
      <c r="D7261" s="40"/>
      <c r="J7261" s="134"/>
    </row>
    <row r="7262" spans="4:10" x14ac:dyDescent="0.3">
      <c r="D7262" s="40"/>
      <c r="J7262" s="134"/>
    </row>
    <row r="7263" spans="4:10" x14ac:dyDescent="0.3">
      <c r="D7263" s="40"/>
      <c r="J7263" s="134"/>
    </row>
    <row r="7264" spans="4:10" x14ac:dyDescent="0.3">
      <c r="D7264" s="40"/>
      <c r="J7264" s="134"/>
    </row>
    <row r="7265" spans="4:10" x14ac:dyDescent="0.3">
      <c r="D7265" s="40"/>
      <c r="J7265" s="134"/>
    </row>
    <row r="7266" spans="4:10" x14ac:dyDescent="0.3">
      <c r="D7266" s="40"/>
      <c r="J7266" s="134"/>
    </row>
    <row r="7267" spans="4:10" x14ac:dyDescent="0.3">
      <c r="D7267" s="40"/>
      <c r="J7267" s="134"/>
    </row>
    <row r="7268" spans="4:10" x14ac:dyDescent="0.3">
      <c r="D7268" s="40"/>
      <c r="J7268" s="134"/>
    </row>
    <row r="7269" spans="4:10" x14ac:dyDescent="0.3">
      <c r="D7269" s="40"/>
      <c r="J7269" s="134"/>
    </row>
    <row r="7270" spans="4:10" x14ac:dyDescent="0.3">
      <c r="D7270" s="40"/>
      <c r="J7270" s="134"/>
    </row>
    <row r="7271" spans="4:10" x14ac:dyDescent="0.3">
      <c r="D7271" s="40"/>
      <c r="J7271" s="134"/>
    </row>
    <row r="7272" spans="4:10" x14ac:dyDescent="0.3">
      <c r="D7272" s="40"/>
      <c r="J7272" s="134"/>
    </row>
    <row r="7273" spans="4:10" x14ac:dyDescent="0.3">
      <c r="D7273" s="40"/>
      <c r="J7273" s="134"/>
    </row>
    <row r="7274" spans="4:10" x14ac:dyDescent="0.3">
      <c r="D7274" s="40"/>
      <c r="J7274" s="134"/>
    </row>
    <row r="7275" spans="4:10" x14ac:dyDescent="0.3">
      <c r="D7275" s="40"/>
      <c r="J7275" s="134"/>
    </row>
    <row r="7276" spans="4:10" x14ac:dyDescent="0.3">
      <c r="D7276" s="40"/>
      <c r="J7276" s="134"/>
    </row>
    <row r="7277" spans="4:10" x14ac:dyDescent="0.3">
      <c r="D7277" s="40"/>
      <c r="J7277" s="134"/>
    </row>
    <row r="7278" spans="4:10" x14ac:dyDescent="0.3">
      <c r="D7278" s="40"/>
      <c r="J7278" s="134"/>
    </row>
    <row r="7279" spans="4:10" x14ac:dyDescent="0.3">
      <c r="D7279" s="40"/>
      <c r="J7279" s="134"/>
    </row>
    <row r="7280" spans="4:10" x14ac:dyDescent="0.3">
      <c r="D7280" s="40"/>
      <c r="J7280" s="134"/>
    </row>
    <row r="7281" spans="4:10" x14ac:dyDescent="0.3">
      <c r="D7281" s="40"/>
      <c r="J7281" s="134"/>
    </row>
    <row r="7282" spans="4:10" x14ac:dyDescent="0.3">
      <c r="D7282" s="40"/>
      <c r="J7282" s="134"/>
    </row>
    <row r="7283" spans="4:10" x14ac:dyDescent="0.3">
      <c r="D7283" s="40"/>
      <c r="J7283" s="134"/>
    </row>
    <row r="7284" spans="4:10" x14ac:dyDescent="0.3">
      <c r="D7284" s="40"/>
      <c r="J7284" s="134"/>
    </row>
    <row r="7285" spans="4:10" x14ac:dyDescent="0.3">
      <c r="D7285" s="40"/>
      <c r="J7285" s="134"/>
    </row>
    <row r="7286" spans="4:10" x14ac:dyDescent="0.3">
      <c r="D7286" s="40"/>
      <c r="J7286" s="134"/>
    </row>
    <row r="7287" spans="4:10" x14ac:dyDescent="0.3">
      <c r="D7287" s="40"/>
      <c r="J7287" s="134"/>
    </row>
    <row r="7288" spans="4:10" x14ac:dyDescent="0.3">
      <c r="D7288" s="40"/>
      <c r="J7288" s="134"/>
    </row>
    <row r="7289" spans="4:10" x14ac:dyDescent="0.3">
      <c r="D7289" s="40"/>
      <c r="J7289" s="134"/>
    </row>
    <row r="7290" spans="4:10" x14ac:dyDescent="0.3">
      <c r="D7290" s="40"/>
      <c r="J7290" s="134"/>
    </row>
    <row r="7291" spans="4:10" x14ac:dyDescent="0.3">
      <c r="D7291" s="40"/>
      <c r="J7291" s="134"/>
    </row>
    <row r="7292" spans="4:10" x14ac:dyDescent="0.3">
      <c r="D7292" s="40"/>
      <c r="J7292" s="134"/>
    </row>
    <row r="7293" spans="4:10" x14ac:dyDescent="0.3">
      <c r="D7293" s="40"/>
      <c r="J7293" s="134"/>
    </row>
    <row r="7294" spans="4:10" x14ac:dyDescent="0.3">
      <c r="D7294" s="40"/>
      <c r="J7294" s="134"/>
    </row>
    <row r="7295" spans="4:10" x14ac:dyDescent="0.3">
      <c r="D7295" s="40"/>
      <c r="J7295" s="134"/>
    </row>
    <row r="7296" spans="4:10" x14ac:dyDescent="0.3">
      <c r="D7296" s="40"/>
      <c r="J7296" s="134"/>
    </row>
    <row r="7297" spans="4:10" x14ac:dyDescent="0.3">
      <c r="D7297" s="40"/>
      <c r="J7297" s="134"/>
    </row>
    <row r="7298" spans="4:10" x14ac:dyDescent="0.3">
      <c r="D7298" s="40"/>
      <c r="J7298" s="134"/>
    </row>
    <row r="7299" spans="4:10" x14ac:dyDescent="0.3">
      <c r="D7299" s="40"/>
      <c r="J7299" s="134"/>
    </row>
    <row r="7300" spans="4:10" x14ac:dyDescent="0.3">
      <c r="D7300" s="40"/>
      <c r="J7300" s="134"/>
    </row>
    <row r="7301" spans="4:10" x14ac:dyDescent="0.3">
      <c r="D7301" s="40"/>
      <c r="J7301" s="134"/>
    </row>
    <row r="7302" spans="4:10" x14ac:dyDescent="0.3">
      <c r="D7302" s="40"/>
      <c r="J7302" s="134"/>
    </row>
    <row r="7303" spans="4:10" x14ac:dyDescent="0.3">
      <c r="D7303" s="40"/>
      <c r="J7303" s="134"/>
    </row>
    <row r="7304" spans="4:10" x14ac:dyDescent="0.3">
      <c r="D7304" s="40"/>
      <c r="J7304" s="134"/>
    </row>
    <row r="7305" spans="4:10" x14ac:dyDescent="0.3">
      <c r="D7305" s="40"/>
      <c r="J7305" s="134"/>
    </row>
    <row r="7306" spans="4:10" x14ac:dyDescent="0.3">
      <c r="D7306" s="40"/>
      <c r="J7306" s="134"/>
    </row>
    <row r="7307" spans="4:10" x14ac:dyDescent="0.3">
      <c r="D7307" s="40"/>
      <c r="J7307" s="134"/>
    </row>
    <row r="7308" spans="4:10" x14ac:dyDescent="0.3">
      <c r="D7308" s="40"/>
      <c r="J7308" s="134"/>
    </row>
    <row r="7309" spans="4:10" x14ac:dyDescent="0.3">
      <c r="D7309" s="40"/>
      <c r="J7309" s="134"/>
    </row>
    <row r="7310" spans="4:10" x14ac:dyDescent="0.3">
      <c r="D7310" s="40"/>
      <c r="J7310" s="134"/>
    </row>
    <row r="7311" spans="4:10" x14ac:dyDescent="0.3">
      <c r="D7311" s="40"/>
      <c r="J7311" s="134"/>
    </row>
    <row r="7312" spans="4:10" x14ac:dyDescent="0.3">
      <c r="D7312" s="40"/>
      <c r="J7312" s="134"/>
    </row>
    <row r="7313" spans="4:10" x14ac:dyDescent="0.3">
      <c r="D7313" s="40"/>
      <c r="J7313" s="134"/>
    </row>
    <row r="7314" spans="4:10" x14ac:dyDescent="0.3">
      <c r="D7314" s="40"/>
      <c r="J7314" s="134"/>
    </row>
    <row r="7315" spans="4:10" x14ac:dyDescent="0.3">
      <c r="D7315" s="40"/>
      <c r="J7315" s="134"/>
    </row>
    <row r="7316" spans="4:10" x14ac:dyDescent="0.3">
      <c r="D7316" s="40"/>
      <c r="J7316" s="134"/>
    </row>
    <row r="7317" spans="4:10" x14ac:dyDescent="0.3">
      <c r="D7317" s="40"/>
      <c r="J7317" s="134"/>
    </row>
    <row r="7318" spans="4:10" x14ac:dyDescent="0.3">
      <c r="D7318" s="40"/>
      <c r="J7318" s="134"/>
    </row>
    <row r="7319" spans="4:10" x14ac:dyDescent="0.3">
      <c r="D7319" s="40"/>
      <c r="J7319" s="134"/>
    </row>
    <row r="7320" spans="4:10" x14ac:dyDescent="0.3">
      <c r="D7320" s="40"/>
      <c r="J7320" s="134"/>
    </row>
    <row r="7321" spans="4:10" x14ac:dyDescent="0.3">
      <c r="D7321" s="40"/>
      <c r="J7321" s="134"/>
    </row>
    <row r="7322" spans="4:10" x14ac:dyDescent="0.3">
      <c r="D7322" s="40"/>
      <c r="J7322" s="134"/>
    </row>
    <row r="7323" spans="4:10" x14ac:dyDescent="0.3">
      <c r="D7323" s="40"/>
      <c r="J7323" s="134"/>
    </row>
    <row r="7324" spans="4:10" x14ac:dyDescent="0.3">
      <c r="D7324" s="40"/>
      <c r="J7324" s="134"/>
    </row>
    <row r="7325" spans="4:10" x14ac:dyDescent="0.3">
      <c r="D7325" s="40"/>
      <c r="J7325" s="134"/>
    </row>
    <row r="7326" spans="4:10" x14ac:dyDescent="0.3">
      <c r="D7326" s="40"/>
      <c r="J7326" s="134"/>
    </row>
    <row r="7327" spans="4:10" x14ac:dyDescent="0.3">
      <c r="D7327" s="40"/>
      <c r="J7327" s="134"/>
    </row>
    <row r="7328" spans="4:10" x14ac:dyDescent="0.3">
      <c r="D7328" s="40"/>
      <c r="J7328" s="134"/>
    </row>
    <row r="7329" spans="4:10" x14ac:dyDescent="0.3">
      <c r="D7329" s="40"/>
      <c r="J7329" s="134"/>
    </row>
    <row r="7330" spans="4:10" x14ac:dyDescent="0.3">
      <c r="D7330" s="40"/>
      <c r="J7330" s="134"/>
    </row>
    <row r="7331" spans="4:10" x14ac:dyDescent="0.3">
      <c r="D7331" s="40"/>
      <c r="J7331" s="134"/>
    </row>
    <row r="7332" spans="4:10" x14ac:dyDescent="0.3">
      <c r="D7332" s="40"/>
      <c r="J7332" s="134"/>
    </row>
    <row r="7333" spans="4:10" x14ac:dyDescent="0.3">
      <c r="D7333" s="40"/>
      <c r="J7333" s="134"/>
    </row>
    <row r="7334" spans="4:10" x14ac:dyDescent="0.3">
      <c r="D7334" s="40"/>
      <c r="J7334" s="134"/>
    </row>
    <row r="7335" spans="4:10" x14ac:dyDescent="0.3">
      <c r="D7335" s="40"/>
      <c r="J7335" s="134"/>
    </row>
    <row r="7336" spans="4:10" x14ac:dyDescent="0.3">
      <c r="D7336" s="40"/>
      <c r="J7336" s="134"/>
    </row>
    <row r="7337" spans="4:10" x14ac:dyDescent="0.3">
      <c r="D7337" s="40"/>
      <c r="J7337" s="134"/>
    </row>
    <row r="7338" spans="4:10" x14ac:dyDescent="0.3">
      <c r="D7338" s="40"/>
      <c r="J7338" s="134"/>
    </row>
    <row r="7339" spans="4:10" x14ac:dyDescent="0.3">
      <c r="D7339" s="40"/>
      <c r="J7339" s="134"/>
    </row>
    <row r="7340" spans="4:10" x14ac:dyDescent="0.3">
      <c r="D7340" s="40"/>
      <c r="J7340" s="134"/>
    </row>
    <row r="7341" spans="4:10" x14ac:dyDescent="0.3">
      <c r="D7341" s="40"/>
      <c r="J7341" s="134"/>
    </row>
    <row r="7342" spans="4:10" x14ac:dyDescent="0.3">
      <c r="D7342" s="40"/>
      <c r="J7342" s="134"/>
    </row>
    <row r="7343" spans="4:10" x14ac:dyDescent="0.3">
      <c r="D7343" s="40"/>
      <c r="J7343" s="134"/>
    </row>
    <row r="7344" spans="4:10" x14ac:dyDescent="0.3">
      <c r="D7344" s="40"/>
      <c r="J7344" s="134"/>
    </row>
    <row r="7345" spans="4:10" x14ac:dyDescent="0.3">
      <c r="D7345" s="40"/>
      <c r="J7345" s="134"/>
    </row>
    <row r="7346" spans="4:10" x14ac:dyDescent="0.3">
      <c r="D7346" s="40"/>
      <c r="J7346" s="134"/>
    </row>
    <row r="7347" spans="4:10" x14ac:dyDescent="0.3">
      <c r="D7347" s="40"/>
      <c r="J7347" s="134"/>
    </row>
    <row r="7348" spans="4:10" x14ac:dyDescent="0.3">
      <c r="D7348" s="40"/>
      <c r="J7348" s="134"/>
    </row>
    <row r="7349" spans="4:10" x14ac:dyDescent="0.3">
      <c r="D7349" s="40"/>
      <c r="J7349" s="134"/>
    </row>
    <row r="7350" spans="4:10" x14ac:dyDescent="0.3">
      <c r="D7350" s="40"/>
      <c r="J7350" s="134"/>
    </row>
    <row r="7351" spans="4:10" x14ac:dyDescent="0.3">
      <c r="D7351" s="40"/>
      <c r="J7351" s="134"/>
    </row>
    <row r="7352" spans="4:10" x14ac:dyDescent="0.3">
      <c r="D7352" s="40"/>
      <c r="J7352" s="134"/>
    </row>
    <row r="7353" spans="4:10" x14ac:dyDescent="0.3">
      <c r="D7353" s="40"/>
      <c r="J7353" s="134"/>
    </row>
    <row r="7354" spans="4:10" x14ac:dyDescent="0.3">
      <c r="D7354" s="40"/>
      <c r="J7354" s="134"/>
    </row>
    <row r="7355" spans="4:10" x14ac:dyDescent="0.3">
      <c r="D7355" s="40"/>
      <c r="J7355" s="134"/>
    </row>
    <row r="7356" spans="4:10" x14ac:dyDescent="0.3">
      <c r="D7356" s="40"/>
      <c r="J7356" s="134"/>
    </row>
    <row r="7357" spans="4:10" x14ac:dyDescent="0.3">
      <c r="D7357" s="40"/>
      <c r="J7357" s="134"/>
    </row>
    <row r="7358" spans="4:10" x14ac:dyDescent="0.3">
      <c r="D7358" s="40"/>
      <c r="J7358" s="134"/>
    </row>
    <row r="7359" spans="4:10" x14ac:dyDescent="0.3">
      <c r="D7359" s="40"/>
      <c r="J7359" s="134"/>
    </row>
    <row r="7360" spans="4:10" x14ac:dyDescent="0.3">
      <c r="D7360" s="40"/>
      <c r="J7360" s="134"/>
    </row>
    <row r="7361" spans="4:10" x14ac:dyDescent="0.3">
      <c r="D7361" s="40"/>
      <c r="J7361" s="134"/>
    </row>
    <row r="7362" spans="4:10" x14ac:dyDescent="0.3">
      <c r="D7362" s="40"/>
      <c r="J7362" s="134"/>
    </row>
    <row r="7363" spans="4:10" x14ac:dyDescent="0.3">
      <c r="D7363" s="40"/>
      <c r="J7363" s="134"/>
    </row>
    <row r="7364" spans="4:10" x14ac:dyDescent="0.3">
      <c r="D7364" s="40"/>
      <c r="J7364" s="134"/>
    </row>
    <row r="7365" spans="4:10" x14ac:dyDescent="0.3">
      <c r="D7365" s="40"/>
      <c r="J7365" s="134"/>
    </row>
    <row r="7366" spans="4:10" x14ac:dyDescent="0.3">
      <c r="D7366" s="40"/>
      <c r="J7366" s="134"/>
    </row>
    <row r="7367" spans="4:10" x14ac:dyDescent="0.3">
      <c r="D7367" s="40"/>
      <c r="J7367" s="134"/>
    </row>
    <row r="7368" spans="4:10" x14ac:dyDescent="0.3">
      <c r="D7368" s="40"/>
      <c r="J7368" s="134"/>
    </row>
    <row r="7369" spans="4:10" x14ac:dyDescent="0.3">
      <c r="D7369" s="40"/>
      <c r="J7369" s="134"/>
    </row>
    <row r="7370" spans="4:10" x14ac:dyDescent="0.3">
      <c r="D7370" s="40"/>
      <c r="J7370" s="134"/>
    </row>
    <row r="7371" spans="4:10" x14ac:dyDescent="0.3">
      <c r="D7371" s="40"/>
      <c r="J7371" s="134"/>
    </row>
    <row r="7372" spans="4:10" x14ac:dyDescent="0.3">
      <c r="D7372" s="40"/>
      <c r="J7372" s="134"/>
    </row>
    <row r="7373" spans="4:10" x14ac:dyDescent="0.3">
      <c r="D7373" s="40"/>
      <c r="J7373" s="134"/>
    </row>
    <row r="7374" spans="4:10" x14ac:dyDescent="0.3">
      <c r="D7374" s="40"/>
      <c r="J7374" s="134"/>
    </row>
    <row r="7375" spans="4:10" x14ac:dyDescent="0.3">
      <c r="D7375" s="40"/>
      <c r="J7375" s="134"/>
    </row>
    <row r="7376" spans="4:10" x14ac:dyDescent="0.3">
      <c r="D7376" s="40"/>
      <c r="J7376" s="134"/>
    </row>
    <row r="7377" spans="4:10" x14ac:dyDescent="0.3">
      <c r="D7377" s="40"/>
      <c r="J7377" s="134"/>
    </row>
    <row r="7378" spans="4:10" x14ac:dyDescent="0.3">
      <c r="D7378" s="40"/>
      <c r="J7378" s="134"/>
    </row>
    <row r="7379" spans="4:10" x14ac:dyDescent="0.3">
      <c r="D7379" s="40"/>
      <c r="J7379" s="134"/>
    </row>
    <row r="7380" spans="4:10" x14ac:dyDescent="0.3">
      <c r="D7380" s="40"/>
      <c r="J7380" s="134"/>
    </row>
    <row r="7381" spans="4:10" x14ac:dyDescent="0.3">
      <c r="D7381" s="40"/>
      <c r="J7381" s="134"/>
    </row>
    <row r="7382" spans="4:10" x14ac:dyDescent="0.3">
      <c r="D7382" s="40"/>
      <c r="J7382" s="134"/>
    </row>
    <row r="7383" spans="4:10" x14ac:dyDescent="0.3">
      <c r="D7383" s="40"/>
      <c r="J7383" s="134"/>
    </row>
    <row r="7384" spans="4:10" x14ac:dyDescent="0.3">
      <c r="D7384" s="40"/>
      <c r="J7384" s="134"/>
    </row>
    <row r="7385" spans="4:10" x14ac:dyDescent="0.3">
      <c r="D7385" s="40"/>
      <c r="J7385" s="134"/>
    </row>
    <row r="7386" spans="4:10" x14ac:dyDescent="0.3">
      <c r="D7386" s="40"/>
      <c r="J7386" s="134"/>
    </row>
    <row r="7387" spans="4:10" x14ac:dyDescent="0.3">
      <c r="D7387" s="40"/>
      <c r="J7387" s="134"/>
    </row>
    <row r="7388" spans="4:10" x14ac:dyDescent="0.3">
      <c r="D7388" s="40"/>
      <c r="J7388" s="134"/>
    </row>
    <row r="7389" spans="4:10" x14ac:dyDescent="0.3">
      <c r="D7389" s="40"/>
      <c r="J7389" s="134"/>
    </row>
    <row r="7390" spans="4:10" x14ac:dyDescent="0.3">
      <c r="D7390" s="40"/>
      <c r="J7390" s="134"/>
    </row>
    <row r="7391" spans="4:10" x14ac:dyDescent="0.3">
      <c r="D7391" s="40"/>
      <c r="J7391" s="134"/>
    </row>
    <row r="7392" spans="4:10" x14ac:dyDescent="0.3">
      <c r="D7392" s="40"/>
      <c r="J7392" s="134"/>
    </row>
    <row r="7393" spans="4:10" x14ac:dyDescent="0.3">
      <c r="D7393" s="40"/>
      <c r="J7393" s="134"/>
    </row>
    <row r="7394" spans="4:10" x14ac:dyDescent="0.3">
      <c r="D7394" s="40"/>
      <c r="J7394" s="134"/>
    </row>
    <row r="7395" spans="4:10" x14ac:dyDescent="0.3">
      <c r="D7395" s="40"/>
      <c r="J7395" s="134"/>
    </row>
    <row r="7396" spans="4:10" x14ac:dyDescent="0.3">
      <c r="D7396" s="40"/>
      <c r="J7396" s="134"/>
    </row>
    <row r="7397" spans="4:10" x14ac:dyDescent="0.3">
      <c r="D7397" s="40"/>
      <c r="J7397" s="134"/>
    </row>
    <row r="7398" spans="4:10" x14ac:dyDescent="0.3">
      <c r="D7398" s="40"/>
      <c r="J7398" s="134"/>
    </row>
    <row r="7399" spans="4:10" x14ac:dyDescent="0.3">
      <c r="D7399" s="40"/>
      <c r="J7399" s="134"/>
    </row>
    <row r="7400" spans="4:10" x14ac:dyDescent="0.3">
      <c r="D7400" s="40"/>
      <c r="J7400" s="134"/>
    </row>
    <row r="7401" spans="4:10" x14ac:dyDescent="0.3">
      <c r="D7401" s="40"/>
      <c r="J7401" s="134"/>
    </row>
    <row r="7402" spans="4:10" x14ac:dyDescent="0.3">
      <c r="D7402" s="40"/>
      <c r="J7402" s="134"/>
    </row>
    <row r="7403" spans="4:10" x14ac:dyDescent="0.3">
      <c r="D7403" s="40"/>
      <c r="J7403" s="134"/>
    </row>
    <row r="7404" spans="4:10" x14ac:dyDescent="0.3">
      <c r="D7404" s="40"/>
      <c r="J7404" s="134"/>
    </row>
    <row r="7405" spans="4:10" x14ac:dyDescent="0.3">
      <c r="D7405" s="40"/>
      <c r="J7405" s="134"/>
    </row>
    <row r="7406" spans="4:10" x14ac:dyDescent="0.3">
      <c r="D7406" s="40"/>
      <c r="J7406" s="134"/>
    </row>
    <row r="7407" spans="4:10" x14ac:dyDescent="0.3">
      <c r="D7407" s="40"/>
      <c r="J7407" s="134"/>
    </row>
    <row r="7408" spans="4:10" x14ac:dyDescent="0.3">
      <c r="D7408" s="40"/>
      <c r="J7408" s="134"/>
    </row>
    <row r="7409" spans="4:10" x14ac:dyDescent="0.3">
      <c r="D7409" s="40"/>
      <c r="J7409" s="134"/>
    </row>
    <row r="7410" spans="4:10" x14ac:dyDescent="0.3">
      <c r="D7410" s="40"/>
      <c r="J7410" s="134"/>
    </row>
    <row r="7411" spans="4:10" x14ac:dyDescent="0.3">
      <c r="D7411" s="40"/>
      <c r="J7411" s="134"/>
    </row>
    <row r="7412" spans="4:10" x14ac:dyDescent="0.3">
      <c r="D7412" s="40"/>
      <c r="J7412" s="134"/>
    </row>
    <row r="7413" spans="4:10" x14ac:dyDescent="0.3">
      <c r="D7413" s="40"/>
      <c r="J7413" s="134"/>
    </row>
    <row r="7414" spans="4:10" x14ac:dyDescent="0.3">
      <c r="D7414" s="40"/>
      <c r="J7414" s="134"/>
    </row>
    <row r="7415" spans="4:10" x14ac:dyDescent="0.3">
      <c r="D7415" s="40"/>
      <c r="J7415" s="134"/>
    </row>
    <row r="7416" spans="4:10" x14ac:dyDescent="0.3">
      <c r="D7416" s="40"/>
      <c r="J7416" s="134"/>
    </row>
    <row r="7417" spans="4:10" x14ac:dyDescent="0.3">
      <c r="D7417" s="40"/>
      <c r="J7417" s="134"/>
    </row>
    <row r="7418" spans="4:10" x14ac:dyDescent="0.3">
      <c r="D7418" s="40"/>
      <c r="J7418" s="134"/>
    </row>
    <row r="7419" spans="4:10" x14ac:dyDescent="0.3">
      <c r="D7419" s="40"/>
      <c r="J7419" s="134"/>
    </row>
    <row r="7420" spans="4:10" x14ac:dyDescent="0.3">
      <c r="D7420" s="40"/>
      <c r="J7420" s="134"/>
    </row>
    <row r="7421" spans="4:10" x14ac:dyDescent="0.3">
      <c r="D7421" s="40"/>
      <c r="J7421" s="134"/>
    </row>
    <row r="7422" spans="4:10" x14ac:dyDescent="0.3">
      <c r="D7422" s="40"/>
      <c r="J7422" s="134"/>
    </row>
    <row r="7423" spans="4:10" x14ac:dyDescent="0.3">
      <c r="D7423" s="40"/>
      <c r="J7423" s="134"/>
    </row>
    <row r="7424" spans="4:10" x14ac:dyDescent="0.3">
      <c r="D7424" s="40"/>
      <c r="J7424" s="134"/>
    </row>
    <row r="7425" spans="4:10" x14ac:dyDescent="0.3">
      <c r="D7425" s="40"/>
      <c r="J7425" s="134"/>
    </row>
    <row r="7426" spans="4:10" x14ac:dyDescent="0.3">
      <c r="D7426" s="40"/>
      <c r="J7426" s="134"/>
    </row>
    <row r="7427" spans="4:10" x14ac:dyDescent="0.3">
      <c r="D7427" s="40"/>
      <c r="J7427" s="134"/>
    </row>
    <row r="7428" spans="4:10" x14ac:dyDescent="0.3">
      <c r="D7428" s="40"/>
      <c r="J7428" s="134"/>
    </row>
    <row r="7429" spans="4:10" x14ac:dyDescent="0.3">
      <c r="D7429" s="40"/>
      <c r="J7429" s="134"/>
    </row>
    <row r="7430" spans="4:10" x14ac:dyDescent="0.3">
      <c r="D7430" s="40"/>
      <c r="J7430" s="134"/>
    </row>
    <row r="7431" spans="4:10" x14ac:dyDescent="0.3">
      <c r="D7431" s="40"/>
      <c r="J7431" s="134"/>
    </row>
    <row r="7432" spans="4:10" x14ac:dyDescent="0.3">
      <c r="D7432" s="40"/>
      <c r="J7432" s="134"/>
    </row>
    <row r="7433" spans="4:10" x14ac:dyDescent="0.3">
      <c r="D7433" s="40"/>
      <c r="J7433" s="134"/>
    </row>
    <row r="7434" spans="4:10" x14ac:dyDescent="0.3">
      <c r="D7434" s="40"/>
      <c r="J7434" s="134"/>
    </row>
    <row r="7435" spans="4:10" x14ac:dyDescent="0.3">
      <c r="D7435" s="40"/>
      <c r="J7435" s="134"/>
    </row>
    <row r="7436" spans="4:10" x14ac:dyDescent="0.3">
      <c r="D7436" s="40"/>
      <c r="J7436" s="134"/>
    </row>
    <row r="7437" spans="4:10" x14ac:dyDescent="0.3">
      <c r="D7437" s="40"/>
      <c r="J7437" s="134"/>
    </row>
    <row r="7438" spans="4:10" x14ac:dyDescent="0.3">
      <c r="D7438" s="40"/>
      <c r="J7438" s="134"/>
    </row>
    <row r="7439" spans="4:10" x14ac:dyDescent="0.3">
      <c r="D7439" s="40"/>
      <c r="J7439" s="134"/>
    </row>
    <row r="7440" spans="4:10" x14ac:dyDescent="0.3">
      <c r="D7440" s="40"/>
      <c r="J7440" s="134"/>
    </row>
    <row r="7441" spans="4:10" x14ac:dyDescent="0.3">
      <c r="D7441" s="40"/>
      <c r="J7441" s="134"/>
    </row>
    <row r="7442" spans="4:10" x14ac:dyDescent="0.3">
      <c r="D7442" s="40"/>
      <c r="J7442" s="134"/>
    </row>
    <row r="7443" spans="4:10" x14ac:dyDescent="0.3">
      <c r="D7443" s="40"/>
      <c r="J7443" s="134"/>
    </row>
    <row r="7444" spans="4:10" x14ac:dyDescent="0.3">
      <c r="D7444" s="40"/>
      <c r="J7444" s="134"/>
    </row>
    <row r="7445" spans="4:10" x14ac:dyDescent="0.3">
      <c r="D7445" s="40"/>
      <c r="J7445" s="134"/>
    </row>
    <row r="7446" spans="4:10" x14ac:dyDescent="0.3">
      <c r="D7446" s="40"/>
      <c r="J7446" s="134"/>
    </row>
    <row r="7447" spans="4:10" x14ac:dyDescent="0.3">
      <c r="D7447" s="40"/>
      <c r="J7447" s="134"/>
    </row>
    <row r="7448" spans="4:10" x14ac:dyDescent="0.3">
      <c r="D7448" s="40"/>
      <c r="J7448" s="134"/>
    </row>
    <row r="7449" spans="4:10" x14ac:dyDescent="0.3">
      <c r="D7449" s="40"/>
      <c r="J7449" s="134"/>
    </row>
    <row r="7450" spans="4:10" x14ac:dyDescent="0.3">
      <c r="D7450" s="40"/>
      <c r="J7450" s="134"/>
    </row>
    <row r="7451" spans="4:10" x14ac:dyDescent="0.3">
      <c r="D7451" s="40"/>
      <c r="J7451" s="134"/>
    </row>
    <row r="7452" spans="4:10" x14ac:dyDescent="0.3">
      <c r="D7452" s="40"/>
      <c r="J7452" s="134"/>
    </row>
    <row r="7453" spans="4:10" x14ac:dyDescent="0.3">
      <c r="D7453" s="40"/>
      <c r="J7453" s="134"/>
    </row>
    <row r="7454" spans="4:10" x14ac:dyDescent="0.3">
      <c r="D7454" s="40"/>
      <c r="J7454" s="134"/>
    </row>
    <row r="7455" spans="4:10" x14ac:dyDescent="0.3">
      <c r="D7455" s="40"/>
      <c r="J7455" s="134"/>
    </row>
    <row r="7456" spans="4:10" x14ac:dyDescent="0.3">
      <c r="D7456" s="40"/>
      <c r="J7456" s="134"/>
    </row>
    <row r="7457" spans="4:10" x14ac:dyDescent="0.3">
      <c r="D7457" s="40"/>
      <c r="J7457" s="134"/>
    </row>
    <row r="7458" spans="4:10" x14ac:dyDescent="0.3">
      <c r="D7458" s="40"/>
      <c r="J7458" s="134"/>
    </row>
    <row r="7459" spans="4:10" x14ac:dyDescent="0.3">
      <c r="D7459" s="40"/>
      <c r="J7459" s="134"/>
    </row>
    <row r="7460" spans="4:10" x14ac:dyDescent="0.3">
      <c r="D7460" s="40"/>
      <c r="J7460" s="134"/>
    </row>
    <row r="7461" spans="4:10" x14ac:dyDescent="0.3">
      <c r="D7461" s="40"/>
      <c r="J7461" s="134"/>
    </row>
    <row r="7462" spans="4:10" x14ac:dyDescent="0.3">
      <c r="D7462" s="40"/>
      <c r="J7462" s="134"/>
    </row>
    <row r="7463" spans="4:10" x14ac:dyDescent="0.3">
      <c r="D7463" s="40"/>
      <c r="J7463" s="134"/>
    </row>
    <row r="7464" spans="4:10" x14ac:dyDescent="0.3">
      <c r="D7464" s="40"/>
      <c r="J7464" s="134"/>
    </row>
    <row r="7465" spans="4:10" x14ac:dyDescent="0.3">
      <c r="D7465" s="40"/>
      <c r="J7465" s="134"/>
    </row>
    <row r="7466" spans="4:10" x14ac:dyDescent="0.3">
      <c r="D7466" s="40"/>
      <c r="J7466" s="134"/>
    </row>
    <row r="7467" spans="4:10" x14ac:dyDescent="0.3">
      <c r="D7467" s="40"/>
      <c r="J7467" s="134"/>
    </row>
    <row r="7468" spans="4:10" x14ac:dyDescent="0.3">
      <c r="D7468" s="40"/>
      <c r="J7468" s="134"/>
    </row>
    <row r="7469" spans="4:10" x14ac:dyDescent="0.3">
      <c r="D7469" s="40"/>
      <c r="J7469" s="134"/>
    </row>
    <row r="7470" spans="4:10" x14ac:dyDescent="0.3">
      <c r="D7470" s="40"/>
      <c r="J7470" s="134"/>
    </row>
    <row r="7471" spans="4:10" x14ac:dyDescent="0.3">
      <c r="D7471" s="40"/>
      <c r="J7471" s="134"/>
    </row>
    <row r="7472" spans="4:10" x14ac:dyDescent="0.3">
      <c r="D7472" s="40"/>
      <c r="J7472" s="134"/>
    </row>
    <row r="7473" spans="4:10" x14ac:dyDescent="0.3">
      <c r="D7473" s="40"/>
      <c r="J7473" s="134"/>
    </row>
    <row r="7474" spans="4:10" x14ac:dyDescent="0.3">
      <c r="D7474" s="40"/>
      <c r="J7474" s="134"/>
    </row>
    <row r="7475" spans="4:10" x14ac:dyDescent="0.3">
      <c r="D7475" s="40"/>
      <c r="J7475" s="134"/>
    </row>
    <row r="7476" spans="4:10" x14ac:dyDescent="0.3">
      <c r="D7476" s="40"/>
      <c r="J7476" s="134"/>
    </row>
    <row r="7477" spans="4:10" x14ac:dyDescent="0.3">
      <c r="D7477" s="40"/>
      <c r="J7477" s="134"/>
    </row>
    <row r="7478" spans="4:10" x14ac:dyDescent="0.3">
      <c r="D7478" s="40"/>
      <c r="J7478" s="134"/>
    </row>
    <row r="7479" spans="4:10" x14ac:dyDescent="0.3">
      <c r="D7479" s="40"/>
      <c r="J7479" s="134"/>
    </row>
    <row r="7480" spans="4:10" x14ac:dyDescent="0.3">
      <c r="D7480" s="40"/>
      <c r="J7480" s="134"/>
    </row>
    <row r="7481" spans="4:10" x14ac:dyDescent="0.3">
      <c r="D7481" s="40"/>
      <c r="J7481" s="134"/>
    </row>
    <row r="7482" spans="4:10" x14ac:dyDescent="0.3">
      <c r="D7482" s="40"/>
      <c r="J7482" s="134"/>
    </row>
    <row r="7483" spans="4:10" x14ac:dyDescent="0.3">
      <c r="D7483" s="40"/>
      <c r="J7483" s="134"/>
    </row>
    <row r="7484" spans="4:10" x14ac:dyDescent="0.3">
      <c r="D7484" s="40"/>
      <c r="J7484" s="134"/>
    </row>
    <row r="7485" spans="4:10" x14ac:dyDescent="0.3">
      <c r="D7485" s="40"/>
      <c r="J7485" s="134"/>
    </row>
    <row r="7486" spans="4:10" x14ac:dyDescent="0.3">
      <c r="D7486" s="40"/>
      <c r="J7486" s="134"/>
    </row>
    <row r="7487" spans="4:10" x14ac:dyDescent="0.3">
      <c r="D7487" s="40"/>
      <c r="J7487" s="134"/>
    </row>
    <row r="7488" spans="4:10" x14ac:dyDescent="0.3">
      <c r="D7488" s="40"/>
      <c r="J7488" s="134"/>
    </row>
    <row r="7489" spans="4:10" x14ac:dyDescent="0.3">
      <c r="D7489" s="40"/>
      <c r="J7489" s="134"/>
    </row>
    <row r="7490" spans="4:10" x14ac:dyDescent="0.3">
      <c r="D7490" s="40"/>
      <c r="J7490" s="134"/>
    </row>
    <row r="7491" spans="4:10" x14ac:dyDescent="0.3">
      <c r="D7491" s="40"/>
      <c r="J7491" s="134"/>
    </row>
    <row r="7492" spans="4:10" x14ac:dyDescent="0.3">
      <c r="D7492" s="40"/>
      <c r="J7492" s="134"/>
    </row>
    <row r="7493" spans="4:10" x14ac:dyDescent="0.3">
      <c r="D7493" s="40"/>
      <c r="J7493" s="134"/>
    </row>
    <row r="7494" spans="4:10" x14ac:dyDescent="0.3">
      <c r="D7494" s="40"/>
      <c r="J7494" s="134"/>
    </row>
    <row r="7495" spans="4:10" x14ac:dyDescent="0.3">
      <c r="D7495" s="40"/>
      <c r="J7495" s="134"/>
    </row>
    <row r="7496" spans="4:10" x14ac:dyDescent="0.3">
      <c r="D7496" s="40"/>
      <c r="J7496" s="134"/>
    </row>
    <row r="7497" spans="4:10" x14ac:dyDescent="0.3">
      <c r="D7497" s="40"/>
      <c r="J7497" s="134"/>
    </row>
    <row r="7498" spans="4:10" x14ac:dyDescent="0.3">
      <c r="D7498" s="40"/>
      <c r="J7498" s="134"/>
    </row>
    <row r="7499" spans="4:10" x14ac:dyDescent="0.3">
      <c r="D7499" s="40"/>
      <c r="J7499" s="134"/>
    </row>
    <row r="7500" spans="4:10" x14ac:dyDescent="0.3">
      <c r="D7500" s="40"/>
      <c r="J7500" s="134"/>
    </row>
    <row r="7501" spans="4:10" x14ac:dyDescent="0.3">
      <c r="D7501" s="40"/>
      <c r="J7501" s="134"/>
    </row>
    <row r="7502" spans="4:10" x14ac:dyDescent="0.3">
      <c r="D7502" s="40"/>
      <c r="J7502" s="134"/>
    </row>
    <row r="7503" spans="4:10" x14ac:dyDescent="0.3">
      <c r="D7503" s="40"/>
      <c r="J7503" s="134"/>
    </row>
    <row r="7504" spans="4:10" x14ac:dyDescent="0.3">
      <c r="D7504" s="40"/>
      <c r="J7504" s="134"/>
    </row>
    <row r="7505" spans="4:10" x14ac:dyDescent="0.3">
      <c r="D7505" s="40"/>
      <c r="J7505" s="134"/>
    </row>
    <row r="7506" spans="4:10" x14ac:dyDescent="0.3">
      <c r="D7506" s="40"/>
      <c r="J7506" s="134"/>
    </row>
    <row r="7507" spans="4:10" x14ac:dyDescent="0.3">
      <c r="D7507" s="40"/>
      <c r="J7507" s="134"/>
    </row>
    <row r="7508" spans="4:10" x14ac:dyDescent="0.3">
      <c r="D7508" s="40"/>
      <c r="J7508" s="134"/>
    </row>
    <row r="7509" spans="4:10" x14ac:dyDescent="0.3">
      <c r="D7509" s="40"/>
      <c r="J7509" s="134"/>
    </row>
    <row r="7510" spans="4:10" x14ac:dyDescent="0.3">
      <c r="D7510" s="40"/>
      <c r="J7510" s="134"/>
    </row>
    <row r="7511" spans="4:10" x14ac:dyDescent="0.3">
      <c r="D7511" s="40"/>
      <c r="J7511" s="134"/>
    </row>
    <row r="7512" spans="4:10" x14ac:dyDescent="0.3">
      <c r="D7512" s="40"/>
      <c r="J7512" s="134"/>
    </row>
    <row r="7513" spans="4:10" x14ac:dyDescent="0.3">
      <c r="D7513" s="40"/>
      <c r="J7513" s="134"/>
    </row>
    <row r="7514" spans="4:10" x14ac:dyDescent="0.3">
      <c r="D7514" s="40"/>
      <c r="J7514" s="134"/>
    </row>
    <row r="7515" spans="4:10" x14ac:dyDescent="0.3">
      <c r="D7515" s="40"/>
      <c r="J7515" s="134"/>
    </row>
    <row r="7516" spans="4:10" x14ac:dyDescent="0.3">
      <c r="D7516" s="40"/>
      <c r="J7516" s="134"/>
    </row>
    <row r="7517" spans="4:10" x14ac:dyDescent="0.3">
      <c r="D7517" s="40"/>
      <c r="J7517" s="134"/>
    </row>
    <row r="7518" spans="4:10" x14ac:dyDescent="0.3">
      <c r="D7518" s="40"/>
      <c r="J7518" s="134"/>
    </row>
    <row r="7519" spans="4:10" x14ac:dyDescent="0.3">
      <c r="D7519" s="40"/>
      <c r="J7519" s="134"/>
    </row>
    <row r="7520" spans="4:10" x14ac:dyDescent="0.3">
      <c r="D7520" s="40"/>
      <c r="J7520" s="134"/>
    </row>
    <row r="7521" spans="4:10" x14ac:dyDescent="0.3">
      <c r="D7521" s="40"/>
      <c r="J7521" s="134"/>
    </row>
    <row r="7522" spans="4:10" x14ac:dyDescent="0.3">
      <c r="D7522" s="40"/>
      <c r="J7522" s="134"/>
    </row>
    <row r="7523" spans="4:10" x14ac:dyDescent="0.3">
      <c r="D7523" s="40"/>
      <c r="J7523" s="134"/>
    </row>
    <row r="7524" spans="4:10" x14ac:dyDescent="0.3">
      <c r="D7524" s="40"/>
      <c r="J7524" s="134"/>
    </row>
    <row r="7525" spans="4:10" x14ac:dyDescent="0.3">
      <c r="D7525" s="40"/>
      <c r="J7525" s="134"/>
    </row>
    <row r="7526" spans="4:10" x14ac:dyDescent="0.3">
      <c r="D7526" s="40"/>
      <c r="J7526" s="134"/>
    </row>
    <row r="7527" spans="4:10" x14ac:dyDescent="0.3">
      <c r="D7527" s="40"/>
      <c r="J7527" s="134"/>
    </row>
    <row r="7528" spans="4:10" x14ac:dyDescent="0.3">
      <c r="D7528" s="40"/>
      <c r="J7528" s="134"/>
    </row>
    <row r="7529" spans="4:10" x14ac:dyDescent="0.3">
      <c r="D7529" s="40"/>
      <c r="J7529" s="134"/>
    </row>
    <row r="7530" spans="4:10" x14ac:dyDescent="0.3">
      <c r="D7530" s="40"/>
      <c r="J7530" s="134"/>
    </row>
    <row r="7531" spans="4:10" x14ac:dyDescent="0.3">
      <c r="D7531" s="40"/>
      <c r="J7531" s="134"/>
    </row>
    <row r="7532" spans="4:10" x14ac:dyDescent="0.3">
      <c r="D7532" s="40"/>
      <c r="J7532" s="134"/>
    </row>
    <row r="7533" spans="4:10" x14ac:dyDescent="0.3">
      <c r="D7533" s="40"/>
      <c r="J7533" s="134"/>
    </row>
    <row r="7534" spans="4:10" x14ac:dyDescent="0.3">
      <c r="D7534" s="40"/>
      <c r="J7534" s="134"/>
    </row>
    <row r="7535" spans="4:10" x14ac:dyDescent="0.3">
      <c r="D7535" s="40"/>
      <c r="J7535" s="134"/>
    </row>
    <row r="7536" spans="4:10" x14ac:dyDescent="0.3">
      <c r="D7536" s="40"/>
      <c r="J7536" s="134"/>
    </row>
    <row r="7537" spans="4:10" x14ac:dyDescent="0.3">
      <c r="D7537" s="40"/>
      <c r="J7537" s="134"/>
    </row>
    <row r="7538" spans="4:10" x14ac:dyDescent="0.3">
      <c r="D7538" s="40"/>
      <c r="J7538" s="134"/>
    </row>
    <row r="7539" spans="4:10" x14ac:dyDescent="0.3">
      <c r="D7539" s="40"/>
      <c r="J7539" s="134"/>
    </row>
    <row r="7540" spans="4:10" x14ac:dyDescent="0.3">
      <c r="D7540" s="40"/>
      <c r="J7540" s="134"/>
    </row>
    <row r="7541" spans="4:10" x14ac:dyDescent="0.3">
      <c r="D7541" s="40"/>
      <c r="J7541" s="134"/>
    </row>
    <row r="7542" spans="4:10" x14ac:dyDescent="0.3">
      <c r="D7542" s="40"/>
      <c r="J7542" s="134"/>
    </row>
    <row r="7543" spans="4:10" x14ac:dyDescent="0.3">
      <c r="D7543" s="40"/>
      <c r="J7543" s="134"/>
    </row>
    <row r="7544" spans="4:10" x14ac:dyDescent="0.3">
      <c r="D7544" s="40"/>
      <c r="J7544" s="134"/>
    </row>
    <row r="7545" spans="4:10" x14ac:dyDescent="0.3">
      <c r="D7545" s="40"/>
      <c r="J7545" s="134"/>
    </row>
    <row r="7546" spans="4:10" x14ac:dyDescent="0.3">
      <c r="D7546" s="40"/>
      <c r="J7546" s="134"/>
    </row>
    <row r="7547" spans="4:10" x14ac:dyDescent="0.3">
      <c r="D7547" s="40"/>
      <c r="J7547" s="134"/>
    </row>
    <row r="7548" spans="4:10" x14ac:dyDescent="0.3">
      <c r="D7548" s="40"/>
      <c r="J7548" s="134"/>
    </row>
    <row r="7549" spans="4:10" x14ac:dyDescent="0.3">
      <c r="D7549" s="40"/>
      <c r="J7549" s="134"/>
    </row>
    <row r="7550" spans="4:10" x14ac:dyDescent="0.3">
      <c r="D7550" s="40"/>
      <c r="J7550" s="134"/>
    </row>
    <row r="7551" spans="4:10" x14ac:dyDescent="0.3">
      <c r="D7551" s="40"/>
      <c r="J7551" s="134"/>
    </row>
    <row r="7552" spans="4:10" x14ac:dyDescent="0.3">
      <c r="D7552" s="40"/>
      <c r="J7552" s="134"/>
    </row>
    <row r="7553" spans="4:10" x14ac:dyDescent="0.3">
      <c r="D7553" s="40"/>
      <c r="J7553" s="134"/>
    </row>
    <row r="7554" spans="4:10" x14ac:dyDescent="0.3">
      <c r="D7554" s="40"/>
      <c r="J7554" s="134"/>
    </row>
    <row r="7555" spans="4:10" x14ac:dyDescent="0.3">
      <c r="D7555" s="40"/>
      <c r="J7555" s="134"/>
    </row>
    <row r="7556" spans="4:10" x14ac:dyDescent="0.3">
      <c r="D7556" s="40"/>
      <c r="J7556" s="134"/>
    </row>
    <row r="7557" spans="4:10" x14ac:dyDescent="0.3">
      <c r="D7557" s="40"/>
      <c r="J7557" s="134"/>
    </row>
    <row r="7558" spans="4:10" x14ac:dyDescent="0.3">
      <c r="D7558" s="40"/>
      <c r="J7558" s="134"/>
    </row>
    <row r="7559" spans="4:10" x14ac:dyDescent="0.3">
      <c r="D7559" s="40"/>
      <c r="J7559" s="134"/>
    </row>
    <row r="7560" spans="4:10" x14ac:dyDescent="0.3">
      <c r="D7560" s="40"/>
      <c r="J7560" s="134"/>
    </row>
    <row r="7561" spans="4:10" x14ac:dyDescent="0.3">
      <c r="D7561" s="40"/>
      <c r="J7561" s="134"/>
    </row>
    <row r="7562" spans="4:10" x14ac:dyDescent="0.3">
      <c r="D7562" s="40"/>
      <c r="J7562" s="134"/>
    </row>
    <row r="7563" spans="4:10" x14ac:dyDescent="0.3">
      <c r="D7563" s="40"/>
      <c r="J7563" s="134"/>
    </row>
    <row r="7564" spans="4:10" x14ac:dyDescent="0.3">
      <c r="D7564" s="40"/>
      <c r="J7564" s="134"/>
    </row>
    <row r="7565" spans="4:10" x14ac:dyDescent="0.3">
      <c r="D7565" s="40"/>
      <c r="J7565" s="134"/>
    </row>
    <row r="7566" spans="4:10" x14ac:dyDescent="0.3">
      <c r="D7566" s="40"/>
      <c r="J7566" s="134"/>
    </row>
    <row r="7567" spans="4:10" x14ac:dyDescent="0.3">
      <c r="D7567" s="40"/>
      <c r="J7567" s="134"/>
    </row>
    <row r="7568" spans="4:10" x14ac:dyDescent="0.3">
      <c r="D7568" s="40"/>
      <c r="J7568" s="134"/>
    </row>
    <row r="7569" spans="4:10" x14ac:dyDescent="0.3">
      <c r="D7569" s="40"/>
      <c r="J7569" s="134"/>
    </row>
    <row r="7570" spans="4:10" x14ac:dyDescent="0.3">
      <c r="D7570" s="40"/>
      <c r="J7570" s="134"/>
    </row>
    <row r="7571" spans="4:10" x14ac:dyDescent="0.3">
      <c r="D7571" s="40"/>
      <c r="J7571" s="134"/>
    </row>
    <row r="7572" spans="4:10" x14ac:dyDescent="0.3">
      <c r="D7572" s="40"/>
      <c r="J7572" s="134"/>
    </row>
    <row r="7573" spans="4:10" x14ac:dyDescent="0.3">
      <c r="D7573" s="40"/>
      <c r="J7573" s="134"/>
    </row>
    <row r="7574" spans="4:10" x14ac:dyDescent="0.3">
      <c r="D7574" s="40"/>
      <c r="J7574" s="134"/>
    </row>
    <row r="7575" spans="4:10" x14ac:dyDescent="0.3">
      <c r="D7575" s="40"/>
      <c r="J7575" s="134"/>
    </row>
    <row r="7576" spans="4:10" x14ac:dyDescent="0.3">
      <c r="D7576" s="40"/>
      <c r="J7576" s="134"/>
    </row>
    <row r="7577" spans="4:10" x14ac:dyDescent="0.3">
      <c r="D7577" s="40"/>
      <c r="J7577" s="134"/>
    </row>
    <row r="7578" spans="4:10" x14ac:dyDescent="0.3">
      <c r="D7578" s="40"/>
      <c r="J7578" s="134"/>
    </row>
    <row r="7579" spans="4:10" x14ac:dyDescent="0.3">
      <c r="D7579" s="40"/>
      <c r="J7579" s="134"/>
    </row>
    <row r="7580" spans="4:10" x14ac:dyDescent="0.3">
      <c r="D7580" s="40"/>
      <c r="J7580" s="134"/>
    </row>
    <row r="7581" spans="4:10" x14ac:dyDescent="0.3">
      <c r="D7581" s="40"/>
      <c r="J7581" s="134"/>
    </row>
    <row r="7582" spans="4:10" x14ac:dyDescent="0.3">
      <c r="D7582" s="40"/>
      <c r="J7582" s="134"/>
    </row>
    <row r="7583" spans="4:10" x14ac:dyDescent="0.3">
      <c r="D7583" s="40"/>
      <c r="J7583" s="134"/>
    </row>
    <row r="7584" spans="4:10" x14ac:dyDescent="0.3">
      <c r="D7584" s="40"/>
      <c r="J7584" s="134"/>
    </row>
    <row r="7585" spans="4:10" x14ac:dyDescent="0.3">
      <c r="D7585" s="40"/>
      <c r="J7585" s="134"/>
    </row>
    <row r="7586" spans="4:10" x14ac:dyDescent="0.3">
      <c r="D7586" s="40"/>
      <c r="J7586" s="134"/>
    </row>
    <row r="7587" spans="4:10" x14ac:dyDescent="0.3">
      <c r="D7587" s="40"/>
      <c r="J7587" s="134"/>
    </row>
    <row r="7588" spans="4:10" x14ac:dyDescent="0.3">
      <c r="D7588" s="40"/>
      <c r="J7588" s="134"/>
    </row>
    <row r="7589" spans="4:10" x14ac:dyDescent="0.3">
      <c r="D7589" s="40"/>
      <c r="J7589" s="134"/>
    </row>
    <row r="7590" spans="4:10" x14ac:dyDescent="0.3">
      <c r="D7590" s="40"/>
      <c r="J7590" s="134"/>
    </row>
    <row r="7591" spans="4:10" x14ac:dyDescent="0.3">
      <c r="D7591" s="40"/>
      <c r="J7591" s="134"/>
    </row>
    <row r="7592" spans="4:10" x14ac:dyDescent="0.3">
      <c r="D7592" s="40"/>
      <c r="J7592" s="134"/>
    </row>
    <row r="7593" spans="4:10" x14ac:dyDescent="0.3">
      <c r="D7593" s="40"/>
      <c r="J7593" s="134"/>
    </row>
    <row r="7594" spans="4:10" x14ac:dyDescent="0.3">
      <c r="D7594" s="40"/>
      <c r="J7594" s="134"/>
    </row>
    <row r="7595" spans="4:10" x14ac:dyDescent="0.3">
      <c r="D7595" s="40"/>
      <c r="J7595" s="134"/>
    </row>
    <row r="7596" spans="4:10" x14ac:dyDescent="0.3">
      <c r="D7596" s="40"/>
      <c r="J7596" s="134"/>
    </row>
    <row r="7597" spans="4:10" x14ac:dyDescent="0.3">
      <c r="D7597" s="40"/>
      <c r="J7597" s="134"/>
    </row>
    <row r="7598" spans="4:10" x14ac:dyDescent="0.3">
      <c r="D7598" s="40"/>
      <c r="J7598" s="134"/>
    </row>
    <row r="7599" spans="4:10" x14ac:dyDescent="0.3">
      <c r="D7599" s="40"/>
      <c r="J7599" s="134"/>
    </row>
    <row r="7600" spans="4:10" x14ac:dyDescent="0.3">
      <c r="D7600" s="40"/>
      <c r="J7600" s="134"/>
    </row>
    <row r="7601" spans="4:10" x14ac:dyDescent="0.3">
      <c r="D7601" s="40"/>
      <c r="J7601" s="134"/>
    </row>
    <row r="7602" spans="4:10" x14ac:dyDescent="0.3">
      <c r="D7602" s="40"/>
      <c r="J7602" s="134"/>
    </row>
    <row r="7603" spans="4:10" x14ac:dyDescent="0.3">
      <c r="D7603" s="40"/>
      <c r="J7603" s="134"/>
    </row>
    <row r="7604" spans="4:10" x14ac:dyDescent="0.3">
      <c r="D7604" s="40"/>
      <c r="J7604" s="134"/>
    </row>
    <row r="7605" spans="4:10" x14ac:dyDescent="0.3">
      <c r="D7605" s="40"/>
      <c r="J7605" s="134"/>
    </row>
    <row r="7606" spans="4:10" x14ac:dyDescent="0.3">
      <c r="D7606" s="40"/>
      <c r="J7606" s="134"/>
    </row>
    <row r="7607" spans="4:10" x14ac:dyDescent="0.3">
      <c r="D7607" s="40"/>
      <c r="J7607" s="134"/>
    </row>
    <row r="7608" spans="4:10" x14ac:dyDescent="0.3">
      <c r="D7608" s="40"/>
      <c r="J7608" s="134"/>
    </row>
    <row r="7609" spans="4:10" x14ac:dyDescent="0.3">
      <c r="D7609" s="40"/>
      <c r="J7609" s="134"/>
    </row>
    <row r="7610" spans="4:10" x14ac:dyDescent="0.3">
      <c r="D7610" s="40"/>
      <c r="J7610" s="134"/>
    </row>
    <row r="7611" spans="4:10" x14ac:dyDescent="0.3">
      <c r="D7611" s="40"/>
      <c r="J7611" s="134"/>
    </row>
    <row r="7612" spans="4:10" x14ac:dyDescent="0.3">
      <c r="D7612" s="40"/>
      <c r="J7612" s="134"/>
    </row>
    <row r="7613" spans="4:10" x14ac:dyDescent="0.3">
      <c r="D7613" s="40"/>
      <c r="J7613" s="134"/>
    </row>
    <row r="7614" spans="4:10" x14ac:dyDescent="0.3">
      <c r="D7614" s="40"/>
      <c r="J7614" s="134"/>
    </row>
    <row r="7615" spans="4:10" x14ac:dyDescent="0.3">
      <c r="D7615" s="40"/>
      <c r="J7615" s="134"/>
    </row>
    <row r="7616" spans="4:10" x14ac:dyDescent="0.3">
      <c r="D7616" s="40"/>
      <c r="J7616" s="134"/>
    </row>
    <row r="7617" spans="4:10" x14ac:dyDescent="0.3">
      <c r="D7617" s="40"/>
      <c r="J7617" s="134"/>
    </row>
    <row r="7618" spans="4:10" x14ac:dyDescent="0.3">
      <c r="D7618" s="40"/>
      <c r="J7618" s="134"/>
    </row>
    <row r="7619" spans="4:10" x14ac:dyDescent="0.3">
      <c r="D7619" s="40"/>
      <c r="J7619" s="134"/>
    </row>
    <row r="7620" spans="4:10" x14ac:dyDescent="0.3">
      <c r="D7620" s="40"/>
      <c r="J7620" s="134"/>
    </row>
    <row r="7621" spans="4:10" x14ac:dyDescent="0.3">
      <c r="D7621" s="40"/>
      <c r="J7621" s="134"/>
    </row>
    <row r="7622" spans="4:10" x14ac:dyDescent="0.3">
      <c r="D7622" s="40"/>
      <c r="J7622" s="134"/>
    </row>
    <row r="7623" spans="4:10" x14ac:dyDescent="0.3">
      <c r="D7623" s="40"/>
      <c r="J7623" s="134"/>
    </row>
    <row r="7624" spans="4:10" x14ac:dyDescent="0.3">
      <c r="D7624" s="40"/>
      <c r="J7624" s="134"/>
    </row>
    <row r="7625" spans="4:10" x14ac:dyDescent="0.3">
      <c r="D7625" s="40"/>
      <c r="J7625" s="134"/>
    </row>
    <row r="7626" spans="4:10" x14ac:dyDescent="0.3">
      <c r="D7626" s="40"/>
      <c r="J7626" s="134"/>
    </row>
    <row r="7627" spans="4:10" x14ac:dyDescent="0.3">
      <c r="D7627" s="40"/>
      <c r="J7627" s="134"/>
    </row>
    <row r="7628" spans="4:10" x14ac:dyDescent="0.3">
      <c r="D7628" s="40"/>
      <c r="J7628" s="134"/>
    </row>
    <row r="7629" spans="4:10" x14ac:dyDescent="0.3">
      <c r="D7629" s="40"/>
      <c r="J7629" s="134"/>
    </row>
    <row r="7630" spans="4:10" x14ac:dyDescent="0.3">
      <c r="D7630" s="40"/>
      <c r="J7630" s="134"/>
    </row>
    <row r="7631" spans="4:10" x14ac:dyDescent="0.3">
      <c r="D7631" s="40"/>
      <c r="J7631" s="134"/>
    </row>
    <row r="7632" spans="4:10" x14ac:dyDescent="0.3">
      <c r="D7632" s="40"/>
      <c r="J7632" s="134"/>
    </row>
    <row r="7633" spans="4:10" x14ac:dyDescent="0.3">
      <c r="D7633" s="40"/>
      <c r="J7633" s="134"/>
    </row>
    <row r="7634" spans="4:10" x14ac:dyDescent="0.3">
      <c r="D7634" s="40"/>
      <c r="J7634" s="134"/>
    </row>
    <row r="7635" spans="4:10" x14ac:dyDescent="0.3">
      <c r="D7635" s="40"/>
      <c r="J7635" s="134"/>
    </row>
    <row r="7636" spans="4:10" x14ac:dyDescent="0.3">
      <c r="D7636" s="40"/>
      <c r="J7636" s="134"/>
    </row>
    <row r="7637" spans="4:10" x14ac:dyDescent="0.3">
      <c r="D7637" s="40"/>
      <c r="J7637" s="134"/>
    </row>
    <row r="7638" spans="4:10" x14ac:dyDescent="0.3">
      <c r="D7638" s="40"/>
      <c r="J7638" s="134"/>
    </row>
    <row r="7639" spans="4:10" x14ac:dyDescent="0.3">
      <c r="D7639" s="40"/>
      <c r="J7639" s="134"/>
    </row>
    <row r="7640" spans="4:10" x14ac:dyDescent="0.3">
      <c r="D7640" s="40"/>
      <c r="J7640" s="134"/>
    </row>
    <row r="7641" spans="4:10" x14ac:dyDescent="0.3">
      <c r="D7641" s="40"/>
      <c r="J7641" s="134"/>
    </row>
    <row r="7642" spans="4:10" x14ac:dyDescent="0.3">
      <c r="D7642" s="40"/>
      <c r="J7642" s="134"/>
    </row>
    <row r="7643" spans="4:10" x14ac:dyDescent="0.3">
      <c r="D7643" s="40"/>
      <c r="J7643" s="134"/>
    </row>
    <row r="7644" spans="4:10" x14ac:dyDescent="0.3">
      <c r="D7644" s="40"/>
      <c r="J7644" s="134"/>
    </row>
    <row r="7645" spans="4:10" x14ac:dyDescent="0.3">
      <c r="D7645" s="40"/>
      <c r="J7645" s="134"/>
    </row>
    <row r="7646" spans="4:10" x14ac:dyDescent="0.3">
      <c r="D7646" s="40"/>
      <c r="J7646" s="134"/>
    </row>
    <row r="7647" spans="4:10" x14ac:dyDescent="0.3">
      <c r="D7647" s="40"/>
      <c r="J7647" s="134"/>
    </row>
    <row r="7648" spans="4:10" x14ac:dyDescent="0.3">
      <c r="D7648" s="40"/>
      <c r="J7648" s="134"/>
    </row>
    <row r="7649" spans="4:10" x14ac:dyDescent="0.3">
      <c r="D7649" s="40"/>
      <c r="J7649" s="134"/>
    </row>
    <row r="7650" spans="4:10" x14ac:dyDescent="0.3">
      <c r="D7650" s="40"/>
      <c r="J7650" s="134"/>
    </row>
    <row r="7651" spans="4:10" x14ac:dyDescent="0.3">
      <c r="D7651" s="40"/>
      <c r="J7651" s="134"/>
    </row>
    <row r="7652" spans="4:10" x14ac:dyDescent="0.3">
      <c r="D7652" s="40"/>
      <c r="J7652" s="134"/>
    </row>
    <row r="7653" spans="4:10" x14ac:dyDescent="0.3">
      <c r="D7653" s="40"/>
      <c r="J7653" s="134"/>
    </row>
    <row r="7654" spans="4:10" x14ac:dyDescent="0.3">
      <c r="D7654" s="40"/>
      <c r="J7654" s="134"/>
    </row>
    <row r="7655" spans="4:10" x14ac:dyDescent="0.3">
      <c r="D7655" s="40"/>
      <c r="J7655" s="134"/>
    </row>
    <row r="7656" spans="4:10" x14ac:dyDescent="0.3">
      <c r="D7656" s="40"/>
      <c r="J7656" s="134"/>
    </row>
    <row r="7657" spans="4:10" x14ac:dyDescent="0.3">
      <c r="D7657" s="40"/>
      <c r="J7657" s="134"/>
    </row>
    <row r="7658" spans="4:10" x14ac:dyDescent="0.3">
      <c r="D7658" s="40"/>
      <c r="J7658" s="134"/>
    </row>
    <row r="7659" spans="4:10" x14ac:dyDescent="0.3">
      <c r="D7659" s="40"/>
      <c r="J7659" s="134"/>
    </row>
    <row r="7660" spans="4:10" x14ac:dyDescent="0.3">
      <c r="D7660" s="40"/>
      <c r="J7660" s="134"/>
    </row>
    <row r="7661" spans="4:10" x14ac:dyDescent="0.3">
      <c r="D7661" s="40"/>
      <c r="J7661" s="134"/>
    </row>
    <row r="7662" spans="4:10" x14ac:dyDescent="0.3">
      <c r="D7662" s="40"/>
      <c r="J7662" s="134"/>
    </row>
    <row r="7663" spans="4:10" x14ac:dyDescent="0.3">
      <c r="D7663" s="40"/>
      <c r="J7663" s="134"/>
    </row>
    <row r="7664" spans="4:10" x14ac:dyDescent="0.3">
      <c r="D7664" s="40"/>
      <c r="J7664" s="134"/>
    </row>
    <row r="7665" spans="4:10" x14ac:dyDescent="0.3">
      <c r="D7665" s="40"/>
      <c r="J7665" s="134"/>
    </row>
    <row r="7666" spans="4:10" x14ac:dyDescent="0.3">
      <c r="D7666" s="40"/>
      <c r="J7666" s="134"/>
    </row>
    <row r="7667" spans="4:10" x14ac:dyDescent="0.3">
      <c r="D7667" s="40"/>
      <c r="J7667" s="134"/>
    </row>
    <row r="7668" spans="4:10" x14ac:dyDescent="0.3">
      <c r="D7668" s="40"/>
      <c r="J7668" s="134"/>
    </row>
    <row r="7669" spans="4:10" x14ac:dyDescent="0.3">
      <c r="D7669" s="40"/>
      <c r="J7669" s="134"/>
    </row>
    <row r="7670" spans="4:10" x14ac:dyDescent="0.3">
      <c r="D7670" s="40"/>
      <c r="J7670" s="134"/>
    </row>
    <row r="7671" spans="4:10" x14ac:dyDescent="0.3">
      <c r="D7671" s="40"/>
      <c r="J7671" s="134"/>
    </row>
    <row r="7672" spans="4:10" x14ac:dyDescent="0.3">
      <c r="D7672" s="40"/>
      <c r="J7672" s="134"/>
    </row>
    <row r="7673" spans="4:10" x14ac:dyDescent="0.3">
      <c r="D7673" s="40"/>
      <c r="J7673" s="134"/>
    </row>
    <row r="7674" spans="4:10" x14ac:dyDescent="0.3">
      <c r="D7674" s="40"/>
      <c r="J7674" s="134"/>
    </row>
    <row r="7675" spans="4:10" x14ac:dyDescent="0.3">
      <c r="D7675" s="40"/>
      <c r="J7675" s="134"/>
    </row>
    <row r="7676" spans="4:10" x14ac:dyDescent="0.3">
      <c r="D7676" s="40"/>
      <c r="J7676" s="134"/>
    </row>
    <row r="7677" spans="4:10" x14ac:dyDescent="0.3">
      <c r="D7677" s="40"/>
      <c r="J7677" s="134"/>
    </row>
    <row r="7678" spans="4:10" x14ac:dyDescent="0.3">
      <c r="D7678" s="40"/>
      <c r="J7678" s="134"/>
    </row>
    <row r="7679" spans="4:10" x14ac:dyDescent="0.3">
      <c r="D7679" s="40"/>
      <c r="J7679" s="134"/>
    </row>
    <row r="7680" spans="4:10" x14ac:dyDescent="0.3">
      <c r="D7680" s="40"/>
      <c r="J7680" s="134"/>
    </row>
    <row r="7681" spans="4:10" x14ac:dyDescent="0.3">
      <c r="D7681" s="40"/>
      <c r="J7681" s="134"/>
    </row>
    <row r="7682" spans="4:10" x14ac:dyDescent="0.3">
      <c r="D7682" s="40"/>
      <c r="J7682" s="134"/>
    </row>
    <row r="7683" spans="4:10" x14ac:dyDescent="0.3">
      <c r="D7683" s="40"/>
      <c r="J7683" s="134"/>
    </row>
    <row r="7684" spans="4:10" x14ac:dyDescent="0.3">
      <c r="D7684" s="40"/>
      <c r="J7684" s="134"/>
    </row>
    <row r="7685" spans="4:10" x14ac:dyDescent="0.3">
      <c r="D7685" s="40"/>
      <c r="J7685" s="134"/>
    </row>
    <row r="7686" spans="4:10" x14ac:dyDescent="0.3">
      <c r="D7686" s="40"/>
      <c r="J7686" s="134"/>
    </row>
    <row r="7687" spans="4:10" x14ac:dyDescent="0.3">
      <c r="D7687" s="40"/>
      <c r="J7687" s="134"/>
    </row>
    <row r="7688" spans="4:10" x14ac:dyDescent="0.3">
      <c r="D7688" s="40"/>
      <c r="J7688" s="134"/>
    </row>
    <row r="7689" spans="4:10" x14ac:dyDescent="0.3">
      <c r="D7689" s="40"/>
      <c r="J7689" s="134"/>
    </row>
    <row r="7690" spans="4:10" x14ac:dyDescent="0.3">
      <c r="D7690" s="40"/>
      <c r="J7690" s="134"/>
    </row>
    <row r="7691" spans="4:10" x14ac:dyDescent="0.3">
      <c r="D7691" s="40"/>
      <c r="J7691" s="134"/>
    </row>
    <row r="7692" spans="4:10" x14ac:dyDescent="0.3">
      <c r="D7692" s="40"/>
      <c r="J7692" s="134"/>
    </row>
    <row r="7693" spans="4:10" x14ac:dyDescent="0.3">
      <c r="D7693" s="40"/>
      <c r="J7693" s="134"/>
    </row>
    <row r="7694" spans="4:10" x14ac:dyDescent="0.3">
      <c r="D7694" s="40"/>
      <c r="J7694" s="134"/>
    </row>
    <row r="7695" spans="4:10" x14ac:dyDescent="0.3">
      <c r="D7695" s="40"/>
      <c r="J7695" s="134"/>
    </row>
    <row r="7696" spans="4:10" x14ac:dyDescent="0.3">
      <c r="D7696" s="40"/>
      <c r="J7696" s="134"/>
    </row>
    <row r="7697" spans="4:10" x14ac:dyDescent="0.3">
      <c r="D7697" s="40"/>
      <c r="J7697" s="134"/>
    </row>
    <row r="7698" spans="4:10" x14ac:dyDescent="0.3">
      <c r="D7698" s="40"/>
      <c r="J7698" s="134"/>
    </row>
    <row r="7699" spans="4:10" x14ac:dyDescent="0.3">
      <c r="D7699" s="40"/>
      <c r="J7699" s="134"/>
    </row>
    <row r="7700" spans="4:10" x14ac:dyDescent="0.3">
      <c r="D7700" s="40"/>
      <c r="J7700" s="134"/>
    </row>
    <row r="7701" spans="4:10" x14ac:dyDescent="0.3">
      <c r="D7701" s="40"/>
      <c r="J7701" s="134"/>
    </row>
    <row r="7702" spans="4:10" x14ac:dyDescent="0.3">
      <c r="D7702" s="40"/>
      <c r="J7702" s="134"/>
    </row>
    <row r="7703" spans="4:10" x14ac:dyDescent="0.3">
      <c r="D7703" s="40"/>
      <c r="J7703" s="134"/>
    </row>
    <row r="7704" spans="4:10" x14ac:dyDescent="0.3">
      <c r="D7704" s="40"/>
      <c r="J7704" s="134"/>
    </row>
    <row r="7705" spans="4:10" x14ac:dyDescent="0.3">
      <c r="D7705" s="40"/>
      <c r="J7705" s="134"/>
    </row>
    <row r="7706" spans="4:10" x14ac:dyDescent="0.3">
      <c r="D7706" s="40"/>
      <c r="J7706" s="134"/>
    </row>
    <row r="7707" spans="4:10" x14ac:dyDescent="0.3">
      <c r="D7707" s="40"/>
      <c r="J7707" s="134"/>
    </row>
    <row r="7708" spans="4:10" x14ac:dyDescent="0.3">
      <c r="D7708" s="40"/>
      <c r="J7708" s="134"/>
    </row>
    <row r="7709" spans="4:10" x14ac:dyDescent="0.3">
      <c r="D7709" s="40"/>
      <c r="J7709" s="134"/>
    </row>
    <row r="7710" spans="4:10" x14ac:dyDescent="0.3">
      <c r="D7710" s="40"/>
      <c r="J7710" s="134"/>
    </row>
    <row r="7711" spans="4:10" x14ac:dyDescent="0.3">
      <c r="D7711" s="40"/>
      <c r="J7711" s="134"/>
    </row>
    <row r="7712" spans="4:10" x14ac:dyDescent="0.3">
      <c r="D7712" s="40"/>
      <c r="J7712" s="134"/>
    </row>
    <row r="7713" spans="4:10" x14ac:dyDescent="0.3">
      <c r="D7713" s="40"/>
      <c r="J7713" s="134"/>
    </row>
    <row r="7714" spans="4:10" x14ac:dyDescent="0.3">
      <c r="D7714" s="40"/>
      <c r="J7714" s="134"/>
    </row>
    <row r="7715" spans="4:10" x14ac:dyDescent="0.3">
      <c r="D7715" s="40"/>
      <c r="J7715" s="134"/>
    </row>
    <row r="7716" spans="4:10" x14ac:dyDescent="0.3">
      <c r="D7716" s="40"/>
      <c r="J7716" s="134"/>
    </row>
    <row r="7717" spans="4:10" x14ac:dyDescent="0.3">
      <c r="D7717" s="40"/>
      <c r="J7717" s="134"/>
    </row>
    <row r="7718" spans="4:10" x14ac:dyDescent="0.3">
      <c r="D7718" s="40"/>
      <c r="J7718" s="134"/>
    </row>
    <row r="7719" spans="4:10" x14ac:dyDescent="0.3">
      <c r="D7719" s="40"/>
      <c r="J7719" s="134"/>
    </row>
    <row r="7720" spans="4:10" x14ac:dyDescent="0.3">
      <c r="D7720" s="40"/>
      <c r="J7720" s="134"/>
    </row>
    <row r="7721" spans="4:10" x14ac:dyDescent="0.3">
      <c r="D7721" s="40"/>
      <c r="J7721" s="134"/>
    </row>
    <row r="7722" spans="4:10" x14ac:dyDescent="0.3">
      <c r="D7722" s="40"/>
      <c r="J7722" s="134"/>
    </row>
    <row r="7723" spans="4:10" x14ac:dyDescent="0.3">
      <c r="D7723" s="40"/>
      <c r="J7723" s="134"/>
    </row>
    <row r="7724" spans="4:10" x14ac:dyDescent="0.3">
      <c r="D7724" s="40"/>
      <c r="J7724" s="134"/>
    </row>
    <row r="7725" spans="4:10" x14ac:dyDescent="0.3">
      <c r="D7725" s="40"/>
      <c r="J7725" s="134"/>
    </row>
    <row r="7726" spans="4:10" x14ac:dyDescent="0.3">
      <c r="D7726" s="40"/>
      <c r="J7726" s="134"/>
    </row>
    <row r="7727" spans="4:10" x14ac:dyDescent="0.3">
      <c r="D7727" s="40"/>
      <c r="J7727" s="134"/>
    </row>
    <row r="7728" spans="4:10" x14ac:dyDescent="0.3">
      <c r="D7728" s="40"/>
      <c r="J7728" s="134"/>
    </row>
    <row r="7729" spans="4:10" x14ac:dyDescent="0.3">
      <c r="D7729" s="40"/>
      <c r="J7729" s="134"/>
    </row>
    <row r="7730" spans="4:10" x14ac:dyDescent="0.3">
      <c r="D7730" s="40"/>
      <c r="J7730" s="134"/>
    </row>
    <row r="7731" spans="4:10" x14ac:dyDescent="0.3">
      <c r="D7731" s="40"/>
      <c r="J7731" s="134"/>
    </row>
    <row r="7732" spans="4:10" x14ac:dyDescent="0.3">
      <c r="D7732" s="40"/>
      <c r="J7732" s="134"/>
    </row>
    <row r="7733" spans="4:10" x14ac:dyDescent="0.3">
      <c r="D7733" s="40"/>
      <c r="J7733" s="134"/>
    </row>
    <row r="7734" spans="4:10" x14ac:dyDescent="0.3">
      <c r="D7734" s="40"/>
      <c r="J7734" s="134"/>
    </row>
    <row r="7735" spans="4:10" x14ac:dyDescent="0.3">
      <c r="D7735" s="40"/>
      <c r="J7735" s="134"/>
    </row>
    <row r="7736" spans="4:10" x14ac:dyDescent="0.3">
      <c r="D7736" s="40"/>
      <c r="J7736" s="134"/>
    </row>
    <row r="7737" spans="4:10" x14ac:dyDescent="0.3">
      <c r="D7737" s="40"/>
      <c r="J7737" s="134"/>
    </row>
    <row r="7738" spans="4:10" x14ac:dyDescent="0.3">
      <c r="D7738" s="40"/>
      <c r="J7738" s="134"/>
    </row>
    <row r="7739" spans="4:10" x14ac:dyDescent="0.3">
      <c r="D7739" s="40"/>
      <c r="J7739" s="134"/>
    </row>
    <row r="7740" spans="4:10" x14ac:dyDescent="0.3">
      <c r="D7740" s="40"/>
      <c r="J7740" s="134"/>
    </row>
    <row r="7741" spans="4:10" x14ac:dyDescent="0.3">
      <c r="D7741" s="40"/>
      <c r="J7741" s="134"/>
    </row>
    <row r="7742" spans="4:10" x14ac:dyDescent="0.3">
      <c r="D7742" s="40"/>
      <c r="J7742" s="134"/>
    </row>
    <row r="7743" spans="4:10" x14ac:dyDescent="0.3">
      <c r="D7743" s="40"/>
      <c r="J7743" s="134"/>
    </row>
    <row r="7744" spans="4:10" x14ac:dyDescent="0.3">
      <c r="D7744" s="40"/>
      <c r="J7744" s="134"/>
    </row>
    <row r="7745" spans="4:10" x14ac:dyDescent="0.3">
      <c r="D7745" s="40"/>
      <c r="J7745" s="134"/>
    </row>
    <row r="7746" spans="4:10" x14ac:dyDescent="0.3">
      <c r="D7746" s="40"/>
      <c r="J7746" s="134"/>
    </row>
    <row r="7747" spans="4:10" x14ac:dyDescent="0.3">
      <c r="D7747" s="40"/>
      <c r="J7747" s="134"/>
    </row>
    <row r="7748" spans="4:10" x14ac:dyDescent="0.3">
      <c r="D7748" s="40"/>
      <c r="J7748" s="134"/>
    </row>
    <row r="7749" spans="4:10" x14ac:dyDescent="0.3">
      <c r="D7749" s="40"/>
      <c r="J7749" s="134"/>
    </row>
    <row r="7750" spans="4:10" x14ac:dyDescent="0.3">
      <c r="D7750" s="40"/>
      <c r="J7750" s="134"/>
    </row>
    <row r="7751" spans="4:10" x14ac:dyDescent="0.3">
      <c r="D7751" s="40"/>
      <c r="J7751" s="134"/>
    </row>
    <row r="7752" spans="4:10" x14ac:dyDescent="0.3">
      <c r="D7752" s="40"/>
      <c r="J7752" s="134"/>
    </row>
    <row r="7753" spans="4:10" x14ac:dyDescent="0.3">
      <c r="D7753" s="40"/>
      <c r="J7753" s="134"/>
    </row>
    <row r="7754" spans="4:10" x14ac:dyDescent="0.3">
      <c r="D7754" s="40"/>
      <c r="J7754" s="134"/>
    </row>
    <row r="7755" spans="4:10" x14ac:dyDescent="0.3">
      <c r="D7755" s="40"/>
      <c r="J7755" s="134"/>
    </row>
    <row r="7756" spans="4:10" x14ac:dyDescent="0.3">
      <c r="D7756" s="40"/>
      <c r="J7756" s="134"/>
    </row>
    <row r="7757" spans="4:10" x14ac:dyDescent="0.3">
      <c r="D7757" s="40"/>
      <c r="J7757" s="134"/>
    </row>
    <row r="7758" spans="4:10" x14ac:dyDescent="0.3">
      <c r="D7758" s="40"/>
      <c r="J7758" s="134"/>
    </row>
    <row r="7759" spans="4:10" x14ac:dyDescent="0.3">
      <c r="D7759" s="40"/>
      <c r="J7759" s="134"/>
    </row>
    <row r="7760" spans="4:10" x14ac:dyDescent="0.3">
      <c r="D7760" s="40"/>
      <c r="J7760" s="134"/>
    </row>
    <row r="7761" spans="4:10" x14ac:dyDescent="0.3">
      <c r="D7761" s="40"/>
      <c r="J7761" s="134"/>
    </row>
    <row r="7762" spans="4:10" x14ac:dyDescent="0.3">
      <c r="D7762" s="40"/>
      <c r="J7762" s="134"/>
    </row>
    <row r="7763" spans="4:10" x14ac:dyDescent="0.3">
      <c r="D7763" s="40"/>
      <c r="J7763" s="134"/>
    </row>
    <row r="7764" spans="4:10" x14ac:dyDescent="0.3">
      <c r="D7764" s="40"/>
      <c r="J7764" s="134"/>
    </row>
    <row r="7765" spans="4:10" x14ac:dyDescent="0.3">
      <c r="D7765" s="40"/>
      <c r="J7765" s="134"/>
    </row>
    <row r="7766" spans="4:10" x14ac:dyDescent="0.3">
      <c r="D7766" s="40"/>
      <c r="J7766" s="134"/>
    </row>
    <row r="7767" spans="4:10" x14ac:dyDescent="0.3">
      <c r="D7767" s="40"/>
      <c r="J7767" s="134"/>
    </row>
    <row r="7768" spans="4:10" x14ac:dyDescent="0.3">
      <c r="D7768" s="40"/>
      <c r="J7768" s="134"/>
    </row>
    <row r="7769" spans="4:10" x14ac:dyDescent="0.3">
      <c r="D7769" s="40"/>
      <c r="J7769" s="134"/>
    </row>
    <row r="7770" spans="4:10" x14ac:dyDescent="0.3">
      <c r="D7770" s="40"/>
      <c r="J7770" s="134"/>
    </row>
    <row r="7771" spans="4:10" x14ac:dyDescent="0.3">
      <c r="D7771" s="40"/>
      <c r="J7771" s="134"/>
    </row>
    <row r="7772" spans="4:10" x14ac:dyDescent="0.3">
      <c r="D7772" s="40"/>
      <c r="J7772" s="134"/>
    </row>
    <row r="7773" spans="4:10" x14ac:dyDescent="0.3">
      <c r="D7773" s="40"/>
      <c r="J7773" s="134"/>
    </row>
    <row r="7774" spans="4:10" x14ac:dyDescent="0.3">
      <c r="D7774" s="40"/>
      <c r="J7774" s="134"/>
    </row>
    <row r="7775" spans="4:10" x14ac:dyDescent="0.3">
      <c r="D7775" s="40"/>
      <c r="J7775" s="134"/>
    </row>
    <row r="7776" spans="4:10" x14ac:dyDescent="0.3">
      <c r="D7776" s="40"/>
      <c r="J7776" s="134"/>
    </row>
    <row r="7777" spans="4:10" x14ac:dyDescent="0.3">
      <c r="D7777" s="40"/>
      <c r="J7777" s="134"/>
    </row>
    <row r="7778" spans="4:10" x14ac:dyDescent="0.3">
      <c r="D7778" s="40"/>
      <c r="J7778" s="134"/>
    </row>
    <row r="7779" spans="4:10" x14ac:dyDescent="0.3">
      <c r="D7779" s="40"/>
      <c r="J7779" s="134"/>
    </row>
    <row r="7780" spans="4:10" x14ac:dyDescent="0.3">
      <c r="D7780" s="40"/>
      <c r="J7780" s="134"/>
    </row>
    <row r="7781" spans="4:10" x14ac:dyDescent="0.3">
      <c r="D7781" s="40"/>
      <c r="J7781" s="134"/>
    </row>
    <row r="7782" spans="4:10" x14ac:dyDescent="0.3">
      <c r="D7782" s="40"/>
      <c r="J7782" s="134"/>
    </row>
    <row r="7783" spans="4:10" x14ac:dyDescent="0.3">
      <c r="D7783" s="40"/>
      <c r="J7783" s="134"/>
    </row>
    <row r="7784" spans="4:10" x14ac:dyDescent="0.3">
      <c r="D7784" s="40"/>
      <c r="J7784" s="134"/>
    </row>
    <row r="7785" spans="4:10" x14ac:dyDescent="0.3">
      <c r="D7785" s="40"/>
      <c r="J7785" s="134"/>
    </row>
    <row r="7786" spans="4:10" x14ac:dyDescent="0.3">
      <c r="D7786" s="40"/>
      <c r="J7786" s="134"/>
    </row>
    <row r="7787" spans="4:10" x14ac:dyDescent="0.3">
      <c r="D7787" s="40"/>
      <c r="J7787" s="134"/>
    </row>
    <row r="7788" spans="4:10" x14ac:dyDescent="0.3">
      <c r="D7788" s="40"/>
      <c r="J7788" s="134"/>
    </row>
    <row r="7789" spans="4:10" x14ac:dyDescent="0.3">
      <c r="D7789" s="40"/>
      <c r="J7789" s="134"/>
    </row>
    <row r="7790" spans="4:10" x14ac:dyDescent="0.3">
      <c r="D7790" s="40"/>
      <c r="J7790" s="134"/>
    </row>
    <row r="7791" spans="4:10" x14ac:dyDescent="0.3">
      <c r="D7791" s="40"/>
      <c r="J7791" s="134"/>
    </row>
    <row r="7792" spans="4:10" x14ac:dyDescent="0.3">
      <c r="D7792" s="40"/>
      <c r="J7792" s="134"/>
    </row>
    <row r="7793" spans="4:10" x14ac:dyDescent="0.3">
      <c r="D7793" s="40"/>
      <c r="J7793" s="134"/>
    </row>
    <row r="7794" spans="4:10" x14ac:dyDescent="0.3">
      <c r="D7794" s="40"/>
      <c r="J7794" s="134"/>
    </row>
    <row r="7795" spans="4:10" x14ac:dyDescent="0.3">
      <c r="D7795" s="40"/>
      <c r="J7795" s="134"/>
    </row>
    <row r="7796" spans="4:10" x14ac:dyDescent="0.3">
      <c r="D7796" s="40"/>
      <c r="J7796" s="134"/>
    </row>
    <row r="7797" spans="4:10" x14ac:dyDescent="0.3">
      <c r="D7797" s="40"/>
      <c r="J7797" s="134"/>
    </row>
    <row r="7798" spans="4:10" x14ac:dyDescent="0.3">
      <c r="D7798" s="40"/>
      <c r="J7798" s="134"/>
    </row>
    <row r="7799" spans="4:10" x14ac:dyDescent="0.3">
      <c r="D7799" s="40"/>
      <c r="J7799" s="134"/>
    </row>
    <row r="7800" spans="4:10" x14ac:dyDescent="0.3">
      <c r="D7800" s="40"/>
      <c r="J7800" s="134"/>
    </row>
    <row r="7801" spans="4:10" x14ac:dyDescent="0.3">
      <c r="D7801" s="40"/>
      <c r="J7801" s="134"/>
    </row>
    <row r="7802" spans="4:10" x14ac:dyDescent="0.3">
      <c r="D7802" s="40"/>
      <c r="J7802" s="134"/>
    </row>
    <row r="7803" spans="4:10" x14ac:dyDescent="0.3">
      <c r="D7803" s="40"/>
      <c r="J7803" s="134"/>
    </row>
    <row r="7804" spans="4:10" x14ac:dyDescent="0.3">
      <c r="D7804" s="40"/>
      <c r="J7804" s="134"/>
    </row>
    <row r="7805" spans="4:10" x14ac:dyDescent="0.3">
      <c r="D7805" s="40"/>
      <c r="J7805" s="134"/>
    </row>
    <row r="7806" spans="4:10" x14ac:dyDescent="0.3">
      <c r="D7806" s="40"/>
      <c r="J7806" s="134"/>
    </row>
    <row r="7807" spans="4:10" x14ac:dyDescent="0.3">
      <c r="D7807" s="40"/>
      <c r="J7807" s="134"/>
    </row>
    <row r="7808" spans="4:10" x14ac:dyDescent="0.3">
      <c r="D7808" s="40"/>
      <c r="J7808" s="134"/>
    </row>
    <row r="7809" spans="4:10" x14ac:dyDescent="0.3">
      <c r="D7809" s="40"/>
      <c r="J7809" s="134"/>
    </row>
    <row r="7810" spans="4:10" x14ac:dyDescent="0.3">
      <c r="D7810" s="40"/>
      <c r="J7810" s="134"/>
    </row>
    <row r="7811" spans="4:10" x14ac:dyDescent="0.3">
      <c r="D7811" s="40"/>
      <c r="J7811" s="134"/>
    </row>
    <row r="7812" spans="4:10" x14ac:dyDescent="0.3">
      <c r="D7812" s="40"/>
      <c r="J7812" s="134"/>
    </row>
    <row r="7813" spans="4:10" x14ac:dyDescent="0.3">
      <c r="D7813" s="40"/>
      <c r="J7813" s="134"/>
    </row>
    <row r="7814" spans="4:10" x14ac:dyDescent="0.3">
      <c r="D7814" s="40"/>
      <c r="J7814" s="134"/>
    </row>
    <row r="7815" spans="4:10" x14ac:dyDescent="0.3">
      <c r="D7815" s="40"/>
      <c r="J7815" s="134"/>
    </row>
    <row r="7816" spans="4:10" x14ac:dyDescent="0.3">
      <c r="D7816" s="40"/>
      <c r="J7816" s="134"/>
    </row>
    <row r="7817" spans="4:10" x14ac:dyDescent="0.3">
      <c r="D7817" s="40"/>
      <c r="J7817" s="134"/>
    </row>
    <row r="7818" spans="4:10" x14ac:dyDescent="0.3">
      <c r="D7818" s="40"/>
      <c r="J7818" s="134"/>
    </row>
    <row r="7819" spans="4:10" x14ac:dyDescent="0.3">
      <c r="D7819" s="40"/>
      <c r="J7819" s="134"/>
    </row>
    <row r="7820" spans="4:10" x14ac:dyDescent="0.3">
      <c r="D7820" s="40"/>
      <c r="J7820" s="134"/>
    </row>
    <row r="7821" spans="4:10" x14ac:dyDescent="0.3">
      <c r="D7821" s="40"/>
      <c r="J7821" s="134"/>
    </row>
    <row r="7822" spans="4:10" x14ac:dyDescent="0.3">
      <c r="D7822" s="40"/>
      <c r="J7822" s="134"/>
    </row>
    <row r="7823" spans="4:10" x14ac:dyDescent="0.3">
      <c r="D7823" s="40"/>
      <c r="J7823" s="134"/>
    </row>
    <row r="7824" spans="4:10" x14ac:dyDescent="0.3">
      <c r="D7824" s="40"/>
      <c r="J7824" s="134"/>
    </row>
    <row r="7825" spans="4:10" x14ac:dyDescent="0.3">
      <c r="D7825" s="40"/>
      <c r="J7825" s="134"/>
    </row>
    <row r="7826" spans="4:10" x14ac:dyDescent="0.3">
      <c r="D7826" s="40"/>
      <c r="J7826" s="134"/>
    </row>
    <row r="7827" spans="4:10" x14ac:dyDescent="0.3">
      <c r="D7827" s="40"/>
      <c r="J7827" s="134"/>
    </row>
    <row r="7828" spans="4:10" x14ac:dyDescent="0.3">
      <c r="D7828" s="40"/>
      <c r="J7828" s="134"/>
    </row>
    <row r="7829" spans="4:10" x14ac:dyDescent="0.3">
      <c r="D7829" s="40"/>
      <c r="J7829" s="134"/>
    </row>
    <row r="7830" spans="4:10" x14ac:dyDescent="0.3">
      <c r="D7830" s="40"/>
      <c r="J7830" s="134"/>
    </row>
    <row r="7831" spans="4:10" x14ac:dyDescent="0.3">
      <c r="D7831" s="40"/>
      <c r="J7831" s="134"/>
    </row>
    <row r="7832" spans="4:10" x14ac:dyDescent="0.3">
      <c r="D7832" s="40"/>
      <c r="J7832" s="134"/>
    </row>
    <row r="7833" spans="4:10" x14ac:dyDescent="0.3">
      <c r="D7833" s="40"/>
      <c r="J7833" s="134"/>
    </row>
    <row r="7834" spans="4:10" x14ac:dyDescent="0.3">
      <c r="D7834" s="40"/>
      <c r="J7834" s="134"/>
    </row>
    <row r="7835" spans="4:10" x14ac:dyDescent="0.3">
      <c r="D7835" s="40"/>
      <c r="J7835" s="134"/>
    </row>
    <row r="7836" spans="4:10" x14ac:dyDescent="0.3">
      <c r="D7836" s="40"/>
      <c r="J7836" s="134"/>
    </row>
    <row r="7837" spans="4:10" x14ac:dyDescent="0.3">
      <c r="D7837" s="40"/>
      <c r="J7837" s="134"/>
    </row>
    <row r="7838" spans="4:10" x14ac:dyDescent="0.3">
      <c r="D7838" s="40"/>
      <c r="J7838" s="134"/>
    </row>
    <row r="7839" spans="4:10" x14ac:dyDescent="0.3">
      <c r="D7839" s="40"/>
      <c r="J7839" s="134"/>
    </row>
    <row r="7840" spans="4:10" x14ac:dyDescent="0.3">
      <c r="D7840" s="40"/>
      <c r="J7840" s="134"/>
    </row>
    <row r="7841" spans="4:10" x14ac:dyDescent="0.3">
      <c r="D7841" s="40"/>
      <c r="J7841" s="134"/>
    </row>
    <row r="7842" spans="4:10" x14ac:dyDescent="0.3">
      <c r="D7842" s="40"/>
      <c r="J7842" s="134"/>
    </row>
    <row r="7843" spans="4:10" x14ac:dyDescent="0.3">
      <c r="D7843" s="40"/>
      <c r="J7843" s="134"/>
    </row>
    <row r="7844" spans="4:10" x14ac:dyDescent="0.3">
      <c r="D7844" s="40"/>
      <c r="J7844" s="134"/>
    </row>
    <row r="7845" spans="4:10" x14ac:dyDescent="0.3">
      <c r="D7845" s="40"/>
      <c r="J7845" s="134"/>
    </row>
    <row r="7846" spans="4:10" x14ac:dyDescent="0.3">
      <c r="D7846" s="40"/>
      <c r="J7846" s="134"/>
    </row>
    <row r="7847" spans="4:10" x14ac:dyDescent="0.3">
      <c r="D7847" s="40"/>
      <c r="J7847" s="134"/>
    </row>
    <row r="7848" spans="4:10" x14ac:dyDescent="0.3">
      <c r="D7848" s="40"/>
      <c r="J7848" s="134"/>
    </row>
    <row r="7849" spans="4:10" x14ac:dyDescent="0.3">
      <c r="D7849" s="40"/>
      <c r="J7849" s="134"/>
    </row>
    <row r="7850" spans="4:10" x14ac:dyDescent="0.3">
      <c r="D7850" s="40"/>
      <c r="J7850" s="134"/>
    </row>
    <row r="7851" spans="4:10" x14ac:dyDescent="0.3">
      <c r="D7851" s="40"/>
      <c r="J7851" s="134"/>
    </row>
    <row r="7852" spans="4:10" x14ac:dyDescent="0.3">
      <c r="D7852" s="40"/>
      <c r="J7852" s="134"/>
    </row>
    <row r="7853" spans="4:10" x14ac:dyDescent="0.3">
      <c r="D7853" s="40"/>
      <c r="J7853" s="134"/>
    </row>
    <row r="7854" spans="4:10" x14ac:dyDescent="0.3">
      <c r="D7854" s="40"/>
      <c r="J7854" s="134"/>
    </row>
    <row r="7855" spans="4:10" x14ac:dyDescent="0.3">
      <c r="D7855" s="40"/>
      <c r="J7855" s="134"/>
    </row>
    <row r="7856" spans="4:10" x14ac:dyDescent="0.3">
      <c r="D7856" s="40"/>
      <c r="J7856" s="134"/>
    </row>
    <row r="7857" spans="4:10" x14ac:dyDescent="0.3">
      <c r="D7857" s="40"/>
      <c r="J7857" s="134"/>
    </row>
    <row r="7858" spans="4:10" x14ac:dyDescent="0.3">
      <c r="D7858" s="40"/>
      <c r="J7858" s="134"/>
    </row>
    <row r="7859" spans="4:10" x14ac:dyDescent="0.3">
      <c r="D7859" s="40"/>
      <c r="J7859" s="134"/>
    </row>
    <row r="7860" spans="4:10" x14ac:dyDescent="0.3">
      <c r="D7860" s="40"/>
      <c r="J7860" s="134"/>
    </row>
    <row r="7861" spans="4:10" x14ac:dyDescent="0.3">
      <c r="D7861" s="40"/>
      <c r="J7861" s="134"/>
    </row>
    <row r="7862" spans="4:10" x14ac:dyDescent="0.3">
      <c r="D7862" s="40"/>
      <c r="J7862" s="134"/>
    </row>
    <row r="7863" spans="4:10" x14ac:dyDescent="0.3">
      <c r="D7863" s="40"/>
      <c r="J7863" s="134"/>
    </row>
    <row r="7864" spans="4:10" x14ac:dyDescent="0.3">
      <c r="D7864" s="40"/>
      <c r="J7864" s="134"/>
    </row>
    <row r="7865" spans="4:10" x14ac:dyDescent="0.3">
      <c r="D7865" s="40"/>
      <c r="J7865" s="134"/>
    </row>
    <row r="7866" spans="4:10" x14ac:dyDescent="0.3">
      <c r="D7866" s="40"/>
      <c r="J7866" s="134"/>
    </row>
    <row r="7867" spans="4:10" x14ac:dyDescent="0.3">
      <c r="D7867" s="40"/>
      <c r="J7867" s="134"/>
    </row>
    <row r="7868" spans="4:10" x14ac:dyDescent="0.3">
      <c r="D7868" s="40"/>
      <c r="J7868" s="134"/>
    </row>
    <row r="7869" spans="4:10" x14ac:dyDescent="0.3">
      <c r="D7869" s="40"/>
      <c r="J7869" s="134"/>
    </row>
    <row r="7870" spans="4:10" x14ac:dyDescent="0.3">
      <c r="D7870" s="40"/>
      <c r="J7870" s="134"/>
    </row>
    <row r="7871" spans="4:10" x14ac:dyDescent="0.3">
      <c r="D7871" s="40"/>
      <c r="J7871" s="134"/>
    </row>
    <row r="7872" spans="4:10" x14ac:dyDescent="0.3">
      <c r="D7872" s="40"/>
      <c r="J7872" s="134"/>
    </row>
    <row r="7873" spans="4:10" x14ac:dyDescent="0.3">
      <c r="D7873" s="40"/>
      <c r="J7873" s="134"/>
    </row>
    <row r="7874" spans="4:10" x14ac:dyDescent="0.3">
      <c r="D7874" s="40"/>
      <c r="J7874" s="134"/>
    </row>
    <row r="7875" spans="4:10" x14ac:dyDescent="0.3">
      <c r="D7875" s="40"/>
      <c r="J7875" s="134"/>
    </row>
    <row r="7876" spans="4:10" x14ac:dyDescent="0.3">
      <c r="D7876" s="40"/>
      <c r="J7876" s="134"/>
    </row>
    <row r="7877" spans="4:10" x14ac:dyDescent="0.3">
      <c r="D7877" s="40"/>
      <c r="J7877" s="134"/>
    </row>
    <row r="7878" spans="4:10" x14ac:dyDescent="0.3">
      <c r="D7878" s="40"/>
      <c r="J7878" s="134"/>
    </row>
    <row r="7879" spans="4:10" x14ac:dyDescent="0.3">
      <c r="D7879" s="40"/>
      <c r="J7879" s="134"/>
    </row>
    <row r="7880" spans="4:10" x14ac:dyDescent="0.3">
      <c r="D7880" s="40"/>
      <c r="J7880" s="134"/>
    </row>
    <row r="7881" spans="4:10" x14ac:dyDescent="0.3">
      <c r="D7881" s="40"/>
      <c r="J7881" s="134"/>
    </row>
    <row r="7882" spans="4:10" x14ac:dyDescent="0.3">
      <c r="D7882" s="40"/>
      <c r="J7882" s="134"/>
    </row>
    <row r="7883" spans="4:10" x14ac:dyDescent="0.3">
      <c r="D7883" s="40"/>
      <c r="J7883" s="134"/>
    </row>
    <row r="7884" spans="4:10" x14ac:dyDescent="0.3">
      <c r="D7884" s="40"/>
      <c r="J7884" s="134"/>
    </row>
    <row r="7885" spans="4:10" x14ac:dyDescent="0.3">
      <c r="D7885" s="40"/>
      <c r="J7885" s="134"/>
    </row>
    <row r="7886" spans="4:10" x14ac:dyDescent="0.3">
      <c r="D7886" s="40"/>
      <c r="J7886" s="134"/>
    </row>
    <row r="7887" spans="4:10" x14ac:dyDescent="0.3">
      <c r="D7887" s="40"/>
      <c r="J7887" s="134"/>
    </row>
    <row r="7888" spans="4:10" x14ac:dyDescent="0.3">
      <c r="D7888" s="40"/>
      <c r="J7888" s="134"/>
    </row>
    <row r="7889" spans="4:10" x14ac:dyDescent="0.3">
      <c r="D7889" s="40"/>
      <c r="J7889" s="134"/>
    </row>
    <row r="7890" spans="4:10" x14ac:dyDescent="0.3">
      <c r="D7890" s="40"/>
      <c r="J7890" s="134"/>
    </row>
    <row r="7891" spans="4:10" x14ac:dyDescent="0.3">
      <c r="D7891" s="40"/>
      <c r="J7891" s="134"/>
    </row>
    <row r="7892" spans="4:10" x14ac:dyDescent="0.3">
      <c r="D7892" s="40"/>
      <c r="J7892" s="134"/>
    </row>
    <row r="7893" spans="4:10" x14ac:dyDescent="0.3">
      <c r="D7893" s="40"/>
      <c r="J7893" s="134"/>
    </row>
    <row r="7894" spans="4:10" x14ac:dyDescent="0.3">
      <c r="D7894" s="40"/>
      <c r="J7894" s="134"/>
    </row>
    <row r="7895" spans="4:10" x14ac:dyDescent="0.3">
      <c r="D7895" s="40"/>
      <c r="J7895" s="134"/>
    </row>
    <row r="7896" spans="4:10" x14ac:dyDescent="0.3">
      <c r="D7896" s="40"/>
      <c r="J7896" s="134"/>
    </row>
    <row r="7897" spans="4:10" x14ac:dyDescent="0.3">
      <c r="D7897" s="40"/>
      <c r="J7897" s="134"/>
    </row>
    <row r="7898" spans="4:10" x14ac:dyDescent="0.3">
      <c r="D7898" s="40"/>
      <c r="J7898" s="134"/>
    </row>
    <row r="7899" spans="4:10" x14ac:dyDescent="0.3">
      <c r="D7899" s="40"/>
      <c r="J7899" s="134"/>
    </row>
    <row r="7900" spans="4:10" x14ac:dyDescent="0.3">
      <c r="D7900" s="40"/>
      <c r="J7900" s="134"/>
    </row>
    <row r="7901" spans="4:10" x14ac:dyDescent="0.3">
      <c r="D7901" s="40"/>
      <c r="J7901" s="134"/>
    </row>
    <row r="7902" spans="4:10" x14ac:dyDescent="0.3">
      <c r="D7902" s="40"/>
      <c r="J7902" s="134"/>
    </row>
    <row r="7903" spans="4:10" x14ac:dyDescent="0.3">
      <c r="D7903" s="40"/>
      <c r="J7903" s="134"/>
    </row>
    <row r="7904" spans="4:10" x14ac:dyDescent="0.3">
      <c r="D7904" s="40"/>
      <c r="J7904" s="134"/>
    </row>
    <row r="7905" spans="4:10" x14ac:dyDescent="0.3">
      <c r="D7905" s="40"/>
      <c r="J7905" s="134"/>
    </row>
    <row r="7906" spans="4:10" x14ac:dyDescent="0.3">
      <c r="D7906" s="40"/>
      <c r="J7906" s="134"/>
    </row>
    <row r="7907" spans="4:10" x14ac:dyDescent="0.3">
      <c r="D7907" s="40"/>
      <c r="J7907" s="134"/>
    </row>
    <row r="7908" spans="4:10" x14ac:dyDescent="0.3">
      <c r="D7908" s="40"/>
      <c r="J7908" s="134"/>
    </row>
    <row r="7909" spans="4:10" x14ac:dyDescent="0.3">
      <c r="D7909" s="40"/>
      <c r="J7909" s="134"/>
    </row>
    <row r="7910" spans="4:10" x14ac:dyDescent="0.3">
      <c r="D7910" s="40"/>
      <c r="J7910" s="134"/>
    </row>
    <row r="7911" spans="4:10" x14ac:dyDescent="0.3">
      <c r="D7911" s="40"/>
      <c r="J7911" s="134"/>
    </row>
    <row r="7912" spans="4:10" x14ac:dyDescent="0.3">
      <c r="D7912" s="40"/>
      <c r="J7912" s="134"/>
    </row>
    <row r="7913" spans="4:10" x14ac:dyDescent="0.3">
      <c r="D7913" s="40"/>
      <c r="J7913" s="134"/>
    </row>
    <row r="7914" spans="4:10" x14ac:dyDescent="0.3">
      <c r="D7914" s="40"/>
      <c r="J7914" s="134"/>
    </row>
    <row r="7915" spans="4:10" x14ac:dyDescent="0.3">
      <c r="D7915" s="40"/>
      <c r="J7915" s="134"/>
    </row>
    <row r="7916" spans="4:10" x14ac:dyDescent="0.3">
      <c r="D7916" s="40"/>
      <c r="J7916" s="134"/>
    </row>
    <row r="7917" spans="4:10" x14ac:dyDescent="0.3">
      <c r="D7917" s="40"/>
      <c r="J7917" s="134"/>
    </row>
    <row r="7918" spans="4:10" x14ac:dyDescent="0.3">
      <c r="D7918" s="40"/>
      <c r="J7918" s="134"/>
    </row>
    <row r="7919" spans="4:10" x14ac:dyDescent="0.3">
      <c r="D7919" s="40"/>
      <c r="J7919" s="134"/>
    </row>
    <row r="7920" spans="4:10" x14ac:dyDescent="0.3">
      <c r="D7920" s="40"/>
      <c r="J7920" s="134"/>
    </row>
    <row r="7921" spans="4:10" x14ac:dyDescent="0.3">
      <c r="D7921" s="40"/>
      <c r="J7921" s="134"/>
    </row>
    <row r="7922" spans="4:10" x14ac:dyDescent="0.3">
      <c r="D7922" s="40"/>
      <c r="J7922" s="134"/>
    </row>
    <row r="7923" spans="4:10" x14ac:dyDescent="0.3">
      <c r="D7923" s="40"/>
      <c r="J7923" s="134"/>
    </row>
    <row r="7924" spans="4:10" x14ac:dyDescent="0.3">
      <c r="D7924" s="40"/>
      <c r="J7924" s="134"/>
    </row>
    <row r="7925" spans="4:10" x14ac:dyDescent="0.3">
      <c r="D7925" s="40"/>
      <c r="J7925" s="134"/>
    </row>
    <row r="7926" spans="4:10" x14ac:dyDescent="0.3">
      <c r="D7926" s="40"/>
      <c r="J7926" s="134"/>
    </row>
    <row r="7927" spans="4:10" x14ac:dyDescent="0.3">
      <c r="D7927" s="40"/>
      <c r="J7927" s="134"/>
    </row>
    <row r="7928" spans="4:10" x14ac:dyDescent="0.3">
      <c r="D7928" s="40"/>
      <c r="J7928" s="134"/>
    </row>
    <row r="7929" spans="4:10" x14ac:dyDescent="0.3">
      <c r="D7929" s="40"/>
      <c r="J7929" s="134"/>
    </row>
    <row r="7930" spans="4:10" x14ac:dyDescent="0.3">
      <c r="D7930" s="40"/>
      <c r="J7930" s="134"/>
    </row>
    <row r="7931" spans="4:10" x14ac:dyDescent="0.3">
      <c r="D7931" s="40"/>
      <c r="J7931" s="134"/>
    </row>
    <row r="7932" spans="4:10" x14ac:dyDescent="0.3">
      <c r="D7932" s="40"/>
      <c r="J7932" s="134"/>
    </row>
    <row r="7933" spans="4:10" x14ac:dyDescent="0.3">
      <c r="D7933" s="40"/>
      <c r="J7933" s="134"/>
    </row>
    <row r="7934" spans="4:10" x14ac:dyDescent="0.3">
      <c r="D7934" s="40"/>
      <c r="J7934" s="134"/>
    </row>
    <row r="7935" spans="4:10" x14ac:dyDescent="0.3">
      <c r="D7935" s="40"/>
      <c r="J7935" s="134"/>
    </row>
    <row r="7936" spans="4:10" x14ac:dyDescent="0.3">
      <c r="D7936" s="40"/>
      <c r="J7936" s="134"/>
    </row>
    <row r="7937" spans="4:10" x14ac:dyDescent="0.3">
      <c r="D7937" s="40"/>
      <c r="J7937" s="134"/>
    </row>
    <row r="7938" spans="4:10" x14ac:dyDescent="0.3">
      <c r="D7938" s="40"/>
      <c r="J7938" s="134"/>
    </row>
    <row r="7939" spans="4:10" x14ac:dyDescent="0.3">
      <c r="D7939" s="40"/>
      <c r="J7939" s="134"/>
    </row>
    <row r="7940" spans="4:10" x14ac:dyDescent="0.3">
      <c r="D7940" s="40"/>
      <c r="J7940" s="134"/>
    </row>
    <row r="7941" spans="4:10" x14ac:dyDescent="0.3">
      <c r="D7941" s="40"/>
      <c r="J7941" s="134"/>
    </row>
    <row r="7942" spans="4:10" x14ac:dyDescent="0.3">
      <c r="D7942" s="40"/>
      <c r="J7942" s="134"/>
    </row>
    <row r="7943" spans="4:10" x14ac:dyDescent="0.3">
      <c r="D7943" s="40"/>
      <c r="J7943" s="134"/>
    </row>
    <row r="7944" spans="4:10" x14ac:dyDescent="0.3">
      <c r="D7944" s="40"/>
      <c r="J7944" s="134"/>
    </row>
    <row r="7945" spans="4:10" x14ac:dyDescent="0.3">
      <c r="D7945" s="40"/>
      <c r="J7945" s="134"/>
    </row>
    <row r="7946" spans="4:10" x14ac:dyDescent="0.3">
      <c r="D7946" s="40"/>
      <c r="J7946" s="134"/>
    </row>
    <row r="7947" spans="4:10" x14ac:dyDescent="0.3">
      <c r="D7947" s="40"/>
      <c r="J7947" s="134"/>
    </row>
    <row r="7948" spans="4:10" x14ac:dyDescent="0.3">
      <c r="D7948" s="40"/>
      <c r="J7948" s="134"/>
    </row>
    <row r="7949" spans="4:10" x14ac:dyDescent="0.3">
      <c r="D7949" s="40"/>
      <c r="J7949" s="134"/>
    </row>
    <row r="7950" spans="4:10" x14ac:dyDescent="0.3">
      <c r="D7950" s="40"/>
      <c r="J7950" s="134"/>
    </row>
    <row r="7951" spans="4:10" x14ac:dyDescent="0.3">
      <c r="D7951" s="40"/>
      <c r="J7951" s="134"/>
    </row>
    <row r="7952" spans="4:10" x14ac:dyDescent="0.3">
      <c r="D7952" s="40"/>
      <c r="J7952" s="134"/>
    </row>
    <row r="7953" spans="4:10" x14ac:dyDescent="0.3">
      <c r="D7953" s="40"/>
      <c r="J7953" s="134"/>
    </row>
    <row r="7954" spans="4:10" x14ac:dyDescent="0.3">
      <c r="D7954" s="40"/>
      <c r="J7954" s="134"/>
    </row>
    <row r="7955" spans="4:10" x14ac:dyDescent="0.3">
      <c r="D7955" s="40"/>
      <c r="J7955" s="134"/>
    </row>
    <row r="7956" spans="4:10" x14ac:dyDescent="0.3">
      <c r="D7956" s="40"/>
      <c r="J7956" s="134"/>
    </row>
    <row r="7957" spans="4:10" x14ac:dyDescent="0.3">
      <c r="D7957" s="40"/>
      <c r="J7957" s="134"/>
    </row>
    <row r="7958" spans="4:10" x14ac:dyDescent="0.3">
      <c r="D7958" s="40"/>
      <c r="J7958" s="134"/>
    </row>
    <row r="7959" spans="4:10" x14ac:dyDescent="0.3">
      <c r="D7959" s="40"/>
      <c r="J7959" s="134"/>
    </row>
    <row r="7960" spans="4:10" x14ac:dyDescent="0.3">
      <c r="D7960" s="40"/>
      <c r="J7960" s="134"/>
    </row>
    <row r="7961" spans="4:10" x14ac:dyDescent="0.3">
      <c r="D7961" s="40"/>
      <c r="J7961" s="134"/>
    </row>
    <row r="7962" spans="4:10" x14ac:dyDescent="0.3">
      <c r="D7962" s="40"/>
      <c r="J7962" s="134"/>
    </row>
    <row r="7963" spans="4:10" x14ac:dyDescent="0.3">
      <c r="D7963" s="40"/>
      <c r="J7963" s="134"/>
    </row>
    <row r="7964" spans="4:10" x14ac:dyDescent="0.3">
      <c r="D7964" s="40"/>
      <c r="J7964" s="134"/>
    </row>
    <row r="7965" spans="4:10" x14ac:dyDescent="0.3">
      <c r="D7965" s="40"/>
      <c r="J7965" s="134"/>
    </row>
    <row r="7966" spans="4:10" x14ac:dyDescent="0.3">
      <c r="D7966" s="40"/>
      <c r="J7966" s="134"/>
    </row>
    <row r="7967" spans="4:10" x14ac:dyDescent="0.3">
      <c r="D7967" s="40"/>
      <c r="J7967" s="134"/>
    </row>
    <row r="7968" spans="4:10" x14ac:dyDescent="0.3">
      <c r="D7968" s="40"/>
      <c r="J7968" s="134"/>
    </row>
    <row r="7969" spans="4:10" x14ac:dyDescent="0.3">
      <c r="D7969" s="40"/>
      <c r="J7969" s="134"/>
    </row>
    <row r="7970" spans="4:10" x14ac:dyDescent="0.3">
      <c r="D7970" s="40"/>
      <c r="J7970" s="134"/>
    </row>
    <row r="7971" spans="4:10" x14ac:dyDescent="0.3">
      <c r="D7971" s="40"/>
      <c r="J7971" s="134"/>
    </row>
    <row r="7972" spans="4:10" x14ac:dyDescent="0.3">
      <c r="D7972" s="40"/>
      <c r="J7972" s="134"/>
    </row>
    <row r="7973" spans="4:10" x14ac:dyDescent="0.3">
      <c r="D7973" s="40"/>
      <c r="J7973" s="134"/>
    </row>
    <row r="7974" spans="4:10" x14ac:dyDescent="0.3">
      <c r="D7974" s="40"/>
      <c r="J7974" s="134"/>
    </row>
    <row r="7975" spans="4:10" x14ac:dyDescent="0.3">
      <c r="D7975" s="40"/>
      <c r="J7975" s="134"/>
    </row>
    <row r="7976" spans="4:10" x14ac:dyDescent="0.3">
      <c r="D7976" s="40"/>
      <c r="J7976" s="134"/>
    </row>
    <row r="7977" spans="4:10" x14ac:dyDescent="0.3">
      <c r="D7977" s="40"/>
      <c r="J7977" s="134"/>
    </row>
    <row r="7978" spans="4:10" x14ac:dyDescent="0.3">
      <c r="D7978" s="40"/>
      <c r="J7978" s="134"/>
    </row>
    <row r="7979" spans="4:10" x14ac:dyDescent="0.3">
      <c r="D7979" s="40"/>
      <c r="J7979" s="134"/>
    </row>
    <row r="7980" spans="4:10" x14ac:dyDescent="0.3">
      <c r="D7980" s="40"/>
      <c r="J7980" s="134"/>
    </row>
    <row r="7981" spans="4:10" x14ac:dyDescent="0.3">
      <c r="D7981" s="40"/>
      <c r="J7981" s="134"/>
    </row>
    <row r="7982" spans="4:10" x14ac:dyDescent="0.3">
      <c r="D7982" s="40"/>
      <c r="J7982" s="134"/>
    </row>
    <row r="7983" spans="4:10" x14ac:dyDescent="0.3">
      <c r="D7983" s="40"/>
      <c r="J7983" s="134"/>
    </row>
    <row r="7984" spans="4:10" x14ac:dyDescent="0.3">
      <c r="D7984" s="40"/>
      <c r="J7984" s="134"/>
    </row>
    <row r="7985" spans="4:10" x14ac:dyDescent="0.3">
      <c r="D7985" s="40"/>
      <c r="J7985" s="134"/>
    </row>
    <row r="7986" spans="4:10" x14ac:dyDescent="0.3">
      <c r="D7986" s="40"/>
      <c r="J7986" s="134"/>
    </row>
    <row r="7987" spans="4:10" x14ac:dyDescent="0.3">
      <c r="D7987" s="40"/>
      <c r="J7987" s="134"/>
    </row>
    <row r="7988" spans="4:10" x14ac:dyDescent="0.3">
      <c r="D7988" s="40"/>
      <c r="J7988" s="134"/>
    </row>
    <row r="7989" spans="4:10" x14ac:dyDescent="0.3">
      <c r="D7989" s="40"/>
      <c r="J7989" s="134"/>
    </row>
    <row r="7990" spans="4:10" x14ac:dyDescent="0.3">
      <c r="D7990" s="40"/>
      <c r="J7990" s="134"/>
    </row>
    <row r="7991" spans="4:10" x14ac:dyDescent="0.3">
      <c r="D7991" s="40"/>
      <c r="J7991" s="134"/>
    </row>
    <row r="7992" spans="4:10" x14ac:dyDescent="0.3">
      <c r="D7992" s="40"/>
      <c r="J7992" s="134"/>
    </row>
    <row r="7993" spans="4:10" x14ac:dyDescent="0.3">
      <c r="D7993" s="40"/>
      <c r="J7993" s="134"/>
    </row>
    <row r="7994" spans="4:10" x14ac:dyDescent="0.3">
      <c r="D7994" s="40"/>
      <c r="J7994" s="134"/>
    </row>
    <row r="7995" spans="4:10" x14ac:dyDescent="0.3">
      <c r="D7995" s="40"/>
      <c r="J7995" s="134"/>
    </row>
    <row r="7996" spans="4:10" x14ac:dyDescent="0.3">
      <c r="D7996" s="40"/>
      <c r="J7996" s="134"/>
    </row>
    <row r="7997" spans="4:10" x14ac:dyDescent="0.3">
      <c r="D7997" s="40"/>
      <c r="J7997" s="134"/>
    </row>
    <row r="7998" spans="4:10" x14ac:dyDescent="0.3">
      <c r="D7998" s="40"/>
      <c r="J7998" s="134"/>
    </row>
    <row r="7999" spans="4:10" x14ac:dyDescent="0.3">
      <c r="D7999" s="40"/>
      <c r="J7999" s="134"/>
    </row>
    <row r="8000" spans="4:10" x14ac:dyDescent="0.3">
      <c r="D8000" s="40"/>
      <c r="J8000" s="134"/>
    </row>
    <row r="8001" spans="4:10" x14ac:dyDescent="0.3">
      <c r="D8001" s="40"/>
      <c r="J8001" s="134"/>
    </row>
    <row r="8002" spans="4:10" x14ac:dyDescent="0.3">
      <c r="D8002" s="40"/>
      <c r="J8002" s="134"/>
    </row>
    <row r="8003" spans="4:10" x14ac:dyDescent="0.3">
      <c r="D8003" s="40"/>
      <c r="J8003" s="134"/>
    </row>
    <row r="8004" spans="4:10" x14ac:dyDescent="0.3">
      <c r="D8004" s="40"/>
      <c r="J8004" s="134"/>
    </row>
    <row r="8005" spans="4:10" x14ac:dyDescent="0.3">
      <c r="D8005" s="40"/>
      <c r="J8005" s="134"/>
    </row>
    <row r="8006" spans="4:10" x14ac:dyDescent="0.3">
      <c r="D8006" s="40"/>
      <c r="J8006" s="134"/>
    </row>
    <row r="8007" spans="4:10" x14ac:dyDescent="0.3">
      <c r="D8007" s="40"/>
      <c r="J8007" s="134"/>
    </row>
    <row r="8008" spans="4:10" x14ac:dyDescent="0.3">
      <c r="D8008" s="40"/>
      <c r="J8008" s="134"/>
    </row>
    <row r="8009" spans="4:10" x14ac:dyDescent="0.3">
      <c r="D8009" s="40"/>
      <c r="J8009" s="134"/>
    </row>
    <row r="8010" spans="4:10" x14ac:dyDescent="0.3">
      <c r="D8010" s="40"/>
      <c r="J8010" s="134"/>
    </row>
    <row r="8011" spans="4:10" x14ac:dyDescent="0.3">
      <c r="D8011" s="40"/>
      <c r="J8011" s="134"/>
    </row>
    <row r="8012" spans="4:10" x14ac:dyDescent="0.3">
      <c r="D8012" s="40"/>
      <c r="J8012" s="134"/>
    </row>
    <row r="8013" spans="4:10" x14ac:dyDescent="0.3">
      <c r="D8013" s="40"/>
      <c r="J8013" s="134"/>
    </row>
    <row r="8014" spans="4:10" x14ac:dyDescent="0.3">
      <c r="D8014" s="40"/>
      <c r="J8014" s="134"/>
    </row>
    <row r="8015" spans="4:10" x14ac:dyDescent="0.3">
      <c r="D8015" s="40"/>
      <c r="J8015" s="134"/>
    </row>
    <row r="8016" spans="4:10" x14ac:dyDescent="0.3">
      <c r="D8016" s="40"/>
      <c r="J8016" s="134"/>
    </row>
    <row r="8017" spans="4:10" x14ac:dyDescent="0.3">
      <c r="D8017" s="40"/>
      <c r="J8017" s="134"/>
    </row>
    <row r="8018" spans="4:10" x14ac:dyDescent="0.3">
      <c r="D8018" s="40"/>
      <c r="J8018" s="134"/>
    </row>
    <row r="8019" spans="4:10" x14ac:dyDescent="0.3">
      <c r="D8019" s="40"/>
      <c r="J8019" s="134"/>
    </row>
    <row r="8020" spans="4:10" x14ac:dyDescent="0.3">
      <c r="D8020" s="40"/>
      <c r="J8020" s="134"/>
    </row>
    <row r="8021" spans="4:10" x14ac:dyDescent="0.3">
      <c r="D8021" s="40"/>
      <c r="J8021" s="134"/>
    </row>
    <row r="8022" spans="4:10" x14ac:dyDescent="0.3">
      <c r="D8022" s="40"/>
      <c r="J8022" s="134"/>
    </row>
    <row r="8023" spans="4:10" x14ac:dyDescent="0.3">
      <c r="D8023" s="40"/>
      <c r="J8023" s="134"/>
    </row>
    <row r="8024" spans="4:10" x14ac:dyDescent="0.3">
      <c r="D8024" s="40"/>
      <c r="J8024" s="134"/>
    </row>
    <row r="8025" spans="4:10" x14ac:dyDescent="0.3">
      <c r="D8025" s="40"/>
      <c r="J8025" s="134"/>
    </row>
    <row r="8026" spans="4:10" x14ac:dyDescent="0.3">
      <c r="D8026" s="40"/>
      <c r="J8026" s="134"/>
    </row>
    <row r="8027" spans="4:10" x14ac:dyDescent="0.3">
      <c r="D8027" s="40"/>
      <c r="J8027" s="134"/>
    </row>
    <row r="8028" spans="4:10" x14ac:dyDescent="0.3">
      <c r="D8028" s="40"/>
      <c r="J8028" s="134"/>
    </row>
    <row r="8029" spans="4:10" x14ac:dyDescent="0.3">
      <c r="D8029" s="40"/>
      <c r="J8029" s="134"/>
    </row>
    <row r="8030" spans="4:10" x14ac:dyDescent="0.3">
      <c r="D8030" s="40"/>
      <c r="J8030" s="134"/>
    </row>
    <row r="8031" spans="4:10" x14ac:dyDescent="0.3">
      <c r="D8031" s="40"/>
      <c r="J8031" s="134"/>
    </row>
    <row r="8032" spans="4:10" x14ac:dyDescent="0.3">
      <c r="D8032" s="40"/>
      <c r="J8032" s="134"/>
    </row>
    <row r="8033" spans="4:10" x14ac:dyDescent="0.3">
      <c r="D8033" s="40"/>
      <c r="J8033" s="134"/>
    </row>
    <row r="8034" spans="4:10" x14ac:dyDescent="0.3">
      <c r="D8034" s="40"/>
      <c r="J8034" s="134"/>
    </row>
    <row r="8035" spans="4:10" x14ac:dyDescent="0.3">
      <c r="D8035" s="40"/>
      <c r="J8035" s="134"/>
    </row>
    <row r="8036" spans="4:10" x14ac:dyDescent="0.3">
      <c r="D8036" s="40"/>
      <c r="J8036" s="134"/>
    </row>
    <row r="8037" spans="4:10" x14ac:dyDescent="0.3">
      <c r="D8037" s="40"/>
      <c r="J8037" s="134"/>
    </row>
    <row r="8038" spans="4:10" x14ac:dyDescent="0.3">
      <c r="D8038" s="40"/>
      <c r="J8038" s="134"/>
    </row>
    <row r="8039" spans="4:10" x14ac:dyDescent="0.3">
      <c r="D8039" s="40"/>
      <c r="J8039" s="134"/>
    </row>
    <row r="8040" spans="4:10" x14ac:dyDescent="0.3">
      <c r="D8040" s="40"/>
      <c r="J8040" s="134"/>
    </row>
    <row r="8041" spans="4:10" x14ac:dyDescent="0.3">
      <c r="D8041" s="40"/>
      <c r="J8041" s="134"/>
    </row>
    <row r="8042" spans="4:10" x14ac:dyDescent="0.3">
      <c r="D8042" s="40"/>
      <c r="J8042" s="134"/>
    </row>
    <row r="8043" spans="4:10" x14ac:dyDescent="0.3">
      <c r="D8043" s="40"/>
      <c r="J8043" s="134"/>
    </row>
    <row r="8044" spans="4:10" x14ac:dyDescent="0.3">
      <c r="D8044" s="40"/>
      <c r="J8044" s="134"/>
    </row>
    <row r="8045" spans="4:10" x14ac:dyDescent="0.3">
      <c r="D8045" s="40"/>
      <c r="J8045" s="134"/>
    </row>
    <row r="8046" spans="4:10" x14ac:dyDescent="0.3">
      <c r="D8046" s="40"/>
      <c r="J8046" s="134"/>
    </row>
    <row r="8047" spans="4:10" x14ac:dyDescent="0.3">
      <c r="D8047" s="40"/>
      <c r="J8047" s="134"/>
    </row>
    <row r="8048" spans="4:10" x14ac:dyDescent="0.3">
      <c r="D8048" s="40"/>
      <c r="J8048" s="134"/>
    </row>
    <row r="8049" spans="4:10" x14ac:dyDescent="0.3">
      <c r="D8049" s="40"/>
      <c r="J8049" s="134"/>
    </row>
    <row r="8050" spans="4:10" x14ac:dyDescent="0.3">
      <c r="D8050" s="40"/>
      <c r="J8050" s="134"/>
    </row>
    <row r="8051" spans="4:10" x14ac:dyDescent="0.3">
      <c r="D8051" s="40"/>
      <c r="J8051" s="134"/>
    </row>
    <row r="8052" spans="4:10" x14ac:dyDescent="0.3">
      <c r="D8052" s="40"/>
      <c r="J8052" s="134"/>
    </row>
    <row r="8053" spans="4:10" x14ac:dyDescent="0.3">
      <c r="D8053" s="40"/>
      <c r="J8053" s="134"/>
    </row>
    <row r="8054" spans="4:10" x14ac:dyDescent="0.3">
      <c r="D8054" s="40"/>
      <c r="J8054" s="134"/>
    </row>
    <row r="8055" spans="4:10" x14ac:dyDescent="0.3">
      <c r="D8055" s="40"/>
      <c r="J8055" s="134"/>
    </row>
    <row r="8056" spans="4:10" x14ac:dyDescent="0.3">
      <c r="D8056" s="40"/>
      <c r="J8056" s="134"/>
    </row>
    <row r="8057" spans="4:10" x14ac:dyDescent="0.3">
      <c r="D8057" s="40"/>
      <c r="J8057" s="134"/>
    </row>
    <row r="8058" spans="4:10" x14ac:dyDescent="0.3">
      <c r="D8058" s="40"/>
      <c r="J8058" s="134"/>
    </row>
    <row r="8059" spans="4:10" x14ac:dyDescent="0.3">
      <c r="D8059" s="40"/>
      <c r="J8059" s="134"/>
    </row>
    <row r="8060" spans="4:10" x14ac:dyDescent="0.3">
      <c r="D8060" s="40"/>
      <c r="J8060" s="134"/>
    </row>
    <row r="8061" spans="4:10" x14ac:dyDescent="0.3">
      <c r="D8061" s="40"/>
      <c r="J8061" s="134"/>
    </row>
    <row r="8062" spans="4:10" x14ac:dyDescent="0.3">
      <c r="D8062" s="40"/>
      <c r="J8062" s="134"/>
    </row>
    <row r="8063" spans="4:10" x14ac:dyDescent="0.3">
      <c r="D8063" s="40"/>
      <c r="J8063" s="134"/>
    </row>
    <row r="8064" spans="4:10" x14ac:dyDescent="0.3">
      <c r="D8064" s="40"/>
      <c r="J8064" s="134"/>
    </row>
    <row r="8065" spans="4:10" x14ac:dyDescent="0.3">
      <c r="D8065" s="40"/>
      <c r="J8065" s="134"/>
    </row>
    <row r="8066" spans="4:10" x14ac:dyDescent="0.3">
      <c r="D8066" s="40"/>
      <c r="J8066" s="134"/>
    </row>
    <row r="8067" spans="4:10" x14ac:dyDescent="0.3">
      <c r="D8067" s="40"/>
      <c r="J8067" s="134"/>
    </row>
    <row r="8068" spans="4:10" x14ac:dyDescent="0.3">
      <c r="D8068" s="40"/>
      <c r="J8068" s="134"/>
    </row>
    <row r="8069" spans="4:10" x14ac:dyDescent="0.3">
      <c r="D8069" s="40"/>
      <c r="J8069" s="134"/>
    </row>
    <row r="8070" spans="4:10" x14ac:dyDescent="0.3">
      <c r="D8070" s="40"/>
      <c r="J8070" s="134"/>
    </row>
    <row r="8071" spans="4:10" x14ac:dyDescent="0.3">
      <c r="D8071" s="40"/>
      <c r="J8071" s="134"/>
    </row>
    <row r="8072" spans="4:10" x14ac:dyDescent="0.3">
      <c r="D8072" s="40"/>
      <c r="J8072" s="134"/>
    </row>
    <row r="8073" spans="4:10" x14ac:dyDescent="0.3">
      <c r="D8073" s="40"/>
      <c r="J8073" s="134"/>
    </row>
    <row r="8074" spans="4:10" x14ac:dyDescent="0.3">
      <c r="D8074" s="40"/>
      <c r="J8074" s="134"/>
    </row>
    <row r="8075" spans="4:10" x14ac:dyDescent="0.3">
      <c r="D8075" s="40"/>
      <c r="J8075" s="134"/>
    </row>
    <row r="8076" spans="4:10" x14ac:dyDescent="0.3">
      <c r="D8076" s="40"/>
      <c r="J8076" s="134"/>
    </row>
    <row r="8077" spans="4:10" x14ac:dyDescent="0.3">
      <c r="D8077" s="40"/>
      <c r="J8077" s="134"/>
    </row>
    <row r="8078" spans="4:10" x14ac:dyDescent="0.3">
      <c r="D8078" s="40"/>
      <c r="J8078" s="134"/>
    </row>
    <row r="8079" spans="4:10" x14ac:dyDescent="0.3">
      <c r="D8079" s="40"/>
      <c r="J8079" s="134"/>
    </row>
    <row r="8080" spans="4:10" x14ac:dyDescent="0.3">
      <c r="D8080" s="40"/>
      <c r="J8080" s="134"/>
    </row>
    <row r="8081" spans="4:10" x14ac:dyDescent="0.3">
      <c r="D8081" s="40"/>
      <c r="J8081" s="134"/>
    </row>
    <row r="8082" spans="4:10" x14ac:dyDescent="0.3">
      <c r="D8082" s="40"/>
      <c r="J8082" s="134"/>
    </row>
    <row r="8083" spans="4:10" x14ac:dyDescent="0.3">
      <c r="D8083" s="40"/>
      <c r="J8083" s="134"/>
    </row>
    <row r="8084" spans="4:10" x14ac:dyDescent="0.3">
      <c r="D8084" s="40"/>
      <c r="J8084" s="134"/>
    </row>
    <row r="8085" spans="4:10" x14ac:dyDescent="0.3">
      <c r="D8085" s="40"/>
      <c r="J8085" s="134"/>
    </row>
    <row r="8086" spans="4:10" x14ac:dyDescent="0.3">
      <c r="D8086" s="40"/>
      <c r="J8086" s="134"/>
    </row>
    <row r="8087" spans="4:10" x14ac:dyDescent="0.3">
      <c r="D8087" s="40"/>
      <c r="J8087" s="134"/>
    </row>
    <row r="8088" spans="4:10" x14ac:dyDescent="0.3">
      <c r="D8088" s="40"/>
      <c r="J8088" s="134"/>
    </row>
    <row r="8089" spans="4:10" x14ac:dyDescent="0.3">
      <c r="D8089" s="40"/>
      <c r="J8089" s="134"/>
    </row>
    <row r="8090" spans="4:10" x14ac:dyDescent="0.3">
      <c r="D8090" s="40"/>
      <c r="J8090" s="134"/>
    </row>
    <row r="8091" spans="4:10" x14ac:dyDescent="0.3">
      <c r="D8091" s="40"/>
      <c r="J8091" s="134"/>
    </row>
    <row r="8092" spans="4:10" x14ac:dyDescent="0.3">
      <c r="D8092" s="40"/>
      <c r="J8092" s="134"/>
    </row>
    <row r="8093" spans="4:10" x14ac:dyDescent="0.3">
      <c r="D8093" s="40"/>
      <c r="J8093" s="134"/>
    </row>
    <row r="8094" spans="4:10" x14ac:dyDescent="0.3">
      <c r="D8094" s="40"/>
      <c r="J8094" s="134"/>
    </row>
    <row r="8095" spans="4:10" x14ac:dyDescent="0.3">
      <c r="D8095" s="40"/>
      <c r="J8095" s="134"/>
    </row>
    <row r="8096" spans="4:10" x14ac:dyDescent="0.3">
      <c r="D8096" s="40"/>
      <c r="J8096" s="134"/>
    </row>
    <row r="8097" spans="4:10" x14ac:dyDescent="0.3">
      <c r="D8097" s="40"/>
      <c r="J8097" s="134"/>
    </row>
    <row r="8098" spans="4:10" x14ac:dyDescent="0.3">
      <c r="D8098" s="40"/>
      <c r="J8098" s="134"/>
    </row>
    <row r="8099" spans="4:10" x14ac:dyDescent="0.3">
      <c r="D8099" s="40"/>
      <c r="J8099" s="134"/>
    </row>
    <row r="8100" spans="4:10" x14ac:dyDescent="0.3">
      <c r="D8100" s="40"/>
      <c r="J8100" s="134"/>
    </row>
    <row r="8101" spans="4:10" x14ac:dyDescent="0.3">
      <c r="D8101" s="40"/>
      <c r="J8101" s="134"/>
    </row>
    <row r="8102" spans="4:10" x14ac:dyDescent="0.3">
      <c r="D8102" s="40"/>
      <c r="J8102" s="134"/>
    </row>
    <row r="8103" spans="4:10" x14ac:dyDescent="0.3">
      <c r="D8103" s="40"/>
      <c r="J8103" s="134"/>
    </row>
    <row r="8104" spans="4:10" x14ac:dyDescent="0.3">
      <c r="D8104" s="40"/>
      <c r="J8104" s="134"/>
    </row>
    <row r="8105" spans="4:10" x14ac:dyDescent="0.3">
      <c r="D8105" s="40"/>
      <c r="J8105" s="134"/>
    </row>
    <row r="8106" spans="4:10" x14ac:dyDescent="0.3">
      <c r="D8106" s="40"/>
      <c r="J8106" s="134"/>
    </row>
    <row r="8107" spans="4:10" x14ac:dyDescent="0.3">
      <c r="D8107" s="40"/>
      <c r="J8107" s="134"/>
    </row>
    <row r="8108" spans="4:10" x14ac:dyDescent="0.3">
      <c r="D8108" s="40"/>
      <c r="J8108" s="134"/>
    </row>
    <row r="8109" spans="4:10" x14ac:dyDescent="0.3">
      <c r="D8109" s="40"/>
      <c r="J8109" s="134"/>
    </row>
    <row r="8110" spans="4:10" x14ac:dyDescent="0.3">
      <c r="D8110" s="40"/>
      <c r="J8110" s="134"/>
    </row>
    <row r="8111" spans="4:10" x14ac:dyDescent="0.3">
      <c r="D8111" s="40"/>
      <c r="J8111" s="134"/>
    </row>
    <row r="8112" spans="4:10" x14ac:dyDescent="0.3">
      <c r="D8112" s="40"/>
      <c r="J8112" s="134"/>
    </row>
    <row r="8113" spans="4:10" x14ac:dyDescent="0.3">
      <c r="D8113" s="40"/>
      <c r="J8113" s="134"/>
    </row>
    <row r="8114" spans="4:10" x14ac:dyDescent="0.3">
      <c r="D8114" s="40"/>
      <c r="J8114" s="134"/>
    </row>
    <row r="8115" spans="4:10" x14ac:dyDescent="0.3">
      <c r="D8115" s="40"/>
      <c r="J8115" s="134"/>
    </row>
    <row r="8116" spans="4:10" x14ac:dyDescent="0.3">
      <c r="D8116" s="40"/>
      <c r="J8116" s="134"/>
    </row>
    <row r="8117" spans="4:10" x14ac:dyDescent="0.3">
      <c r="D8117" s="40"/>
      <c r="J8117" s="134"/>
    </row>
    <row r="8118" spans="4:10" x14ac:dyDescent="0.3">
      <c r="D8118" s="40"/>
      <c r="J8118" s="134"/>
    </row>
    <row r="8119" spans="4:10" x14ac:dyDescent="0.3">
      <c r="D8119" s="40"/>
      <c r="J8119" s="134"/>
    </row>
    <row r="8120" spans="4:10" x14ac:dyDescent="0.3">
      <c r="D8120" s="40"/>
      <c r="J8120" s="134"/>
    </row>
    <row r="8121" spans="4:10" x14ac:dyDescent="0.3">
      <c r="D8121" s="40"/>
      <c r="J8121" s="134"/>
    </row>
    <row r="8122" spans="4:10" x14ac:dyDescent="0.3">
      <c r="D8122" s="40"/>
      <c r="J8122" s="134"/>
    </row>
    <row r="8123" spans="4:10" x14ac:dyDescent="0.3">
      <c r="D8123" s="40"/>
      <c r="J8123" s="134"/>
    </row>
    <row r="8124" spans="4:10" x14ac:dyDescent="0.3">
      <c r="D8124" s="40"/>
      <c r="J8124" s="134"/>
    </row>
    <row r="8125" spans="4:10" x14ac:dyDescent="0.3">
      <c r="D8125" s="40"/>
      <c r="J8125" s="134"/>
    </row>
    <row r="8126" spans="4:10" x14ac:dyDescent="0.3">
      <c r="D8126" s="40"/>
      <c r="J8126" s="134"/>
    </row>
    <row r="8127" spans="4:10" x14ac:dyDescent="0.3">
      <c r="D8127" s="40"/>
      <c r="J8127" s="134"/>
    </row>
    <row r="8128" spans="4:10" x14ac:dyDescent="0.3">
      <c r="D8128" s="40"/>
      <c r="J8128" s="134"/>
    </row>
    <row r="8129" spans="4:10" x14ac:dyDescent="0.3">
      <c r="D8129" s="40"/>
      <c r="J8129" s="134"/>
    </row>
    <row r="8130" spans="4:10" x14ac:dyDescent="0.3">
      <c r="D8130" s="40"/>
      <c r="J8130" s="134"/>
    </row>
    <row r="8131" spans="4:10" x14ac:dyDescent="0.3">
      <c r="D8131" s="40"/>
      <c r="J8131" s="134"/>
    </row>
    <row r="8132" spans="4:10" x14ac:dyDescent="0.3">
      <c r="D8132" s="40"/>
      <c r="J8132" s="134"/>
    </row>
    <row r="8133" spans="4:10" x14ac:dyDescent="0.3">
      <c r="D8133" s="40"/>
      <c r="J8133" s="134"/>
    </row>
    <row r="8134" spans="4:10" x14ac:dyDescent="0.3">
      <c r="D8134" s="40"/>
      <c r="J8134" s="134"/>
    </row>
    <row r="8135" spans="4:10" x14ac:dyDescent="0.3">
      <c r="D8135" s="40"/>
      <c r="J8135" s="134"/>
    </row>
    <row r="8136" spans="4:10" x14ac:dyDescent="0.3">
      <c r="D8136" s="40"/>
      <c r="J8136" s="134"/>
    </row>
    <row r="8137" spans="4:10" x14ac:dyDescent="0.3">
      <c r="D8137" s="40"/>
      <c r="J8137" s="134"/>
    </row>
    <row r="8138" spans="4:10" x14ac:dyDescent="0.3">
      <c r="D8138" s="40"/>
      <c r="J8138" s="134"/>
    </row>
    <row r="8139" spans="4:10" x14ac:dyDescent="0.3">
      <c r="D8139" s="40"/>
      <c r="J8139" s="134"/>
    </row>
    <row r="8140" spans="4:10" x14ac:dyDescent="0.3">
      <c r="D8140" s="40"/>
      <c r="J8140" s="134"/>
    </row>
    <row r="8141" spans="4:10" x14ac:dyDescent="0.3">
      <c r="D8141" s="40"/>
      <c r="J8141" s="134"/>
    </row>
    <row r="8142" spans="4:10" x14ac:dyDescent="0.3">
      <c r="D8142" s="40"/>
      <c r="J8142" s="134"/>
    </row>
    <row r="8143" spans="4:10" x14ac:dyDescent="0.3">
      <c r="D8143" s="40"/>
      <c r="J8143" s="134"/>
    </row>
    <row r="8144" spans="4:10" x14ac:dyDescent="0.3">
      <c r="D8144" s="40"/>
      <c r="J8144" s="134"/>
    </row>
    <row r="8145" spans="4:10" x14ac:dyDescent="0.3">
      <c r="D8145" s="40"/>
      <c r="J8145" s="134"/>
    </row>
    <row r="8146" spans="4:10" x14ac:dyDescent="0.3">
      <c r="D8146" s="40"/>
      <c r="J8146" s="134"/>
    </row>
    <row r="8147" spans="4:10" x14ac:dyDescent="0.3">
      <c r="D8147" s="40"/>
      <c r="J8147" s="134"/>
    </row>
    <row r="8148" spans="4:10" x14ac:dyDescent="0.3">
      <c r="D8148" s="40"/>
      <c r="J8148" s="134"/>
    </row>
    <row r="8149" spans="4:10" x14ac:dyDescent="0.3">
      <c r="D8149" s="40"/>
      <c r="J8149" s="134"/>
    </row>
    <row r="8150" spans="4:10" x14ac:dyDescent="0.3">
      <c r="D8150" s="40"/>
      <c r="J8150" s="134"/>
    </row>
    <row r="8151" spans="4:10" x14ac:dyDescent="0.3">
      <c r="D8151" s="40"/>
      <c r="J8151" s="134"/>
    </row>
    <row r="8152" spans="4:10" x14ac:dyDescent="0.3">
      <c r="D8152" s="40"/>
      <c r="J8152" s="134"/>
    </row>
    <row r="8153" spans="4:10" x14ac:dyDescent="0.3">
      <c r="D8153" s="40"/>
      <c r="J8153" s="134"/>
    </row>
    <row r="8154" spans="4:10" x14ac:dyDescent="0.3">
      <c r="D8154" s="40"/>
      <c r="J8154" s="134"/>
    </row>
    <row r="8155" spans="4:10" x14ac:dyDescent="0.3">
      <c r="D8155" s="40"/>
      <c r="J8155" s="134"/>
    </row>
    <row r="8156" spans="4:10" x14ac:dyDescent="0.3">
      <c r="D8156" s="40"/>
      <c r="J8156" s="134"/>
    </row>
    <row r="8157" spans="4:10" x14ac:dyDescent="0.3">
      <c r="D8157" s="40"/>
      <c r="J8157" s="134"/>
    </row>
    <row r="8158" spans="4:10" x14ac:dyDescent="0.3">
      <c r="D8158" s="40"/>
      <c r="J8158" s="134"/>
    </row>
    <row r="8159" spans="4:10" x14ac:dyDescent="0.3">
      <c r="D8159" s="40"/>
      <c r="J8159" s="134"/>
    </row>
    <row r="8160" spans="4:10" x14ac:dyDescent="0.3">
      <c r="D8160" s="40"/>
      <c r="J8160" s="134"/>
    </row>
    <row r="8161" spans="4:10" x14ac:dyDescent="0.3">
      <c r="D8161" s="40"/>
      <c r="J8161" s="134"/>
    </row>
    <row r="8162" spans="4:10" x14ac:dyDescent="0.3">
      <c r="D8162" s="40"/>
      <c r="J8162" s="134"/>
    </row>
    <row r="8163" spans="4:10" x14ac:dyDescent="0.3">
      <c r="D8163" s="40"/>
      <c r="J8163" s="134"/>
    </row>
    <row r="8164" spans="4:10" x14ac:dyDescent="0.3">
      <c r="D8164" s="40"/>
      <c r="J8164" s="134"/>
    </row>
    <row r="8165" spans="4:10" x14ac:dyDescent="0.3">
      <c r="D8165" s="40"/>
      <c r="J8165" s="134"/>
    </row>
    <row r="8166" spans="4:10" x14ac:dyDescent="0.3">
      <c r="D8166" s="40"/>
      <c r="J8166" s="134"/>
    </row>
    <row r="8167" spans="4:10" x14ac:dyDescent="0.3">
      <c r="D8167" s="40"/>
      <c r="J8167" s="134"/>
    </row>
    <row r="8168" spans="4:10" x14ac:dyDescent="0.3">
      <c r="D8168" s="40"/>
      <c r="J8168" s="134"/>
    </row>
    <row r="8169" spans="4:10" x14ac:dyDescent="0.3">
      <c r="D8169" s="40"/>
      <c r="J8169" s="134"/>
    </row>
    <row r="8170" spans="4:10" x14ac:dyDescent="0.3">
      <c r="D8170" s="40"/>
      <c r="J8170" s="134"/>
    </row>
    <row r="8171" spans="4:10" x14ac:dyDescent="0.3">
      <c r="D8171" s="40"/>
      <c r="J8171" s="134"/>
    </row>
    <row r="8172" spans="4:10" x14ac:dyDescent="0.3">
      <c r="D8172" s="40"/>
      <c r="J8172" s="134"/>
    </row>
    <row r="8173" spans="4:10" x14ac:dyDescent="0.3">
      <c r="D8173" s="40"/>
      <c r="J8173" s="134"/>
    </row>
    <row r="8174" spans="4:10" x14ac:dyDescent="0.3">
      <c r="D8174" s="40"/>
      <c r="J8174" s="134"/>
    </row>
    <row r="8175" spans="4:10" x14ac:dyDescent="0.3">
      <c r="D8175" s="40"/>
      <c r="J8175" s="134"/>
    </row>
    <row r="8176" spans="4:10" x14ac:dyDescent="0.3">
      <c r="D8176" s="40"/>
      <c r="J8176" s="134"/>
    </row>
    <row r="8177" spans="4:10" x14ac:dyDescent="0.3">
      <c r="D8177" s="40"/>
      <c r="J8177" s="134"/>
    </row>
    <row r="8178" spans="4:10" x14ac:dyDescent="0.3">
      <c r="D8178" s="40"/>
      <c r="J8178" s="134"/>
    </row>
    <row r="8179" spans="4:10" x14ac:dyDescent="0.3">
      <c r="D8179" s="40"/>
      <c r="J8179" s="134"/>
    </row>
    <row r="8180" spans="4:10" x14ac:dyDescent="0.3">
      <c r="D8180" s="40"/>
      <c r="J8180" s="134"/>
    </row>
    <row r="8181" spans="4:10" x14ac:dyDescent="0.3">
      <c r="D8181" s="40"/>
      <c r="J8181" s="134"/>
    </row>
    <row r="8182" spans="4:10" x14ac:dyDescent="0.3">
      <c r="D8182" s="40"/>
      <c r="J8182" s="134"/>
    </row>
    <row r="8183" spans="4:10" x14ac:dyDescent="0.3">
      <c r="D8183" s="40"/>
      <c r="J8183" s="134"/>
    </row>
    <row r="8184" spans="4:10" x14ac:dyDescent="0.3">
      <c r="D8184" s="40"/>
      <c r="J8184" s="134"/>
    </row>
    <row r="8185" spans="4:10" x14ac:dyDescent="0.3">
      <c r="D8185" s="40"/>
      <c r="J8185" s="134"/>
    </row>
    <row r="8186" spans="4:10" x14ac:dyDescent="0.3">
      <c r="D8186" s="40"/>
      <c r="J8186" s="134"/>
    </row>
    <row r="8187" spans="4:10" x14ac:dyDescent="0.3">
      <c r="D8187" s="40"/>
      <c r="J8187" s="134"/>
    </row>
    <row r="8188" spans="4:10" x14ac:dyDescent="0.3">
      <c r="D8188" s="40"/>
      <c r="J8188" s="134"/>
    </row>
    <row r="8189" spans="4:10" x14ac:dyDescent="0.3">
      <c r="D8189" s="40"/>
      <c r="J8189" s="134"/>
    </row>
    <row r="8190" spans="4:10" x14ac:dyDescent="0.3">
      <c r="D8190" s="40"/>
      <c r="J8190" s="134"/>
    </row>
    <row r="8191" spans="4:10" x14ac:dyDescent="0.3">
      <c r="D8191" s="40"/>
      <c r="J8191" s="134"/>
    </row>
    <row r="8192" spans="4:10" x14ac:dyDescent="0.3">
      <c r="D8192" s="40"/>
      <c r="J8192" s="134"/>
    </row>
    <row r="8193" spans="4:10" x14ac:dyDescent="0.3">
      <c r="D8193" s="40"/>
      <c r="J8193" s="134"/>
    </row>
    <row r="8194" spans="4:10" x14ac:dyDescent="0.3">
      <c r="D8194" s="40"/>
      <c r="J8194" s="134"/>
    </row>
    <row r="8195" spans="4:10" x14ac:dyDescent="0.3">
      <c r="D8195" s="40"/>
      <c r="J8195" s="134"/>
    </row>
    <row r="8196" spans="4:10" x14ac:dyDescent="0.3">
      <c r="D8196" s="40"/>
      <c r="J8196" s="134"/>
    </row>
    <row r="8197" spans="4:10" x14ac:dyDescent="0.3">
      <c r="D8197" s="40"/>
      <c r="J8197" s="134"/>
    </row>
    <row r="8198" spans="4:10" x14ac:dyDescent="0.3">
      <c r="D8198" s="40"/>
      <c r="J8198" s="134"/>
    </row>
    <row r="8199" spans="4:10" x14ac:dyDescent="0.3">
      <c r="D8199" s="40"/>
      <c r="J8199" s="134"/>
    </row>
    <row r="8200" spans="4:10" x14ac:dyDescent="0.3">
      <c r="D8200" s="40"/>
      <c r="J8200" s="134"/>
    </row>
    <row r="8201" spans="4:10" x14ac:dyDescent="0.3">
      <c r="D8201" s="40"/>
      <c r="J8201" s="134"/>
    </row>
    <row r="8202" spans="4:10" x14ac:dyDescent="0.3">
      <c r="D8202" s="40"/>
      <c r="J8202" s="134"/>
    </row>
    <row r="8203" spans="4:10" x14ac:dyDescent="0.3">
      <c r="D8203" s="40"/>
      <c r="J8203" s="134"/>
    </row>
    <row r="8204" spans="4:10" x14ac:dyDescent="0.3">
      <c r="D8204" s="40"/>
      <c r="J8204" s="134"/>
    </row>
    <row r="8205" spans="4:10" x14ac:dyDescent="0.3">
      <c r="D8205" s="40"/>
      <c r="J8205" s="134"/>
    </row>
    <row r="8206" spans="4:10" x14ac:dyDescent="0.3">
      <c r="D8206" s="40"/>
      <c r="J8206" s="134"/>
    </row>
    <row r="8207" spans="4:10" x14ac:dyDescent="0.3">
      <c r="D8207" s="40"/>
      <c r="J8207" s="134"/>
    </row>
    <row r="8208" spans="4:10" x14ac:dyDescent="0.3">
      <c r="D8208" s="40"/>
      <c r="J8208" s="134"/>
    </row>
    <row r="8209" spans="4:10" x14ac:dyDescent="0.3">
      <c r="D8209" s="40"/>
      <c r="J8209" s="134"/>
    </row>
    <row r="8210" spans="4:10" x14ac:dyDescent="0.3">
      <c r="D8210" s="40"/>
      <c r="J8210" s="134"/>
    </row>
    <row r="8211" spans="4:10" x14ac:dyDescent="0.3">
      <c r="D8211" s="40"/>
      <c r="J8211" s="134"/>
    </row>
    <row r="8212" spans="4:10" x14ac:dyDescent="0.3">
      <c r="D8212" s="40"/>
      <c r="J8212" s="134"/>
    </row>
    <row r="8213" spans="4:10" x14ac:dyDescent="0.3">
      <c r="D8213" s="40"/>
      <c r="J8213" s="134"/>
    </row>
    <row r="8214" spans="4:10" x14ac:dyDescent="0.3">
      <c r="D8214" s="40"/>
      <c r="J8214" s="134"/>
    </row>
    <row r="8215" spans="4:10" x14ac:dyDescent="0.3">
      <c r="D8215" s="40"/>
      <c r="J8215" s="134"/>
    </row>
    <row r="8216" spans="4:10" x14ac:dyDescent="0.3">
      <c r="D8216" s="40"/>
      <c r="J8216" s="134"/>
    </row>
    <row r="8217" spans="4:10" x14ac:dyDescent="0.3">
      <c r="D8217" s="40"/>
      <c r="J8217" s="134"/>
    </row>
    <row r="8218" spans="4:10" x14ac:dyDescent="0.3">
      <c r="D8218" s="40"/>
      <c r="J8218" s="134"/>
    </row>
    <row r="8219" spans="4:10" x14ac:dyDescent="0.3">
      <c r="D8219" s="40"/>
      <c r="J8219" s="134"/>
    </row>
    <row r="8220" spans="4:10" x14ac:dyDescent="0.3">
      <c r="D8220" s="40"/>
      <c r="J8220" s="134"/>
    </row>
    <row r="8221" spans="4:10" x14ac:dyDescent="0.3">
      <c r="D8221" s="40"/>
      <c r="J8221" s="134"/>
    </row>
    <row r="8222" spans="4:10" x14ac:dyDescent="0.3">
      <c r="D8222" s="40"/>
      <c r="J8222" s="134"/>
    </row>
    <row r="8223" spans="4:10" x14ac:dyDescent="0.3">
      <c r="D8223" s="40"/>
      <c r="J8223" s="134"/>
    </row>
    <row r="8224" spans="4:10" x14ac:dyDescent="0.3">
      <c r="D8224" s="40"/>
      <c r="J8224" s="134"/>
    </row>
    <row r="8225" spans="4:10" x14ac:dyDescent="0.3">
      <c r="D8225" s="40"/>
      <c r="J8225" s="134"/>
    </row>
    <row r="8226" spans="4:10" x14ac:dyDescent="0.3">
      <c r="D8226" s="40"/>
      <c r="J8226" s="134"/>
    </row>
    <row r="8227" spans="4:10" x14ac:dyDescent="0.3">
      <c r="D8227" s="40"/>
      <c r="J8227" s="134"/>
    </row>
    <row r="8228" spans="4:10" x14ac:dyDescent="0.3">
      <c r="D8228" s="40"/>
      <c r="J8228" s="134"/>
    </row>
    <row r="8229" spans="4:10" x14ac:dyDescent="0.3">
      <c r="D8229" s="40"/>
      <c r="J8229" s="134"/>
    </row>
    <row r="8230" spans="4:10" x14ac:dyDescent="0.3">
      <c r="D8230" s="40"/>
      <c r="J8230" s="134"/>
    </row>
    <row r="8231" spans="4:10" x14ac:dyDescent="0.3">
      <c r="D8231" s="40"/>
      <c r="J8231" s="134"/>
    </row>
    <row r="8232" spans="4:10" x14ac:dyDescent="0.3">
      <c r="D8232" s="40"/>
      <c r="J8232" s="134"/>
    </row>
    <row r="8233" spans="4:10" x14ac:dyDescent="0.3">
      <c r="D8233" s="40"/>
      <c r="J8233" s="134"/>
    </row>
    <row r="8234" spans="4:10" x14ac:dyDescent="0.3">
      <c r="D8234" s="40"/>
      <c r="J8234" s="134"/>
    </row>
    <row r="8235" spans="4:10" x14ac:dyDescent="0.3">
      <c r="D8235" s="40"/>
      <c r="J8235" s="134"/>
    </row>
    <row r="8236" spans="4:10" x14ac:dyDescent="0.3">
      <c r="D8236" s="40"/>
      <c r="J8236" s="134"/>
    </row>
    <row r="8237" spans="4:10" x14ac:dyDescent="0.3">
      <c r="D8237" s="40"/>
      <c r="J8237" s="134"/>
    </row>
    <row r="8238" spans="4:10" x14ac:dyDescent="0.3">
      <c r="D8238" s="40"/>
      <c r="J8238" s="134"/>
    </row>
    <row r="8239" spans="4:10" x14ac:dyDescent="0.3">
      <c r="D8239" s="40"/>
      <c r="J8239" s="134"/>
    </row>
    <row r="8240" spans="4:10" x14ac:dyDescent="0.3">
      <c r="D8240" s="40"/>
      <c r="J8240" s="134"/>
    </row>
    <row r="8241" spans="4:10" x14ac:dyDescent="0.3">
      <c r="D8241" s="40"/>
      <c r="J8241" s="134"/>
    </row>
    <row r="8242" spans="4:10" x14ac:dyDescent="0.3">
      <c r="D8242" s="40"/>
      <c r="J8242" s="134"/>
    </row>
    <row r="8243" spans="4:10" x14ac:dyDescent="0.3">
      <c r="D8243" s="40"/>
      <c r="J8243" s="134"/>
    </row>
    <row r="8244" spans="4:10" x14ac:dyDescent="0.3">
      <c r="D8244" s="40"/>
      <c r="J8244" s="134"/>
    </row>
    <row r="8245" spans="4:10" x14ac:dyDescent="0.3">
      <c r="D8245" s="40"/>
      <c r="J8245" s="134"/>
    </row>
    <row r="8246" spans="4:10" x14ac:dyDescent="0.3">
      <c r="D8246" s="40"/>
      <c r="J8246" s="134"/>
    </row>
    <row r="8247" spans="4:10" x14ac:dyDescent="0.3">
      <c r="D8247" s="40"/>
      <c r="J8247" s="134"/>
    </row>
    <row r="8248" spans="4:10" x14ac:dyDescent="0.3">
      <c r="D8248" s="40"/>
      <c r="J8248" s="134"/>
    </row>
    <row r="8249" spans="4:10" x14ac:dyDescent="0.3">
      <c r="D8249" s="40"/>
      <c r="J8249" s="134"/>
    </row>
    <row r="8250" spans="4:10" x14ac:dyDescent="0.3">
      <c r="D8250" s="40"/>
      <c r="J8250" s="134"/>
    </row>
    <row r="8251" spans="4:10" x14ac:dyDescent="0.3">
      <c r="D8251" s="40"/>
      <c r="J8251" s="134"/>
    </row>
    <row r="8252" spans="4:10" x14ac:dyDescent="0.3">
      <c r="D8252" s="40"/>
      <c r="J8252" s="134"/>
    </row>
    <row r="8253" spans="4:10" x14ac:dyDescent="0.3">
      <c r="D8253" s="40"/>
      <c r="J8253" s="134"/>
    </row>
    <row r="8254" spans="4:10" x14ac:dyDescent="0.3">
      <c r="D8254" s="40"/>
      <c r="J8254" s="134"/>
    </row>
    <row r="8255" spans="4:10" x14ac:dyDescent="0.3">
      <c r="D8255" s="40"/>
      <c r="J8255" s="134"/>
    </row>
    <row r="8256" spans="4:10" x14ac:dyDescent="0.3">
      <c r="D8256" s="40"/>
      <c r="J8256" s="134"/>
    </row>
    <row r="8257" spans="4:10" x14ac:dyDescent="0.3">
      <c r="D8257" s="40"/>
      <c r="J8257" s="134"/>
    </row>
    <row r="8258" spans="4:10" x14ac:dyDescent="0.3">
      <c r="D8258" s="40"/>
      <c r="J8258" s="134"/>
    </row>
    <row r="8259" spans="4:10" x14ac:dyDescent="0.3">
      <c r="D8259" s="40"/>
      <c r="J8259" s="134"/>
    </row>
    <row r="8260" spans="4:10" x14ac:dyDescent="0.3">
      <c r="D8260" s="40"/>
      <c r="J8260" s="134"/>
    </row>
    <row r="8261" spans="4:10" x14ac:dyDescent="0.3">
      <c r="D8261" s="40"/>
      <c r="J8261" s="134"/>
    </row>
    <row r="8262" spans="4:10" x14ac:dyDescent="0.3">
      <c r="D8262" s="40"/>
      <c r="J8262" s="134"/>
    </row>
    <row r="8263" spans="4:10" x14ac:dyDescent="0.3">
      <c r="D8263" s="40"/>
      <c r="J8263" s="134"/>
    </row>
    <row r="8264" spans="4:10" x14ac:dyDescent="0.3">
      <c r="D8264" s="40"/>
      <c r="J8264" s="134"/>
    </row>
    <row r="8265" spans="4:10" x14ac:dyDescent="0.3">
      <c r="D8265" s="40"/>
      <c r="J8265" s="134"/>
    </row>
    <row r="8266" spans="4:10" x14ac:dyDescent="0.3">
      <c r="D8266" s="40"/>
      <c r="J8266" s="134"/>
    </row>
    <row r="8267" spans="4:10" x14ac:dyDescent="0.3">
      <c r="D8267" s="40"/>
      <c r="J8267" s="134"/>
    </row>
    <row r="8268" spans="4:10" x14ac:dyDescent="0.3">
      <c r="D8268" s="40"/>
      <c r="J8268" s="134"/>
    </row>
    <row r="8269" spans="4:10" x14ac:dyDescent="0.3">
      <c r="D8269" s="40"/>
      <c r="J8269" s="134"/>
    </row>
    <row r="8270" spans="4:10" x14ac:dyDescent="0.3">
      <c r="D8270" s="40"/>
      <c r="J8270" s="134"/>
    </row>
    <row r="8271" spans="4:10" x14ac:dyDescent="0.3">
      <c r="D8271" s="40"/>
      <c r="J8271" s="134"/>
    </row>
    <row r="8272" spans="4:10" x14ac:dyDescent="0.3">
      <c r="D8272" s="40"/>
      <c r="J8272" s="134"/>
    </row>
    <row r="8273" spans="4:10" x14ac:dyDescent="0.3">
      <c r="D8273" s="40"/>
      <c r="J8273" s="134"/>
    </row>
    <row r="8274" spans="4:10" x14ac:dyDescent="0.3">
      <c r="D8274" s="40"/>
      <c r="J8274" s="134"/>
    </row>
    <row r="8275" spans="4:10" x14ac:dyDescent="0.3">
      <c r="D8275" s="40"/>
      <c r="J8275" s="134"/>
    </row>
    <row r="8276" spans="4:10" x14ac:dyDescent="0.3">
      <c r="D8276" s="40"/>
      <c r="J8276" s="134"/>
    </row>
    <row r="8277" spans="4:10" x14ac:dyDescent="0.3">
      <c r="D8277" s="40"/>
      <c r="J8277" s="134"/>
    </row>
    <row r="8278" spans="4:10" x14ac:dyDescent="0.3">
      <c r="D8278" s="40"/>
      <c r="J8278" s="134"/>
    </row>
    <row r="8279" spans="4:10" x14ac:dyDescent="0.3">
      <c r="D8279" s="40"/>
      <c r="J8279" s="134"/>
    </row>
    <row r="8280" spans="4:10" x14ac:dyDescent="0.3">
      <c r="D8280" s="40"/>
      <c r="J8280" s="134"/>
    </row>
    <row r="8281" spans="4:10" x14ac:dyDescent="0.3">
      <c r="D8281" s="40"/>
      <c r="J8281" s="134"/>
    </row>
    <row r="8282" spans="4:10" x14ac:dyDescent="0.3">
      <c r="D8282" s="40"/>
      <c r="J8282" s="134"/>
    </row>
    <row r="8283" spans="4:10" x14ac:dyDescent="0.3">
      <c r="D8283" s="40"/>
      <c r="J8283" s="134"/>
    </row>
    <row r="8284" spans="4:10" x14ac:dyDescent="0.3">
      <c r="D8284" s="40"/>
      <c r="J8284" s="134"/>
    </row>
    <row r="8285" spans="4:10" x14ac:dyDescent="0.3">
      <c r="D8285" s="40"/>
      <c r="J8285" s="134"/>
    </row>
    <row r="8286" spans="4:10" x14ac:dyDescent="0.3">
      <c r="D8286" s="40"/>
      <c r="J8286" s="134"/>
    </row>
    <row r="8287" spans="4:10" x14ac:dyDescent="0.3">
      <c r="D8287" s="40"/>
      <c r="J8287" s="134"/>
    </row>
    <row r="8288" spans="4:10" x14ac:dyDescent="0.3">
      <c r="D8288" s="40"/>
      <c r="J8288" s="134"/>
    </row>
    <row r="8289" spans="4:10" x14ac:dyDescent="0.3">
      <c r="D8289" s="40"/>
      <c r="J8289" s="134"/>
    </row>
    <row r="8290" spans="4:10" x14ac:dyDescent="0.3">
      <c r="D8290" s="40"/>
      <c r="J8290" s="134"/>
    </row>
    <row r="8291" spans="4:10" x14ac:dyDescent="0.3">
      <c r="D8291" s="40"/>
      <c r="J8291" s="134"/>
    </row>
    <row r="8292" spans="4:10" x14ac:dyDescent="0.3">
      <c r="D8292" s="40"/>
      <c r="J8292" s="134"/>
    </row>
    <row r="8293" spans="4:10" x14ac:dyDescent="0.3">
      <c r="D8293" s="40"/>
      <c r="J8293" s="134"/>
    </row>
    <row r="8294" spans="4:10" x14ac:dyDescent="0.3">
      <c r="D8294" s="40"/>
      <c r="J8294" s="134"/>
    </row>
    <row r="8295" spans="4:10" x14ac:dyDescent="0.3">
      <c r="D8295" s="40"/>
      <c r="J8295" s="134"/>
    </row>
    <row r="8296" spans="4:10" x14ac:dyDescent="0.3">
      <c r="D8296" s="40"/>
      <c r="J8296" s="134"/>
    </row>
    <row r="8297" spans="4:10" x14ac:dyDescent="0.3">
      <c r="D8297" s="40"/>
      <c r="J8297" s="134"/>
    </row>
    <row r="8298" spans="4:10" x14ac:dyDescent="0.3">
      <c r="D8298" s="40"/>
      <c r="J8298" s="134"/>
    </row>
    <row r="8299" spans="4:10" x14ac:dyDescent="0.3">
      <c r="D8299" s="40"/>
      <c r="J8299" s="134"/>
    </row>
    <row r="8300" spans="4:10" x14ac:dyDescent="0.3">
      <c r="D8300" s="40"/>
      <c r="J8300" s="134"/>
    </row>
    <row r="8301" spans="4:10" x14ac:dyDescent="0.3">
      <c r="D8301" s="40"/>
      <c r="J8301" s="134"/>
    </row>
    <row r="8302" spans="4:10" x14ac:dyDescent="0.3">
      <c r="D8302" s="40"/>
      <c r="J8302" s="134"/>
    </row>
    <row r="8303" spans="4:10" x14ac:dyDescent="0.3">
      <c r="D8303" s="40"/>
      <c r="J8303" s="134"/>
    </row>
    <row r="8304" spans="4:10" x14ac:dyDescent="0.3">
      <c r="D8304" s="40"/>
      <c r="J8304" s="134"/>
    </row>
    <row r="8305" spans="4:10" x14ac:dyDescent="0.3">
      <c r="D8305" s="40"/>
      <c r="J8305" s="134"/>
    </row>
    <row r="8306" spans="4:10" x14ac:dyDescent="0.3">
      <c r="D8306" s="40"/>
      <c r="J8306" s="134"/>
    </row>
    <row r="8307" spans="4:10" x14ac:dyDescent="0.3">
      <c r="D8307" s="40"/>
      <c r="J8307" s="134"/>
    </row>
    <row r="8308" spans="4:10" x14ac:dyDescent="0.3">
      <c r="D8308" s="40"/>
      <c r="J8308" s="134"/>
    </row>
    <row r="8309" spans="4:10" x14ac:dyDescent="0.3">
      <c r="D8309" s="40"/>
      <c r="J8309" s="134"/>
    </row>
    <row r="8310" spans="4:10" x14ac:dyDescent="0.3">
      <c r="D8310" s="40"/>
      <c r="J8310" s="134"/>
    </row>
    <row r="8311" spans="4:10" x14ac:dyDescent="0.3">
      <c r="D8311" s="40"/>
      <c r="J8311" s="134"/>
    </row>
    <row r="8312" spans="4:10" x14ac:dyDescent="0.3">
      <c r="D8312" s="40"/>
      <c r="J8312" s="134"/>
    </row>
    <row r="8313" spans="4:10" x14ac:dyDescent="0.3">
      <c r="D8313" s="40"/>
      <c r="J8313" s="134"/>
    </row>
    <row r="8314" spans="4:10" x14ac:dyDescent="0.3">
      <c r="D8314" s="40"/>
      <c r="J8314" s="134"/>
    </row>
    <row r="8315" spans="4:10" x14ac:dyDescent="0.3">
      <c r="D8315" s="40"/>
      <c r="J8315" s="134"/>
    </row>
    <row r="8316" spans="4:10" x14ac:dyDescent="0.3">
      <c r="D8316" s="40"/>
      <c r="J8316" s="134"/>
    </row>
    <row r="8317" spans="4:10" x14ac:dyDescent="0.3">
      <c r="D8317" s="40"/>
      <c r="J8317" s="134"/>
    </row>
    <row r="8318" spans="4:10" x14ac:dyDescent="0.3">
      <c r="D8318" s="40"/>
      <c r="J8318" s="134"/>
    </row>
    <row r="8319" spans="4:10" x14ac:dyDescent="0.3">
      <c r="D8319" s="40"/>
      <c r="J8319" s="134"/>
    </row>
    <row r="8320" spans="4:10" x14ac:dyDescent="0.3">
      <c r="D8320" s="40"/>
      <c r="J8320" s="134"/>
    </row>
    <row r="8321" spans="4:10" x14ac:dyDescent="0.3">
      <c r="D8321" s="40"/>
      <c r="J8321" s="134"/>
    </row>
    <row r="8322" spans="4:10" x14ac:dyDescent="0.3">
      <c r="D8322" s="40"/>
      <c r="J8322" s="134"/>
    </row>
    <row r="8323" spans="4:10" x14ac:dyDescent="0.3">
      <c r="D8323" s="40"/>
      <c r="J8323" s="134"/>
    </row>
    <row r="8324" spans="4:10" x14ac:dyDescent="0.3">
      <c r="D8324" s="40"/>
      <c r="J8324" s="134"/>
    </row>
    <row r="8325" spans="4:10" x14ac:dyDescent="0.3">
      <c r="D8325" s="40"/>
      <c r="J8325" s="134"/>
    </row>
    <row r="8326" spans="4:10" x14ac:dyDescent="0.3">
      <c r="D8326" s="40"/>
      <c r="J8326" s="134"/>
    </row>
    <row r="8327" spans="4:10" x14ac:dyDescent="0.3">
      <c r="D8327" s="40"/>
      <c r="J8327" s="134"/>
    </row>
    <row r="8328" spans="4:10" x14ac:dyDescent="0.3">
      <c r="D8328" s="40"/>
      <c r="J8328" s="134"/>
    </row>
    <row r="8329" spans="4:10" x14ac:dyDescent="0.3">
      <c r="D8329" s="40"/>
      <c r="J8329" s="134"/>
    </row>
    <row r="8330" spans="4:10" x14ac:dyDescent="0.3">
      <c r="D8330" s="40"/>
      <c r="J8330" s="134"/>
    </row>
    <row r="8331" spans="4:10" x14ac:dyDescent="0.3">
      <c r="D8331" s="40"/>
      <c r="J8331" s="134"/>
    </row>
    <row r="8332" spans="4:10" x14ac:dyDescent="0.3">
      <c r="D8332" s="40"/>
      <c r="J8332" s="134"/>
    </row>
    <row r="8333" spans="4:10" x14ac:dyDescent="0.3">
      <c r="D8333" s="40"/>
      <c r="J8333" s="134"/>
    </row>
    <row r="8334" spans="4:10" x14ac:dyDescent="0.3">
      <c r="D8334" s="40"/>
      <c r="J8334" s="134"/>
    </row>
    <row r="8335" spans="4:10" x14ac:dyDescent="0.3">
      <c r="D8335" s="40"/>
      <c r="J8335" s="134"/>
    </row>
    <row r="8336" spans="4:10" x14ac:dyDescent="0.3">
      <c r="D8336" s="40"/>
      <c r="J8336" s="134"/>
    </row>
    <row r="8337" spans="4:10" x14ac:dyDescent="0.3">
      <c r="D8337" s="40"/>
      <c r="J8337" s="134"/>
    </row>
    <row r="8338" spans="4:10" x14ac:dyDescent="0.3">
      <c r="D8338" s="40"/>
      <c r="J8338" s="134"/>
    </row>
    <row r="8339" spans="4:10" x14ac:dyDescent="0.3">
      <c r="D8339" s="40"/>
      <c r="J8339" s="134"/>
    </row>
    <row r="8340" spans="4:10" x14ac:dyDescent="0.3">
      <c r="D8340" s="40"/>
      <c r="J8340" s="134"/>
    </row>
    <row r="8341" spans="4:10" x14ac:dyDescent="0.3">
      <c r="D8341" s="40"/>
      <c r="J8341" s="134"/>
    </row>
    <row r="8342" spans="4:10" x14ac:dyDescent="0.3">
      <c r="D8342" s="40"/>
      <c r="J8342" s="134"/>
    </row>
    <row r="8343" spans="4:10" x14ac:dyDescent="0.3">
      <c r="D8343" s="40"/>
      <c r="J8343" s="134"/>
    </row>
    <row r="8344" spans="4:10" x14ac:dyDescent="0.3">
      <c r="D8344" s="40"/>
      <c r="J8344" s="134"/>
    </row>
    <row r="8345" spans="4:10" x14ac:dyDescent="0.3">
      <c r="D8345" s="40"/>
      <c r="J8345" s="134"/>
    </row>
    <row r="8346" spans="4:10" x14ac:dyDescent="0.3">
      <c r="D8346" s="40"/>
      <c r="J8346" s="134"/>
    </row>
    <row r="8347" spans="4:10" x14ac:dyDescent="0.3">
      <c r="D8347" s="40"/>
      <c r="J8347" s="134"/>
    </row>
    <row r="8348" spans="4:10" x14ac:dyDescent="0.3">
      <c r="D8348" s="40"/>
      <c r="J8348" s="134"/>
    </row>
    <row r="8349" spans="4:10" x14ac:dyDescent="0.3">
      <c r="D8349" s="40"/>
      <c r="J8349" s="134"/>
    </row>
    <row r="8350" spans="4:10" x14ac:dyDescent="0.3">
      <c r="D8350" s="40"/>
      <c r="J8350" s="134"/>
    </row>
    <row r="8351" spans="4:10" x14ac:dyDescent="0.3">
      <c r="D8351" s="40"/>
      <c r="J8351" s="134"/>
    </row>
    <row r="8352" spans="4:10" x14ac:dyDescent="0.3">
      <c r="D8352" s="40"/>
      <c r="J8352" s="134"/>
    </row>
    <row r="8353" spans="4:10" x14ac:dyDescent="0.3">
      <c r="D8353" s="40"/>
      <c r="J8353" s="134"/>
    </row>
    <row r="8354" spans="4:10" x14ac:dyDescent="0.3">
      <c r="D8354" s="40"/>
      <c r="J8354" s="134"/>
    </row>
    <row r="8355" spans="4:10" x14ac:dyDescent="0.3">
      <c r="D8355" s="40"/>
      <c r="J8355" s="134"/>
    </row>
    <row r="8356" spans="4:10" x14ac:dyDescent="0.3">
      <c r="D8356" s="40"/>
      <c r="J8356" s="134"/>
    </row>
    <row r="8357" spans="4:10" x14ac:dyDescent="0.3">
      <c r="D8357" s="40"/>
      <c r="J8357" s="134"/>
    </row>
    <row r="8358" spans="4:10" x14ac:dyDescent="0.3">
      <c r="D8358" s="40"/>
      <c r="J8358" s="134"/>
    </row>
    <row r="8359" spans="4:10" x14ac:dyDescent="0.3">
      <c r="D8359" s="40"/>
      <c r="J8359" s="134"/>
    </row>
    <row r="8360" spans="4:10" x14ac:dyDescent="0.3">
      <c r="D8360" s="40"/>
      <c r="J8360" s="134"/>
    </row>
    <row r="8361" spans="4:10" x14ac:dyDescent="0.3">
      <c r="D8361" s="40"/>
      <c r="J8361" s="134"/>
    </row>
    <row r="8362" spans="4:10" x14ac:dyDescent="0.3">
      <c r="D8362" s="40"/>
      <c r="J8362" s="134"/>
    </row>
    <row r="8363" spans="4:10" x14ac:dyDescent="0.3">
      <c r="D8363" s="40"/>
      <c r="J8363" s="134"/>
    </row>
    <row r="8364" spans="4:10" x14ac:dyDescent="0.3">
      <c r="D8364" s="40"/>
      <c r="J8364" s="134"/>
    </row>
    <row r="8365" spans="4:10" x14ac:dyDescent="0.3">
      <c r="D8365" s="40"/>
      <c r="J8365" s="134"/>
    </row>
    <row r="8366" spans="4:10" x14ac:dyDescent="0.3">
      <c r="D8366" s="40"/>
      <c r="J8366" s="134"/>
    </row>
    <row r="8367" spans="4:10" x14ac:dyDescent="0.3">
      <c r="D8367" s="40"/>
      <c r="J8367" s="134"/>
    </row>
    <row r="8368" spans="4:10" x14ac:dyDescent="0.3">
      <c r="D8368" s="40"/>
      <c r="J8368" s="134"/>
    </row>
    <row r="8369" spans="4:10" x14ac:dyDescent="0.3">
      <c r="D8369" s="40"/>
      <c r="J8369" s="134"/>
    </row>
    <row r="8370" spans="4:10" x14ac:dyDescent="0.3">
      <c r="D8370" s="40"/>
      <c r="J8370" s="134"/>
    </row>
    <row r="8371" spans="4:10" x14ac:dyDescent="0.3">
      <c r="D8371" s="40"/>
      <c r="J8371" s="134"/>
    </row>
    <row r="8372" spans="4:10" x14ac:dyDescent="0.3">
      <c r="D8372" s="40"/>
      <c r="J8372" s="134"/>
    </row>
    <row r="8373" spans="4:10" x14ac:dyDescent="0.3">
      <c r="D8373" s="40"/>
      <c r="J8373" s="134"/>
    </row>
    <row r="8374" spans="4:10" x14ac:dyDescent="0.3">
      <c r="D8374" s="40"/>
      <c r="J8374" s="134"/>
    </row>
    <row r="8375" spans="4:10" x14ac:dyDescent="0.3">
      <c r="D8375" s="40"/>
      <c r="J8375" s="134"/>
    </row>
    <row r="8376" spans="4:10" x14ac:dyDescent="0.3">
      <c r="D8376" s="40"/>
      <c r="J8376" s="134"/>
    </row>
    <row r="8377" spans="4:10" x14ac:dyDescent="0.3">
      <c r="D8377" s="40"/>
      <c r="J8377" s="134"/>
    </row>
    <row r="8378" spans="4:10" x14ac:dyDescent="0.3">
      <c r="D8378" s="40"/>
      <c r="J8378" s="134"/>
    </row>
    <row r="8379" spans="4:10" x14ac:dyDescent="0.3">
      <c r="D8379" s="40"/>
      <c r="J8379" s="134"/>
    </row>
    <row r="8380" spans="4:10" x14ac:dyDescent="0.3">
      <c r="D8380" s="40"/>
      <c r="J8380" s="134"/>
    </row>
    <row r="8381" spans="4:10" x14ac:dyDescent="0.3">
      <c r="D8381" s="40"/>
      <c r="J8381" s="134"/>
    </row>
    <row r="8382" spans="4:10" x14ac:dyDescent="0.3">
      <c r="D8382" s="40"/>
      <c r="J8382" s="134"/>
    </row>
    <row r="8383" spans="4:10" x14ac:dyDescent="0.3">
      <c r="D8383" s="40"/>
      <c r="J8383" s="134"/>
    </row>
    <row r="8384" spans="4:10" x14ac:dyDescent="0.3">
      <c r="D8384" s="40"/>
      <c r="J8384" s="134"/>
    </row>
    <row r="8385" spans="4:10" x14ac:dyDescent="0.3">
      <c r="D8385" s="40"/>
      <c r="J8385" s="134"/>
    </row>
    <row r="8386" spans="4:10" x14ac:dyDescent="0.3">
      <c r="D8386" s="40"/>
      <c r="J8386" s="134"/>
    </row>
    <row r="8387" spans="4:10" x14ac:dyDescent="0.3">
      <c r="D8387" s="40"/>
      <c r="J8387" s="134"/>
    </row>
    <row r="8388" spans="4:10" x14ac:dyDescent="0.3">
      <c r="D8388" s="40"/>
      <c r="J8388" s="134"/>
    </row>
    <row r="8389" spans="4:10" x14ac:dyDescent="0.3">
      <c r="D8389" s="40"/>
      <c r="J8389" s="134"/>
    </row>
    <row r="8390" spans="4:10" x14ac:dyDescent="0.3">
      <c r="D8390" s="40"/>
      <c r="J8390" s="134"/>
    </row>
    <row r="8391" spans="4:10" x14ac:dyDescent="0.3">
      <c r="D8391" s="40"/>
      <c r="J8391" s="134"/>
    </row>
    <row r="8392" spans="4:10" x14ac:dyDescent="0.3">
      <c r="D8392" s="40"/>
      <c r="J8392" s="134"/>
    </row>
    <row r="8393" spans="4:10" x14ac:dyDescent="0.3">
      <c r="D8393" s="40"/>
      <c r="J8393" s="134"/>
    </row>
    <row r="8394" spans="4:10" x14ac:dyDescent="0.3">
      <c r="D8394" s="40"/>
      <c r="J8394" s="134"/>
    </row>
    <row r="8395" spans="4:10" x14ac:dyDescent="0.3">
      <c r="D8395" s="40"/>
      <c r="J8395" s="134"/>
    </row>
    <row r="8396" spans="4:10" x14ac:dyDescent="0.3">
      <c r="D8396" s="40"/>
      <c r="J8396" s="134"/>
    </row>
    <row r="8397" spans="4:10" x14ac:dyDescent="0.3">
      <c r="D8397" s="40"/>
      <c r="J8397" s="134"/>
    </row>
    <row r="8398" spans="4:10" x14ac:dyDescent="0.3">
      <c r="D8398" s="40"/>
      <c r="J8398" s="134"/>
    </row>
    <row r="8399" spans="4:10" x14ac:dyDescent="0.3">
      <c r="D8399" s="40"/>
      <c r="J8399" s="134"/>
    </row>
    <row r="8400" spans="4:10" x14ac:dyDescent="0.3">
      <c r="D8400" s="40"/>
      <c r="J8400" s="134"/>
    </row>
    <row r="8401" spans="4:10" x14ac:dyDescent="0.3">
      <c r="D8401" s="40"/>
      <c r="J8401" s="134"/>
    </row>
    <row r="8402" spans="4:10" x14ac:dyDescent="0.3">
      <c r="D8402" s="40"/>
      <c r="J8402" s="134"/>
    </row>
    <row r="8403" spans="4:10" x14ac:dyDescent="0.3">
      <c r="D8403" s="40"/>
      <c r="J8403" s="134"/>
    </row>
    <row r="8404" spans="4:10" x14ac:dyDescent="0.3">
      <c r="D8404" s="40"/>
      <c r="J8404" s="134"/>
    </row>
    <row r="8405" spans="4:10" x14ac:dyDescent="0.3">
      <c r="D8405" s="40"/>
      <c r="J8405" s="134"/>
    </row>
    <row r="8406" spans="4:10" x14ac:dyDescent="0.3">
      <c r="D8406" s="40"/>
      <c r="J8406" s="134"/>
    </row>
    <row r="8407" spans="4:10" x14ac:dyDescent="0.3">
      <c r="D8407" s="40"/>
      <c r="J8407" s="134"/>
    </row>
    <row r="8408" spans="4:10" x14ac:dyDescent="0.3">
      <c r="D8408" s="40"/>
      <c r="J8408" s="134"/>
    </row>
    <row r="8409" spans="4:10" x14ac:dyDescent="0.3">
      <c r="D8409" s="40"/>
      <c r="J8409" s="134"/>
    </row>
    <row r="8410" spans="4:10" x14ac:dyDescent="0.3">
      <c r="D8410" s="40"/>
      <c r="J8410" s="134"/>
    </row>
    <row r="8411" spans="4:10" x14ac:dyDescent="0.3">
      <c r="D8411" s="40"/>
      <c r="J8411" s="134"/>
    </row>
    <row r="8412" spans="4:10" x14ac:dyDescent="0.3">
      <c r="D8412" s="40"/>
      <c r="J8412" s="134"/>
    </row>
    <row r="8413" spans="4:10" x14ac:dyDescent="0.3">
      <c r="D8413" s="40"/>
      <c r="J8413" s="134"/>
    </row>
    <row r="8414" spans="4:10" x14ac:dyDescent="0.3">
      <c r="D8414" s="40"/>
      <c r="J8414" s="134"/>
    </row>
    <row r="8415" spans="4:10" x14ac:dyDescent="0.3">
      <c r="D8415" s="40"/>
      <c r="J8415" s="134"/>
    </row>
    <row r="8416" spans="4:10" x14ac:dyDescent="0.3">
      <c r="D8416" s="40"/>
      <c r="J8416" s="134"/>
    </row>
    <row r="8417" spans="4:10" x14ac:dyDescent="0.3">
      <c r="D8417" s="40"/>
      <c r="J8417" s="134"/>
    </row>
    <row r="8418" spans="4:10" x14ac:dyDescent="0.3">
      <c r="D8418" s="40"/>
      <c r="J8418" s="134"/>
    </row>
    <row r="8419" spans="4:10" x14ac:dyDescent="0.3">
      <c r="D8419" s="40"/>
      <c r="J8419" s="134"/>
    </row>
    <row r="8420" spans="4:10" x14ac:dyDescent="0.3">
      <c r="D8420" s="40"/>
      <c r="J8420" s="134"/>
    </row>
    <row r="8421" spans="4:10" x14ac:dyDescent="0.3">
      <c r="D8421" s="40"/>
      <c r="J8421" s="134"/>
    </row>
    <row r="8422" spans="4:10" x14ac:dyDescent="0.3">
      <c r="D8422" s="40"/>
      <c r="J8422" s="134"/>
    </row>
    <row r="8423" spans="4:10" x14ac:dyDescent="0.3">
      <c r="D8423" s="40"/>
      <c r="J8423" s="134"/>
    </row>
    <row r="8424" spans="4:10" x14ac:dyDescent="0.3">
      <c r="D8424" s="40"/>
      <c r="J8424" s="134"/>
    </row>
    <row r="8425" spans="4:10" x14ac:dyDescent="0.3">
      <c r="D8425" s="40"/>
      <c r="J8425" s="134"/>
    </row>
    <row r="8426" spans="4:10" x14ac:dyDescent="0.3">
      <c r="D8426" s="40"/>
      <c r="J8426" s="134"/>
    </row>
    <row r="8427" spans="4:10" x14ac:dyDescent="0.3">
      <c r="D8427" s="40"/>
      <c r="J8427" s="134"/>
    </row>
    <row r="8428" spans="4:10" x14ac:dyDescent="0.3">
      <c r="D8428" s="40"/>
      <c r="J8428" s="134"/>
    </row>
    <row r="8429" spans="4:10" x14ac:dyDescent="0.3">
      <c r="D8429" s="40"/>
      <c r="J8429" s="134"/>
    </row>
    <row r="8430" spans="4:10" x14ac:dyDescent="0.3">
      <c r="D8430" s="40"/>
      <c r="J8430" s="134"/>
    </row>
    <row r="8431" spans="4:10" x14ac:dyDescent="0.3">
      <c r="D8431" s="40"/>
      <c r="J8431" s="134"/>
    </row>
    <row r="8432" spans="4:10" x14ac:dyDescent="0.3">
      <c r="D8432" s="40"/>
      <c r="J8432" s="134"/>
    </row>
    <row r="8433" spans="4:10" x14ac:dyDescent="0.3">
      <c r="D8433" s="40"/>
      <c r="J8433" s="134"/>
    </row>
    <row r="8434" spans="4:10" x14ac:dyDescent="0.3">
      <c r="D8434" s="40"/>
      <c r="J8434" s="134"/>
    </row>
    <row r="8435" spans="4:10" x14ac:dyDescent="0.3">
      <c r="D8435" s="40"/>
      <c r="J8435" s="134"/>
    </row>
    <row r="8436" spans="4:10" x14ac:dyDescent="0.3">
      <c r="D8436" s="40"/>
      <c r="J8436" s="134"/>
    </row>
    <row r="8437" spans="4:10" x14ac:dyDescent="0.3">
      <c r="D8437" s="40"/>
      <c r="J8437" s="134"/>
    </row>
    <row r="8438" spans="4:10" x14ac:dyDescent="0.3">
      <c r="D8438" s="40"/>
      <c r="J8438" s="134"/>
    </row>
    <row r="8439" spans="4:10" x14ac:dyDescent="0.3">
      <c r="D8439" s="40"/>
      <c r="J8439" s="134"/>
    </row>
    <row r="8440" spans="4:10" x14ac:dyDescent="0.3">
      <c r="D8440" s="40"/>
      <c r="J8440" s="134"/>
    </row>
    <row r="8441" spans="4:10" x14ac:dyDescent="0.3">
      <c r="D8441" s="40"/>
      <c r="J8441" s="134"/>
    </row>
    <row r="8442" spans="4:10" x14ac:dyDescent="0.3">
      <c r="D8442" s="40"/>
      <c r="J8442" s="134"/>
    </row>
    <row r="8443" spans="4:10" x14ac:dyDescent="0.3">
      <c r="D8443" s="40"/>
      <c r="J8443" s="134"/>
    </row>
    <row r="8444" spans="4:10" x14ac:dyDescent="0.3">
      <c r="D8444" s="40"/>
      <c r="J8444" s="134"/>
    </row>
    <row r="8445" spans="4:10" x14ac:dyDescent="0.3">
      <c r="D8445" s="40"/>
      <c r="J8445" s="134"/>
    </row>
    <row r="8446" spans="4:10" x14ac:dyDescent="0.3">
      <c r="D8446" s="40"/>
      <c r="J8446" s="134"/>
    </row>
    <row r="8447" spans="4:10" x14ac:dyDescent="0.3">
      <c r="D8447" s="40"/>
      <c r="J8447" s="134"/>
    </row>
    <row r="8448" spans="4:10" x14ac:dyDescent="0.3">
      <c r="D8448" s="40"/>
      <c r="J8448" s="134"/>
    </row>
    <row r="8449" spans="4:10" x14ac:dyDescent="0.3">
      <c r="D8449" s="40"/>
      <c r="J8449" s="134"/>
    </row>
    <row r="8450" spans="4:10" x14ac:dyDescent="0.3">
      <c r="D8450" s="40"/>
      <c r="J8450" s="134"/>
    </row>
    <row r="8451" spans="4:10" x14ac:dyDescent="0.3">
      <c r="D8451" s="40"/>
      <c r="J8451" s="134"/>
    </row>
    <row r="8452" spans="4:10" x14ac:dyDescent="0.3">
      <c r="D8452" s="40"/>
      <c r="J8452" s="134"/>
    </row>
    <row r="8453" spans="4:10" x14ac:dyDescent="0.3">
      <c r="D8453" s="40"/>
      <c r="J8453" s="134"/>
    </row>
    <row r="8454" spans="4:10" x14ac:dyDescent="0.3">
      <c r="D8454" s="40"/>
      <c r="J8454" s="134"/>
    </row>
    <row r="8455" spans="4:10" x14ac:dyDescent="0.3">
      <c r="D8455" s="40"/>
      <c r="J8455" s="134"/>
    </row>
    <row r="8456" spans="4:10" x14ac:dyDescent="0.3">
      <c r="D8456" s="40"/>
      <c r="J8456" s="134"/>
    </row>
    <row r="8457" spans="4:10" x14ac:dyDescent="0.3">
      <c r="D8457" s="40"/>
      <c r="J8457" s="134"/>
    </row>
    <row r="8458" spans="4:10" x14ac:dyDescent="0.3">
      <c r="D8458" s="40"/>
      <c r="J8458" s="134"/>
    </row>
    <row r="8459" spans="4:10" x14ac:dyDescent="0.3">
      <c r="D8459" s="40"/>
      <c r="J8459" s="134"/>
    </row>
    <row r="8460" spans="4:10" x14ac:dyDescent="0.3">
      <c r="D8460" s="40"/>
      <c r="J8460" s="134"/>
    </row>
    <row r="8461" spans="4:10" x14ac:dyDescent="0.3">
      <c r="D8461" s="40"/>
      <c r="J8461" s="134"/>
    </row>
    <row r="8462" spans="4:10" x14ac:dyDescent="0.3">
      <c r="D8462" s="40"/>
      <c r="J8462" s="134"/>
    </row>
    <row r="8463" spans="4:10" x14ac:dyDescent="0.3">
      <c r="D8463" s="40"/>
      <c r="J8463" s="134"/>
    </row>
    <row r="8464" spans="4:10" x14ac:dyDescent="0.3">
      <c r="D8464" s="40"/>
      <c r="J8464" s="134"/>
    </row>
    <row r="8465" spans="4:10" x14ac:dyDescent="0.3">
      <c r="D8465" s="40"/>
      <c r="J8465" s="134"/>
    </row>
    <row r="8466" spans="4:10" x14ac:dyDescent="0.3">
      <c r="D8466" s="40"/>
      <c r="J8466" s="134"/>
    </row>
    <row r="8467" spans="4:10" x14ac:dyDescent="0.3">
      <c r="D8467" s="40"/>
      <c r="J8467" s="134"/>
    </row>
    <row r="8468" spans="4:10" x14ac:dyDescent="0.3">
      <c r="D8468" s="40"/>
      <c r="J8468" s="134"/>
    </row>
    <row r="8469" spans="4:10" x14ac:dyDescent="0.3">
      <c r="D8469" s="40"/>
      <c r="J8469" s="134"/>
    </row>
    <row r="8470" spans="4:10" x14ac:dyDescent="0.3">
      <c r="D8470" s="40"/>
      <c r="J8470" s="134"/>
    </row>
    <row r="8471" spans="4:10" x14ac:dyDescent="0.3">
      <c r="D8471" s="40"/>
      <c r="J8471" s="134"/>
    </row>
    <row r="8472" spans="4:10" x14ac:dyDescent="0.3">
      <c r="D8472" s="40"/>
      <c r="J8472" s="134"/>
    </row>
    <row r="8473" spans="4:10" x14ac:dyDescent="0.3">
      <c r="D8473" s="40"/>
      <c r="J8473" s="134"/>
    </row>
    <row r="8474" spans="4:10" x14ac:dyDescent="0.3">
      <c r="D8474" s="40"/>
      <c r="J8474" s="134"/>
    </row>
    <row r="8475" spans="4:10" x14ac:dyDescent="0.3">
      <c r="D8475" s="40"/>
      <c r="J8475" s="134"/>
    </row>
    <row r="8476" spans="4:10" x14ac:dyDescent="0.3">
      <c r="D8476" s="40"/>
      <c r="J8476" s="134"/>
    </row>
    <row r="8477" spans="4:10" x14ac:dyDescent="0.3">
      <c r="D8477" s="40"/>
      <c r="J8477" s="134"/>
    </row>
    <row r="8478" spans="4:10" x14ac:dyDescent="0.3">
      <c r="D8478" s="40"/>
      <c r="J8478" s="134"/>
    </row>
    <row r="8479" spans="4:10" x14ac:dyDescent="0.3">
      <c r="D8479" s="40"/>
      <c r="J8479" s="134"/>
    </row>
    <row r="8480" spans="4:10" x14ac:dyDescent="0.3">
      <c r="D8480" s="40"/>
      <c r="J8480" s="134"/>
    </row>
    <row r="8481" spans="4:10" x14ac:dyDescent="0.3">
      <c r="D8481" s="40"/>
      <c r="J8481" s="134"/>
    </row>
    <row r="8482" spans="4:10" x14ac:dyDescent="0.3">
      <c r="D8482" s="40"/>
      <c r="J8482" s="134"/>
    </row>
    <row r="8483" spans="4:10" x14ac:dyDescent="0.3">
      <c r="D8483" s="40"/>
      <c r="J8483" s="134"/>
    </row>
    <row r="8484" spans="4:10" x14ac:dyDescent="0.3">
      <c r="D8484" s="40"/>
      <c r="J8484" s="134"/>
    </row>
    <row r="8485" spans="4:10" x14ac:dyDescent="0.3">
      <c r="D8485" s="40"/>
      <c r="J8485" s="134"/>
    </row>
    <row r="8486" spans="4:10" x14ac:dyDescent="0.3">
      <c r="D8486" s="40"/>
      <c r="J8486" s="134"/>
    </row>
    <row r="8487" spans="4:10" x14ac:dyDescent="0.3">
      <c r="D8487" s="40"/>
      <c r="J8487" s="134"/>
    </row>
    <row r="8488" spans="4:10" x14ac:dyDescent="0.3">
      <c r="D8488" s="40"/>
      <c r="J8488" s="134"/>
    </row>
    <row r="8489" spans="4:10" x14ac:dyDescent="0.3">
      <c r="D8489" s="40"/>
      <c r="J8489" s="134"/>
    </row>
    <row r="8490" spans="4:10" x14ac:dyDescent="0.3">
      <c r="D8490" s="40"/>
      <c r="J8490" s="134"/>
    </row>
    <row r="8491" spans="4:10" x14ac:dyDescent="0.3">
      <c r="D8491" s="40"/>
      <c r="J8491" s="134"/>
    </row>
    <row r="8492" spans="4:10" x14ac:dyDescent="0.3">
      <c r="D8492" s="40"/>
      <c r="J8492" s="134"/>
    </row>
    <row r="8493" spans="4:10" x14ac:dyDescent="0.3">
      <c r="D8493" s="40"/>
      <c r="J8493" s="134"/>
    </row>
    <row r="8494" spans="4:10" x14ac:dyDescent="0.3">
      <c r="D8494" s="40"/>
      <c r="J8494" s="134"/>
    </row>
    <row r="8495" spans="4:10" x14ac:dyDescent="0.3">
      <c r="D8495" s="40"/>
      <c r="J8495" s="134"/>
    </row>
    <row r="8496" spans="4:10" x14ac:dyDescent="0.3">
      <c r="D8496" s="40"/>
      <c r="J8496" s="134"/>
    </row>
    <row r="8497" spans="4:10" x14ac:dyDescent="0.3">
      <c r="D8497" s="40"/>
      <c r="J8497" s="134"/>
    </row>
    <row r="8498" spans="4:10" x14ac:dyDescent="0.3">
      <c r="D8498" s="40"/>
      <c r="J8498" s="134"/>
    </row>
    <row r="8499" spans="4:10" x14ac:dyDescent="0.3">
      <c r="D8499" s="40"/>
      <c r="J8499" s="134"/>
    </row>
    <row r="8500" spans="4:10" x14ac:dyDescent="0.3">
      <c r="D8500" s="40"/>
      <c r="J8500" s="134"/>
    </row>
    <row r="8501" spans="4:10" x14ac:dyDescent="0.3">
      <c r="D8501" s="40"/>
      <c r="J8501" s="134"/>
    </row>
    <row r="8502" spans="4:10" x14ac:dyDescent="0.3">
      <c r="D8502" s="40"/>
      <c r="J8502" s="134"/>
    </row>
    <row r="8503" spans="4:10" x14ac:dyDescent="0.3">
      <c r="D8503" s="40"/>
      <c r="J8503" s="134"/>
    </row>
    <row r="8504" spans="4:10" x14ac:dyDescent="0.3">
      <c r="D8504" s="40"/>
      <c r="J8504" s="134"/>
    </row>
    <row r="8505" spans="4:10" x14ac:dyDescent="0.3">
      <c r="D8505" s="40"/>
      <c r="J8505" s="134"/>
    </row>
    <row r="8506" spans="4:10" x14ac:dyDescent="0.3">
      <c r="D8506" s="40"/>
      <c r="J8506" s="134"/>
    </row>
    <row r="8507" spans="4:10" x14ac:dyDescent="0.3">
      <c r="D8507" s="40"/>
      <c r="J8507" s="134"/>
    </row>
    <row r="8508" spans="4:10" x14ac:dyDescent="0.3">
      <c r="D8508" s="40"/>
      <c r="J8508" s="134"/>
    </row>
    <row r="8509" spans="4:10" x14ac:dyDescent="0.3">
      <c r="D8509" s="40"/>
      <c r="J8509" s="134"/>
    </row>
    <row r="8510" spans="4:10" x14ac:dyDescent="0.3">
      <c r="D8510" s="40"/>
      <c r="J8510" s="134"/>
    </row>
    <row r="8511" spans="4:10" x14ac:dyDescent="0.3">
      <c r="D8511" s="40"/>
      <c r="J8511" s="134"/>
    </row>
    <row r="8512" spans="4:10" x14ac:dyDescent="0.3">
      <c r="D8512" s="40"/>
      <c r="J8512" s="134"/>
    </row>
    <row r="8513" spans="4:10" x14ac:dyDescent="0.3">
      <c r="D8513" s="40"/>
      <c r="J8513" s="134"/>
    </row>
    <row r="8514" spans="4:10" x14ac:dyDescent="0.3">
      <c r="D8514" s="40"/>
      <c r="J8514" s="134"/>
    </row>
    <row r="8515" spans="4:10" x14ac:dyDescent="0.3">
      <c r="D8515" s="40"/>
      <c r="J8515" s="134"/>
    </row>
    <row r="8516" spans="4:10" x14ac:dyDescent="0.3">
      <c r="D8516" s="40"/>
      <c r="J8516" s="134"/>
    </row>
    <row r="8517" spans="4:10" x14ac:dyDescent="0.3">
      <c r="D8517" s="40"/>
      <c r="J8517" s="134"/>
    </row>
    <row r="8518" spans="4:10" x14ac:dyDescent="0.3">
      <c r="D8518" s="40"/>
      <c r="J8518" s="134"/>
    </row>
    <row r="8519" spans="4:10" x14ac:dyDescent="0.3">
      <c r="D8519" s="40"/>
      <c r="J8519" s="134"/>
    </row>
    <row r="8520" spans="4:10" x14ac:dyDescent="0.3">
      <c r="D8520" s="40"/>
      <c r="J8520" s="134"/>
    </row>
    <row r="8521" spans="4:10" x14ac:dyDescent="0.3">
      <c r="D8521" s="40"/>
      <c r="J8521" s="134"/>
    </row>
    <row r="8522" spans="4:10" x14ac:dyDescent="0.3">
      <c r="D8522" s="40"/>
      <c r="J8522" s="134"/>
    </row>
    <row r="8523" spans="4:10" x14ac:dyDescent="0.3">
      <c r="D8523" s="40"/>
      <c r="J8523" s="134"/>
    </row>
    <row r="8524" spans="4:10" x14ac:dyDescent="0.3">
      <c r="D8524" s="40"/>
      <c r="J8524" s="134"/>
    </row>
    <row r="8525" spans="4:10" x14ac:dyDescent="0.3">
      <c r="D8525" s="40"/>
      <c r="J8525" s="134"/>
    </row>
    <row r="8526" spans="4:10" x14ac:dyDescent="0.3">
      <c r="D8526" s="40"/>
      <c r="J8526" s="134"/>
    </row>
    <row r="8527" spans="4:10" x14ac:dyDescent="0.3">
      <c r="D8527" s="40"/>
      <c r="J8527" s="134"/>
    </row>
    <row r="8528" spans="4:10" x14ac:dyDescent="0.3">
      <c r="D8528" s="40"/>
      <c r="J8528" s="134"/>
    </row>
    <row r="8529" spans="4:10" x14ac:dyDescent="0.3">
      <c r="D8529" s="40"/>
      <c r="J8529" s="134"/>
    </row>
    <row r="8530" spans="4:10" x14ac:dyDescent="0.3">
      <c r="D8530" s="40"/>
      <c r="J8530" s="134"/>
    </row>
    <row r="8531" spans="4:10" x14ac:dyDescent="0.3">
      <c r="D8531" s="40"/>
      <c r="J8531" s="134"/>
    </row>
    <row r="8532" spans="4:10" x14ac:dyDescent="0.3">
      <c r="D8532" s="40"/>
      <c r="J8532" s="134"/>
    </row>
    <row r="8533" spans="4:10" x14ac:dyDescent="0.3">
      <c r="D8533" s="40"/>
      <c r="J8533" s="134"/>
    </row>
    <row r="8534" spans="4:10" x14ac:dyDescent="0.3">
      <c r="D8534" s="40"/>
      <c r="J8534" s="134"/>
    </row>
    <row r="8535" spans="4:10" x14ac:dyDescent="0.3">
      <c r="D8535" s="40"/>
      <c r="J8535" s="134"/>
    </row>
    <row r="8536" spans="4:10" x14ac:dyDescent="0.3">
      <c r="D8536" s="40"/>
      <c r="J8536" s="134"/>
    </row>
    <row r="8537" spans="4:10" x14ac:dyDescent="0.3">
      <c r="D8537" s="40"/>
      <c r="J8537" s="134"/>
    </row>
    <row r="8538" spans="4:10" x14ac:dyDescent="0.3">
      <c r="D8538" s="40"/>
      <c r="J8538" s="134"/>
    </row>
    <row r="8539" spans="4:10" x14ac:dyDescent="0.3">
      <c r="D8539" s="40"/>
      <c r="J8539" s="134"/>
    </row>
    <row r="8540" spans="4:10" x14ac:dyDescent="0.3">
      <c r="D8540" s="40"/>
      <c r="J8540" s="134"/>
    </row>
    <row r="8541" spans="4:10" x14ac:dyDescent="0.3">
      <c r="D8541" s="40"/>
      <c r="J8541" s="134"/>
    </row>
    <row r="8542" spans="4:10" x14ac:dyDescent="0.3">
      <c r="D8542" s="40"/>
      <c r="J8542" s="134"/>
    </row>
    <row r="8543" spans="4:10" x14ac:dyDescent="0.3">
      <c r="D8543" s="40"/>
      <c r="J8543" s="134"/>
    </row>
    <row r="8544" spans="4:10" x14ac:dyDescent="0.3">
      <c r="D8544" s="40"/>
      <c r="J8544" s="134"/>
    </row>
    <row r="8545" spans="4:10" x14ac:dyDescent="0.3">
      <c r="D8545" s="40"/>
      <c r="J8545" s="134"/>
    </row>
    <row r="8546" spans="4:10" x14ac:dyDescent="0.3">
      <c r="D8546" s="40"/>
      <c r="J8546" s="134"/>
    </row>
    <row r="8547" spans="4:10" x14ac:dyDescent="0.3">
      <c r="D8547" s="40"/>
      <c r="J8547" s="134"/>
    </row>
    <row r="8548" spans="4:10" x14ac:dyDescent="0.3">
      <c r="D8548" s="40"/>
      <c r="J8548" s="134"/>
    </row>
    <row r="8549" spans="4:10" x14ac:dyDescent="0.3">
      <c r="D8549" s="40"/>
      <c r="J8549" s="134"/>
    </row>
    <row r="8550" spans="4:10" x14ac:dyDescent="0.3">
      <c r="D8550" s="40"/>
      <c r="J8550" s="134"/>
    </row>
    <row r="8551" spans="4:10" x14ac:dyDescent="0.3">
      <c r="D8551" s="40"/>
      <c r="J8551" s="134"/>
    </row>
    <row r="8552" spans="4:10" x14ac:dyDescent="0.3">
      <c r="D8552" s="40"/>
      <c r="J8552" s="134"/>
    </row>
    <row r="8553" spans="4:10" x14ac:dyDescent="0.3">
      <c r="D8553" s="40"/>
      <c r="J8553" s="134"/>
    </row>
    <row r="8554" spans="4:10" x14ac:dyDescent="0.3">
      <c r="D8554" s="40"/>
      <c r="J8554" s="134"/>
    </row>
    <row r="8555" spans="4:10" x14ac:dyDescent="0.3">
      <c r="D8555" s="40"/>
      <c r="J8555" s="134"/>
    </row>
    <row r="8556" spans="4:10" x14ac:dyDescent="0.3">
      <c r="D8556" s="40"/>
      <c r="J8556" s="134"/>
    </row>
    <row r="8557" spans="4:10" x14ac:dyDescent="0.3">
      <c r="D8557" s="40"/>
      <c r="J8557" s="134"/>
    </row>
    <row r="8558" spans="4:10" x14ac:dyDescent="0.3">
      <c r="D8558" s="40"/>
      <c r="J8558" s="134"/>
    </row>
    <row r="8559" spans="4:10" x14ac:dyDescent="0.3">
      <c r="D8559" s="40"/>
      <c r="J8559" s="134"/>
    </row>
    <row r="8560" spans="4:10" x14ac:dyDescent="0.3">
      <c r="D8560" s="40"/>
      <c r="J8560" s="134"/>
    </row>
    <row r="8561" spans="4:10" x14ac:dyDescent="0.3">
      <c r="D8561" s="40"/>
      <c r="J8561" s="134"/>
    </row>
    <row r="8562" spans="4:10" x14ac:dyDescent="0.3">
      <c r="D8562" s="40"/>
      <c r="J8562" s="134"/>
    </row>
    <row r="8563" spans="4:10" x14ac:dyDescent="0.3">
      <c r="D8563" s="40"/>
      <c r="J8563" s="134"/>
    </row>
    <row r="8564" spans="4:10" x14ac:dyDescent="0.3">
      <c r="D8564" s="40"/>
      <c r="J8564" s="134"/>
    </row>
    <row r="8565" spans="4:10" x14ac:dyDescent="0.3">
      <c r="D8565" s="40"/>
      <c r="J8565" s="134"/>
    </row>
    <row r="8566" spans="4:10" x14ac:dyDescent="0.3">
      <c r="D8566" s="40"/>
      <c r="J8566" s="134"/>
    </row>
    <row r="8567" spans="4:10" x14ac:dyDescent="0.3">
      <c r="D8567" s="40"/>
      <c r="J8567" s="134"/>
    </row>
    <row r="8568" spans="4:10" x14ac:dyDescent="0.3">
      <c r="D8568" s="40"/>
      <c r="J8568" s="134"/>
    </row>
    <row r="8569" spans="4:10" x14ac:dyDescent="0.3">
      <c r="D8569" s="40"/>
      <c r="J8569" s="134"/>
    </row>
    <row r="8570" spans="4:10" x14ac:dyDescent="0.3">
      <c r="D8570" s="40"/>
      <c r="J8570" s="134"/>
    </row>
    <row r="8571" spans="4:10" x14ac:dyDescent="0.3">
      <c r="D8571" s="40"/>
      <c r="J8571" s="134"/>
    </row>
    <row r="8572" spans="4:10" x14ac:dyDescent="0.3">
      <c r="D8572" s="40"/>
      <c r="J8572" s="134"/>
    </row>
    <row r="8573" spans="4:10" x14ac:dyDescent="0.3">
      <c r="D8573" s="40"/>
      <c r="J8573" s="134"/>
    </row>
    <row r="8574" spans="4:10" x14ac:dyDescent="0.3">
      <c r="D8574" s="40"/>
      <c r="J8574" s="134"/>
    </row>
    <row r="8575" spans="4:10" x14ac:dyDescent="0.3">
      <c r="D8575" s="40"/>
      <c r="J8575" s="134"/>
    </row>
    <row r="8576" spans="4:10" x14ac:dyDescent="0.3">
      <c r="D8576" s="40"/>
      <c r="J8576" s="134"/>
    </row>
    <row r="8577" spans="4:10" x14ac:dyDescent="0.3">
      <c r="D8577" s="40"/>
      <c r="J8577" s="134"/>
    </row>
    <row r="8578" spans="4:10" x14ac:dyDescent="0.3">
      <c r="D8578" s="40"/>
      <c r="J8578" s="134"/>
    </row>
    <row r="8579" spans="4:10" x14ac:dyDescent="0.3">
      <c r="D8579" s="40"/>
      <c r="J8579" s="134"/>
    </row>
    <row r="8580" spans="4:10" x14ac:dyDescent="0.3">
      <c r="D8580" s="40"/>
      <c r="J8580" s="134"/>
    </row>
    <row r="8581" spans="4:10" x14ac:dyDescent="0.3">
      <c r="D8581" s="40"/>
      <c r="J8581" s="134"/>
    </row>
    <row r="8582" spans="4:10" x14ac:dyDescent="0.3">
      <c r="D8582" s="40"/>
      <c r="J8582" s="134"/>
    </row>
    <row r="8583" spans="4:10" x14ac:dyDescent="0.3">
      <c r="D8583" s="40"/>
      <c r="J8583" s="134"/>
    </row>
    <row r="8584" spans="4:10" x14ac:dyDescent="0.3">
      <c r="D8584" s="40"/>
      <c r="J8584" s="134"/>
    </row>
    <row r="8585" spans="4:10" x14ac:dyDescent="0.3">
      <c r="D8585" s="40"/>
      <c r="J8585" s="134"/>
    </row>
    <row r="8586" spans="4:10" x14ac:dyDescent="0.3">
      <c r="D8586" s="40"/>
      <c r="J8586" s="134"/>
    </row>
    <row r="8587" spans="4:10" x14ac:dyDescent="0.3">
      <c r="D8587" s="40"/>
      <c r="J8587" s="134"/>
    </row>
    <row r="8588" spans="4:10" x14ac:dyDescent="0.3">
      <c r="D8588" s="40"/>
      <c r="J8588" s="134"/>
    </row>
    <row r="8589" spans="4:10" x14ac:dyDescent="0.3">
      <c r="D8589" s="40"/>
      <c r="J8589" s="134"/>
    </row>
    <row r="8590" spans="4:10" x14ac:dyDescent="0.3">
      <c r="D8590" s="40"/>
      <c r="J8590" s="134"/>
    </row>
    <row r="8591" spans="4:10" x14ac:dyDescent="0.3">
      <c r="D8591" s="40"/>
      <c r="J8591" s="134"/>
    </row>
    <row r="8592" spans="4:10" x14ac:dyDescent="0.3">
      <c r="D8592" s="40"/>
      <c r="J8592" s="134"/>
    </row>
    <row r="8593" spans="4:10" x14ac:dyDescent="0.3">
      <c r="D8593" s="40"/>
      <c r="J8593" s="134"/>
    </row>
    <row r="8594" spans="4:10" x14ac:dyDescent="0.3">
      <c r="D8594" s="40"/>
      <c r="J8594" s="134"/>
    </row>
    <row r="8595" spans="4:10" x14ac:dyDescent="0.3">
      <c r="D8595" s="40"/>
      <c r="J8595" s="134"/>
    </row>
    <row r="8596" spans="4:10" x14ac:dyDescent="0.3">
      <c r="D8596" s="40"/>
      <c r="J8596" s="134"/>
    </row>
    <row r="8597" spans="4:10" x14ac:dyDescent="0.3">
      <c r="D8597" s="40"/>
      <c r="J8597" s="134"/>
    </row>
    <row r="8598" spans="4:10" x14ac:dyDescent="0.3">
      <c r="D8598" s="40"/>
      <c r="J8598" s="134"/>
    </row>
    <row r="8599" spans="4:10" x14ac:dyDescent="0.3">
      <c r="D8599" s="40"/>
      <c r="J8599" s="134"/>
    </row>
    <row r="8600" spans="4:10" x14ac:dyDescent="0.3">
      <c r="D8600" s="40"/>
      <c r="J8600" s="134"/>
    </row>
    <row r="8601" spans="4:10" x14ac:dyDescent="0.3">
      <c r="D8601" s="40"/>
      <c r="J8601" s="134"/>
    </row>
    <row r="8602" spans="4:10" x14ac:dyDescent="0.3">
      <c r="D8602" s="40"/>
      <c r="J8602" s="134"/>
    </row>
    <row r="8603" spans="4:10" x14ac:dyDescent="0.3">
      <c r="D8603" s="40"/>
      <c r="J8603" s="134"/>
    </row>
    <row r="8604" spans="4:10" x14ac:dyDescent="0.3">
      <c r="D8604" s="40"/>
      <c r="J8604" s="134"/>
    </row>
    <row r="8605" spans="4:10" x14ac:dyDescent="0.3">
      <c r="D8605" s="40"/>
      <c r="J8605" s="134"/>
    </row>
    <row r="8606" spans="4:10" x14ac:dyDescent="0.3">
      <c r="D8606" s="40"/>
      <c r="J8606" s="134"/>
    </row>
    <row r="8607" spans="4:10" x14ac:dyDescent="0.3">
      <c r="D8607" s="40"/>
      <c r="J8607" s="134"/>
    </row>
    <row r="8608" spans="4:10" x14ac:dyDescent="0.3">
      <c r="D8608" s="40"/>
      <c r="J8608" s="134"/>
    </row>
    <row r="8609" spans="4:10" x14ac:dyDescent="0.3">
      <c r="D8609" s="40"/>
      <c r="J8609" s="134"/>
    </row>
    <row r="8610" spans="4:10" x14ac:dyDescent="0.3">
      <c r="D8610" s="40"/>
      <c r="J8610" s="134"/>
    </row>
    <row r="8611" spans="4:10" x14ac:dyDescent="0.3">
      <c r="D8611" s="40"/>
      <c r="J8611" s="134"/>
    </row>
    <row r="8612" spans="4:10" x14ac:dyDescent="0.3">
      <c r="D8612" s="40"/>
      <c r="J8612" s="134"/>
    </row>
    <row r="8613" spans="4:10" x14ac:dyDescent="0.3">
      <c r="D8613" s="40"/>
      <c r="J8613" s="134"/>
    </row>
    <row r="8614" spans="4:10" x14ac:dyDescent="0.3">
      <c r="D8614" s="40"/>
      <c r="J8614" s="134"/>
    </row>
    <row r="8615" spans="4:10" x14ac:dyDescent="0.3">
      <c r="D8615" s="40"/>
      <c r="J8615" s="134"/>
    </row>
    <row r="8616" spans="4:10" x14ac:dyDescent="0.3">
      <c r="D8616" s="40"/>
      <c r="J8616" s="134"/>
    </row>
    <row r="8617" spans="4:10" x14ac:dyDescent="0.3">
      <c r="D8617" s="40"/>
      <c r="J8617" s="134"/>
    </row>
    <row r="8618" spans="4:10" x14ac:dyDescent="0.3">
      <c r="D8618" s="40"/>
      <c r="J8618" s="134"/>
    </row>
    <row r="8619" spans="4:10" x14ac:dyDescent="0.3">
      <c r="D8619" s="40"/>
      <c r="J8619" s="134"/>
    </row>
    <row r="8620" spans="4:10" x14ac:dyDescent="0.3">
      <c r="D8620" s="40"/>
      <c r="J8620" s="134"/>
    </row>
    <row r="8621" spans="4:10" x14ac:dyDescent="0.3">
      <c r="D8621" s="40"/>
      <c r="J8621" s="134"/>
    </row>
    <row r="8622" spans="4:10" x14ac:dyDescent="0.3">
      <c r="D8622" s="40"/>
      <c r="J8622" s="134"/>
    </row>
    <row r="8623" spans="4:10" x14ac:dyDescent="0.3">
      <c r="D8623" s="40"/>
      <c r="J8623" s="134"/>
    </row>
    <row r="8624" spans="4:10" x14ac:dyDescent="0.3">
      <c r="D8624" s="40"/>
      <c r="J8624" s="134"/>
    </row>
    <row r="8625" spans="4:10" x14ac:dyDescent="0.3">
      <c r="D8625" s="40"/>
      <c r="J8625" s="134"/>
    </row>
    <row r="8626" spans="4:10" x14ac:dyDescent="0.3">
      <c r="D8626" s="40"/>
      <c r="J8626" s="134"/>
    </row>
    <row r="8627" spans="4:10" x14ac:dyDescent="0.3">
      <c r="D8627" s="40"/>
      <c r="J8627" s="134"/>
    </row>
    <row r="8628" spans="4:10" x14ac:dyDescent="0.3">
      <c r="D8628" s="40"/>
      <c r="J8628" s="134"/>
    </row>
    <row r="8629" spans="4:10" x14ac:dyDescent="0.3">
      <c r="D8629" s="40"/>
      <c r="J8629" s="134"/>
    </row>
    <row r="8630" spans="4:10" x14ac:dyDescent="0.3">
      <c r="D8630" s="40"/>
      <c r="J8630" s="134"/>
    </row>
    <row r="8631" spans="4:10" x14ac:dyDescent="0.3">
      <c r="D8631" s="40"/>
      <c r="J8631" s="134"/>
    </row>
    <row r="8632" spans="4:10" x14ac:dyDescent="0.3">
      <c r="D8632" s="40"/>
      <c r="J8632" s="134"/>
    </row>
    <row r="8633" spans="4:10" x14ac:dyDescent="0.3">
      <c r="D8633" s="40"/>
      <c r="J8633" s="134"/>
    </row>
    <row r="8634" spans="4:10" x14ac:dyDescent="0.3">
      <c r="D8634" s="40"/>
      <c r="J8634" s="134"/>
    </row>
    <row r="8635" spans="4:10" x14ac:dyDescent="0.3">
      <c r="D8635" s="40"/>
      <c r="J8635" s="134"/>
    </row>
    <row r="8636" spans="4:10" x14ac:dyDescent="0.3">
      <c r="D8636" s="40"/>
      <c r="J8636" s="134"/>
    </row>
    <row r="8637" spans="4:10" x14ac:dyDescent="0.3">
      <c r="D8637" s="40"/>
      <c r="J8637" s="134"/>
    </row>
    <row r="8638" spans="4:10" x14ac:dyDescent="0.3">
      <c r="D8638" s="40"/>
      <c r="J8638" s="134"/>
    </row>
    <row r="8639" spans="4:10" x14ac:dyDescent="0.3">
      <c r="D8639" s="40"/>
      <c r="J8639" s="134"/>
    </row>
    <row r="8640" spans="4:10" x14ac:dyDescent="0.3">
      <c r="D8640" s="40"/>
      <c r="J8640" s="134"/>
    </row>
    <row r="8641" spans="4:10" x14ac:dyDescent="0.3">
      <c r="D8641" s="40"/>
      <c r="J8641" s="134"/>
    </row>
    <row r="8642" spans="4:10" x14ac:dyDescent="0.3">
      <c r="D8642" s="40"/>
      <c r="J8642" s="134"/>
    </row>
    <row r="8643" spans="4:10" x14ac:dyDescent="0.3">
      <c r="D8643" s="40"/>
      <c r="J8643" s="134"/>
    </row>
    <row r="8644" spans="4:10" x14ac:dyDescent="0.3">
      <c r="D8644" s="40"/>
      <c r="J8644" s="134"/>
    </row>
    <row r="8645" spans="4:10" x14ac:dyDescent="0.3">
      <c r="D8645" s="40"/>
      <c r="J8645" s="134"/>
    </row>
    <row r="8646" spans="4:10" x14ac:dyDescent="0.3">
      <c r="D8646" s="40"/>
      <c r="J8646" s="134"/>
    </row>
    <row r="8647" spans="4:10" x14ac:dyDescent="0.3">
      <c r="D8647" s="40"/>
      <c r="J8647" s="134"/>
    </row>
    <row r="8648" spans="4:10" x14ac:dyDescent="0.3">
      <c r="D8648" s="40"/>
      <c r="J8648" s="134"/>
    </row>
    <row r="8649" spans="4:10" x14ac:dyDescent="0.3">
      <c r="D8649" s="40"/>
      <c r="J8649" s="134"/>
    </row>
    <row r="8650" spans="4:10" x14ac:dyDescent="0.3">
      <c r="D8650" s="40"/>
      <c r="J8650" s="134"/>
    </row>
    <row r="8651" spans="4:10" x14ac:dyDescent="0.3">
      <c r="D8651" s="40"/>
      <c r="J8651" s="134"/>
    </row>
    <row r="8652" spans="4:10" x14ac:dyDescent="0.3">
      <c r="D8652" s="40"/>
      <c r="J8652" s="134"/>
    </row>
    <row r="8653" spans="4:10" x14ac:dyDescent="0.3">
      <c r="D8653" s="40"/>
      <c r="J8653" s="134"/>
    </row>
    <row r="8654" spans="4:10" x14ac:dyDescent="0.3">
      <c r="D8654" s="40"/>
      <c r="J8654" s="134"/>
    </row>
    <row r="8655" spans="4:10" x14ac:dyDescent="0.3">
      <c r="D8655" s="40"/>
      <c r="J8655" s="134"/>
    </row>
    <row r="8656" spans="4:10" x14ac:dyDescent="0.3">
      <c r="D8656" s="40"/>
      <c r="J8656" s="134"/>
    </row>
    <row r="8657" spans="4:10" x14ac:dyDescent="0.3">
      <c r="D8657" s="40"/>
      <c r="J8657" s="134"/>
    </row>
    <row r="8658" spans="4:10" x14ac:dyDescent="0.3">
      <c r="D8658" s="40"/>
      <c r="J8658" s="134"/>
    </row>
    <row r="8659" spans="4:10" x14ac:dyDescent="0.3">
      <c r="D8659" s="40"/>
      <c r="J8659" s="134"/>
    </row>
    <row r="8660" spans="4:10" x14ac:dyDescent="0.3">
      <c r="D8660" s="40"/>
      <c r="J8660" s="134"/>
    </row>
    <row r="8661" spans="4:10" x14ac:dyDescent="0.3">
      <c r="D8661" s="40"/>
      <c r="J8661" s="134"/>
    </row>
    <row r="8662" spans="4:10" x14ac:dyDescent="0.3">
      <c r="D8662" s="40"/>
      <c r="J8662" s="134"/>
    </row>
    <row r="8663" spans="4:10" x14ac:dyDescent="0.3">
      <c r="D8663" s="40"/>
      <c r="J8663" s="134"/>
    </row>
    <row r="8664" spans="4:10" x14ac:dyDescent="0.3">
      <c r="D8664" s="40"/>
      <c r="J8664" s="134"/>
    </row>
    <row r="8665" spans="4:10" x14ac:dyDescent="0.3">
      <c r="D8665" s="40"/>
      <c r="J8665" s="134"/>
    </row>
    <row r="8666" spans="4:10" x14ac:dyDescent="0.3">
      <c r="D8666" s="40"/>
      <c r="J8666" s="134"/>
    </row>
    <row r="8667" spans="4:10" x14ac:dyDescent="0.3">
      <c r="D8667" s="40"/>
      <c r="J8667" s="134"/>
    </row>
    <row r="8668" spans="4:10" x14ac:dyDescent="0.3">
      <c r="D8668" s="40"/>
      <c r="J8668" s="134"/>
    </row>
    <row r="8669" spans="4:10" x14ac:dyDescent="0.3">
      <c r="D8669" s="40"/>
      <c r="J8669" s="134"/>
    </row>
    <row r="8670" spans="4:10" x14ac:dyDescent="0.3">
      <c r="D8670" s="40"/>
      <c r="J8670" s="134"/>
    </row>
    <row r="8671" spans="4:10" x14ac:dyDescent="0.3">
      <c r="D8671" s="40"/>
      <c r="J8671" s="134"/>
    </row>
    <row r="8672" spans="4:10" x14ac:dyDescent="0.3">
      <c r="D8672" s="40"/>
      <c r="J8672" s="134"/>
    </row>
    <row r="8673" spans="4:10" x14ac:dyDescent="0.3">
      <c r="D8673" s="40"/>
      <c r="J8673" s="134"/>
    </row>
    <row r="8674" spans="4:10" x14ac:dyDescent="0.3">
      <c r="D8674" s="40"/>
      <c r="J8674" s="134"/>
    </row>
    <row r="8675" spans="4:10" x14ac:dyDescent="0.3">
      <c r="D8675" s="40"/>
      <c r="J8675" s="134"/>
    </row>
    <row r="8676" spans="4:10" x14ac:dyDescent="0.3">
      <c r="D8676" s="40"/>
      <c r="J8676" s="134"/>
    </row>
    <row r="8677" spans="4:10" x14ac:dyDescent="0.3">
      <c r="D8677" s="40"/>
      <c r="J8677" s="134"/>
    </row>
    <row r="8678" spans="4:10" x14ac:dyDescent="0.3">
      <c r="D8678" s="40"/>
      <c r="J8678" s="134"/>
    </row>
    <row r="8679" spans="4:10" x14ac:dyDescent="0.3">
      <c r="D8679" s="40"/>
      <c r="J8679" s="134"/>
    </row>
    <row r="8680" spans="4:10" x14ac:dyDescent="0.3">
      <c r="D8680" s="40"/>
      <c r="J8680" s="134"/>
    </row>
    <row r="8681" spans="4:10" x14ac:dyDescent="0.3">
      <c r="D8681" s="40"/>
      <c r="J8681" s="134"/>
    </row>
    <row r="8682" spans="4:10" x14ac:dyDescent="0.3">
      <c r="D8682" s="40"/>
      <c r="J8682" s="134"/>
    </row>
    <row r="8683" spans="4:10" x14ac:dyDescent="0.3">
      <c r="D8683" s="40"/>
      <c r="J8683" s="134"/>
    </row>
    <row r="8684" spans="4:10" x14ac:dyDescent="0.3">
      <c r="D8684" s="40"/>
      <c r="J8684" s="134"/>
    </row>
    <row r="8685" spans="4:10" x14ac:dyDescent="0.3">
      <c r="D8685" s="40"/>
      <c r="J8685" s="134"/>
    </row>
    <row r="8686" spans="4:10" x14ac:dyDescent="0.3">
      <c r="D8686" s="40"/>
      <c r="J8686" s="134"/>
    </row>
    <row r="8687" spans="4:10" x14ac:dyDescent="0.3">
      <c r="D8687" s="40"/>
      <c r="J8687" s="134"/>
    </row>
    <row r="8688" spans="4:10" x14ac:dyDescent="0.3">
      <c r="D8688" s="40"/>
      <c r="J8688" s="134"/>
    </row>
    <row r="8689" spans="4:10" x14ac:dyDescent="0.3">
      <c r="D8689" s="40"/>
      <c r="J8689" s="134"/>
    </row>
    <row r="8690" spans="4:10" x14ac:dyDescent="0.3">
      <c r="D8690" s="40"/>
      <c r="J8690" s="134"/>
    </row>
    <row r="8691" spans="4:10" x14ac:dyDescent="0.3">
      <c r="D8691" s="40"/>
      <c r="J8691" s="134"/>
    </row>
    <row r="8692" spans="4:10" x14ac:dyDescent="0.3">
      <c r="D8692" s="40"/>
      <c r="J8692" s="134"/>
    </row>
    <row r="8693" spans="4:10" x14ac:dyDescent="0.3">
      <c r="D8693" s="40"/>
      <c r="J8693" s="134"/>
    </row>
    <row r="8694" spans="4:10" x14ac:dyDescent="0.3">
      <c r="D8694" s="40"/>
      <c r="J8694" s="134"/>
    </row>
    <row r="8695" spans="4:10" x14ac:dyDescent="0.3">
      <c r="D8695" s="40"/>
      <c r="J8695" s="134"/>
    </row>
    <row r="8696" spans="4:10" x14ac:dyDescent="0.3">
      <c r="D8696" s="40"/>
      <c r="J8696" s="134"/>
    </row>
    <row r="8697" spans="4:10" x14ac:dyDescent="0.3">
      <c r="D8697" s="40"/>
      <c r="J8697" s="134"/>
    </row>
    <row r="8698" spans="4:10" x14ac:dyDescent="0.3">
      <c r="D8698" s="40"/>
      <c r="J8698" s="134"/>
    </row>
    <row r="8699" spans="4:10" x14ac:dyDescent="0.3">
      <c r="D8699" s="40"/>
      <c r="J8699" s="134"/>
    </row>
    <row r="8700" spans="4:10" x14ac:dyDescent="0.3">
      <c r="D8700" s="40"/>
      <c r="J8700" s="134"/>
    </row>
    <row r="8701" spans="4:10" x14ac:dyDescent="0.3">
      <c r="D8701" s="40"/>
      <c r="J8701" s="134"/>
    </row>
    <row r="8702" spans="4:10" x14ac:dyDescent="0.3">
      <c r="D8702" s="40"/>
      <c r="J8702" s="134"/>
    </row>
    <row r="8703" spans="4:10" x14ac:dyDescent="0.3">
      <c r="D8703" s="40"/>
      <c r="J8703" s="134"/>
    </row>
    <row r="8704" spans="4:10" x14ac:dyDescent="0.3">
      <c r="D8704" s="40"/>
      <c r="J8704" s="134"/>
    </row>
    <row r="8705" spans="4:10" x14ac:dyDescent="0.3">
      <c r="D8705" s="40"/>
      <c r="J8705" s="134"/>
    </row>
    <row r="8706" spans="4:10" x14ac:dyDescent="0.3">
      <c r="D8706" s="40"/>
      <c r="J8706" s="134"/>
    </row>
    <row r="8707" spans="4:10" x14ac:dyDescent="0.3">
      <c r="D8707" s="40"/>
      <c r="J8707" s="134"/>
    </row>
    <row r="8708" spans="4:10" x14ac:dyDescent="0.3">
      <c r="D8708" s="40"/>
      <c r="J8708" s="134"/>
    </row>
    <row r="8709" spans="4:10" x14ac:dyDescent="0.3">
      <c r="D8709" s="40"/>
      <c r="J8709" s="134"/>
    </row>
    <row r="8710" spans="4:10" x14ac:dyDescent="0.3">
      <c r="D8710" s="40"/>
      <c r="J8710" s="134"/>
    </row>
    <row r="8711" spans="4:10" x14ac:dyDescent="0.3">
      <c r="D8711" s="40"/>
      <c r="J8711" s="134"/>
    </row>
    <row r="8712" spans="4:10" x14ac:dyDescent="0.3">
      <c r="D8712" s="40"/>
      <c r="J8712" s="134"/>
    </row>
    <row r="8713" spans="4:10" x14ac:dyDescent="0.3">
      <c r="D8713" s="40"/>
      <c r="J8713" s="134"/>
    </row>
    <row r="8714" spans="4:10" x14ac:dyDescent="0.3">
      <c r="D8714" s="40"/>
      <c r="J8714" s="134"/>
    </row>
    <row r="8715" spans="4:10" x14ac:dyDescent="0.3">
      <c r="D8715" s="40"/>
      <c r="J8715" s="134"/>
    </row>
    <row r="8716" spans="4:10" x14ac:dyDescent="0.3">
      <c r="D8716" s="40"/>
      <c r="J8716" s="134"/>
    </row>
    <row r="8717" spans="4:10" x14ac:dyDescent="0.3">
      <c r="D8717" s="40"/>
      <c r="J8717" s="134"/>
    </row>
    <row r="8718" spans="4:10" x14ac:dyDescent="0.3">
      <c r="D8718" s="40"/>
      <c r="J8718" s="134"/>
    </row>
    <row r="8719" spans="4:10" x14ac:dyDescent="0.3">
      <c r="D8719" s="40"/>
      <c r="J8719" s="134"/>
    </row>
    <row r="8720" spans="4:10" x14ac:dyDescent="0.3">
      <c r="D8720" s="40"/>
      <c r="J8720" s="134"/>
    </row>
    <row r="8721" spans="4:10" x14ac:dyDescent="0.3">
      <c r="D8721" s="40"/>
      <c r="J8721" s="134"/>
    </row>
    <row r="8722" spans="4:10" x14ac:dyDescent="0.3">
      <c r="D8722" s="40"/>
      <c r="J8722" s="134"/>
    </row>
    <row r="8723" spans="4:10" x14ac:dyDescent="0.3">
      <c r="D8723" s="40"/>
      <c r="J8723" s="134"/>
    </row>
    <row r="8724" spans="4:10" x14ac:dyDescent="0.3">
      <c r="D8724" s="40"/>
      <c r="J8724" s="134"/>
    </row>
    <row r="8725" spans="4:10" x14ac:dyDescent="0.3">
      <c r="D8725" s="40"/>
      <c r="J8725" s="134"/>
    </row>
    <row r="8726" spans="4:10" x14ac:dyDescent="0.3">
      <c r="D8726" s="40"/>
      <c r="J8726" s="134"/>
    </row>
    <row r="8727" spans="4:10" x14ac:dyDescent="0.3">
      <c r="D8727" s="40"/>
      <c r="J8727" s="134"/>
    </row>
    <row r="8728" spans="4:10" x14ac:dyDescent="0.3">
      <c r="D8728" s="40"/>
      <c r="J8728" s="134"/>
    </row>
    <row r="8729" spans="4:10" x14ac:dyDescent="0.3">
      <c r="D8729" s="40"/>
      <c r="J8729" s="134"/>
    </row>
    <row r="8730" spans="4:10" x14ac:dyDescent="0.3">
      <c r="D8730" s="40"/>
      <c r="J8730" s="134"/>
    </row>
    <row r="8731" spans="4:10" x14ac:dyDescent="0.3">
      <c r="D8731" s="40"/>
      <c r="J8731" s="134"/>
    </row>
    <row r="8732" spans="4:10" x14ac:dyDescent="0.3">
      <c r="D8732" s="40"/>
      <c r="J8732" s="134"/>
    </row>
    <row r="8733" spans="4:10" x14ac:dyDescent="0.3">
      <c r="D8733" s="40"/>
      <c r="J8733" s="134"/>
    </row>
    <row r="8734" spans="4:10" x14ac:dyDescent="0.3">
      <c r="D8734" s="40"/>
      <c r="J8734" s="134"/>
    </row>
    <row r="8735" spans="4:10" x14ac:dyDescent="0.3">
      <c r="D8735" s="40"/>
      <c r="J8735" s="134"/>
    </row>
    <row r="8736" spans="4:10" x14ac:dyDescent="0.3">
      <c r="D8736" s="40"/>
      <c r="J8736" s="134"/>
    </row>
    <row r="8737" spans="4:10" x14ac:dyDescent="0.3">
      <c r="D8737" s="40"/>
      <c r="J8737" s="134"/>
    </row>
    <row r="8738" spans="4:10" x14ac:dyDescent="0.3">
      <c r="D8738" s="40"/>
      <c r="J8738" s="134"/>
    </row>
    <row r="8739" spans="4:10" x14ac:dyDescent="0.3">
      <c r="D8739" s="40"/>
      <c r="J8739" s="134"/>
    </row>
    <row r="8740" spans="4:10" x14ac:dyDescent="0.3">
      <c r="D8740" s="40"/>
      <c r="J8740" s="134"/>
    </row>
    <row r="8741" spans="4:10" x14ac:dyDescent="0.3">
      <c r="D8741" s="40"/>
      <c r="J8741" s="134"/>
    </row>
    <row r="8742" spans="4:10" x14ac:dyDescent="0.3">
      <c r="D8742" s="40"/>
      <c r="J8742" s="134"/>
    </row>
    <row r="8743" spans="4:10" x14ac:dyDescent="0.3">
      <c r="D8743" s="40"/>
      <c r="J8743" s="134"/>
    </row>
    <row r="8744" spans="4:10" x14ac:dyDescent="0.3">
      <c r="D8744" s="40"/>
      <c r="J8744" s="134"/>
    </row>
    <row r="8745" spans="4:10" x14ac:dyDescent="0.3">
      <c r="D8745" s="40"/>
      <c r="J8745" s="134"/>
    </row>
    <row r="8746" spans="4:10" x14ac:dyDescent="0.3">
      <c r="D8746" s="40"/>
      <c r="J8746" s="134"/>
    </row>
    <row r="8747" spans="4:10" x14ac:dyDescent="0.3">
      <c r="D8747" s="40"/>
      <c r="J8747" s="134"/>
    </row>
    <row r="8748" spans="4:10" x14ac:dyDescent="0.3">
      <c r="D8748" s="40"/>
      <c r="J8748" s="134"/>
    </row>
    <row r="8749" spans="4:10" x14ac:dyDescent="0.3">
      <c r="D8749" s="40"/>
      <c r="J8749" s="134"/>
    </row>
    <row r="8750" spans="4:10" x14ac:dyDescent="0.3">
      <c r="D8750" s="40"/>
      <c r="J8750" s="134"/>
    </row>
    <row r="8751" spans="4:10" x14ac:dyDescent="0.3">
      <c r="D8751" s="40"/>
      <c r="J8751" s="134"/>
    </row>
    <row r="8752" spans="4:10" x14ac:dyDescent="0.3">
      <c r="D8752" s="40"/>
      <c r="J8752" s="134"/>
    </row>
    <row r="8753" spans="4:10" x14ac:dyDescent="0.3">
      <c r="D8753" s="40"/>
      <c r="J8753" s="134"/>
    </row>
    <row r="8754" spans="4:10" x14ac:dyDescent="0.3">
      <c r="D8754" s="40"/>
      <c r="J8754" s="134"/>
    </row>
    <row r="8755" spans="4:10" x14ac:dyDescent="0.3">
      <c r="D8755" s="40"/>
      <c r="J8755" s="134"/>
    </row>
    <row r="8756" spans="4:10" x14ac:dyDescent="0.3">
      <c r="D8756" s="40"/>
      <c r="J8756" s="134"/>
    </row>
    <row r="8757" spans="4:10" x14ac:dyDescent="0.3">
      <c r="D8757" s="40"/>
      <c r="J8757" s="134"/>
    </row>
    <row r="8758" spans="4:10" x14ac:dyDescent="0.3">
      <c r="D8758" s="40"/>
      <c r="J8758" s="134"/>
    </row>
    <row r="8759" spans="4:10" x14ac:dyDescent="0.3">
      <c r="D8759" s="40"/>
      <c r="J8759" s="134"/>
    </row>
    <row r="8760" spans="4:10" x14ac:dyDescent="0.3">
      <c r="D8760" s="40"/>
      <c r="J8760" s="134"/>
    </row>
    <row r="8761" spans="4:10" x14ac:dyDescent="0.3">
      <c r="D8761" s="40"/>
      <c r="J8761" s="134"/>
    </row>
    <row r="8762" spans="4:10" x14ac:dyDescent="0.3">
      <c r="D8762" s="40"/>
      <c r="J8762" s="134"/>
    </row>
    <row r="8763" spans="4:10" x14ac:dyDescent="0.3">
      <c r="D8763" s="40"/>
      <c r="J8763" s="134"/>
    </row>
    <row r="8764" spans="4:10" x14ac:dyDescent="0.3">
      <c r="D8764" s="40"/>
      <c r="J8764" s="134"/>
    </row>
    <row r="8765" spans="4:10" x14ac:dyDescent="0.3">
      <c r="D8765" s="40"/>
      <c r="J8765" s="134"/>
    </row>
    <row r="8766" spans="4:10" x14ac:dyDescent="0.3">
      <c r="D8766" s="40"/>
      <c r="J8766" s="134"/>
    </row>
    <row r="8767" spans="4:10" x14ac:dyDescent="0.3">
      <c r="D8767" s="40"/>
      <c r="J8767" s="134"/>
    </row>
    <row r="8768" spans="4:10" x14ac:dyDescent="0.3">
      <c r="D8768" s="40"/>
      <c r="J8768" s="134"/>
    </row>
    <row r="8769" spans="4:10" x14ac:dyDescent="0.3">
      <c r="D8769" s="40"/>
      <c r="J8769" s="134"/>
    </row>
    <row r="8770" spans="4:10" x14ac:dyDescent="0.3">
      <c r="D8770" s="40"/>
      <c r="J8770" s="134"/>
    </row>
    <row r="8771" spans="4:10" x14ac:dyDescent="0.3">
      <c r="D8771" s="40"/>
      <c r="J8771" s="134"/>
    </row>
    <row r="8772" spans="4:10" x14ac:dyDescent="0.3">
      <c r="D8772" s="40"/>
      <c r="J8772" s="134"/>
    </row>
    <row r="8773" spans="4:10" x14ac:dyDescent="0.3">
      <c r="D8773" s="40"/>
      <c r="J8773" s="134"/>
    </row>
    <row r="8774" spans="4:10" x14ac:dyDescent="0.3">
      <c r="D8774" s="40"/>
      <c r="J8774" s="134"/>
    </row>
    <row r="8775" spans="4:10" x14ac:dyDescent="0.3">
      <c r="D8775" s="40"/>
      <c r="J8775" s="134"/>
    </row>
    <row r="8776" spans="4:10" x14ac:dyDescent="0.3">
      <c r="D8776" s="40"/>
      <c r="J8776" s="134"/>
    </row>
    <row r="8777" spans="4:10" x14ac:dyDescent="0.3">
      <c r="D8777" s="40"/>
      <c r="J8777" s="134"/>
    </row>
    <row r="8778" spans="4:10" x14ac:dyDescent="0.3">
      <c r="D8778" s="40"/>
      <c r="J8778" s="134"/>
    </row>
    <row r="8779" spans="4:10" x14ac:dyDescent="0.3">
      <c r="D8779" s="40"/>
      <c r="J8779" s="134"/>
    </row>
    <row r="8780" spans="4:10" x14ac:dyDescent="0.3">
      <c r="D8780" s="40"/>
      <c r="J8780" s="134"/>
    </row>
    <row r="8781" spans="4:10" x14ac:dyDescent="0.3">
      <c r="D8781" s="40"/>
      <c r="J8781" s="134"/>
    </row>
    <row r="8782" spans="4:10" x14ac:dyDescent="0.3">
      <c r="D8782" s="40"/>
      <c r="J8782" s="134"/>
    </row>
    <row r="8783" spans="4:10" x14ac:dyDescent="0.3">
      <c r="D8783" s="40"/>
      <c r="J8783" s="134"/>
    </row>
    <row r="8784" spans="4:10" x14ac:dyDescent="0.3">
      <c r="D8784" s="40"/>
      <c r="J8784" s="134"/>
    </row>
    <row r="8785" spans="4:10" x14ac:dyDescent="0.3">
      <c r="D8785" s="40"/>
      <c r="J8785" s="134"/>
    </row>
    <row r="8786" spans="4:10" x14ac:dyDescent="0.3">
      <c r="D8786" s="40"/>
      <c r="J8786" s="134"/>
    </row>
    <row r="8787" spans="4:10" x14ac:dyDescent="0.3">
      <c r="D8787" s="40"/>
      <c r="J8787" s="134"/>
    </row>
    <row r="8788" spans="4:10" x14ac:dyDescent="0.3">
      <c r="D8788" s="40"/>
      <c r="J8788" s="134"/>
    </row>
    <row r="8789" spans="4:10" x14ac:dyDescent="0.3">
      <c r="D8789" s="40"/>
      <c r="J8789" s="134"/>
    </row>
    <row r="8790" spans="4:10" x14ac:dyDescent="0.3">
      <c r="D8790" s="40"/>
      <c r="J8790" s="134"/>
    </row>
    <row r="8791" spans="4:10" x14ac:dyDescent="0.3">
      <c r="D8791" s="40"/>
      <c r="J8791" s="134"/>
    </row>
    <row r="8792" spans="4:10" x14ac:dyDescent="0.3">
      <c r="D8792" s="40"/>
      <c r="J8792" s="134"/>
    </row>
    <row r="8793" spans="4:10" x14ac:dyDescent="0.3">
      <c r="D8793" s="40"/>
      <c r="J8793" s="134"/>
    </row>
    <row r="8794" spans="4:10" x14ac:dyDescent="0.3">
      <c r="D8794" s="40"/>
      <c r="J8794" s="134"/>
    </row>
    <row r="8795" spans="4:10" x14ac:dyDescent="0.3">
      <c r="D8795" s="40"/>
      <c r="J8795" s="134"/>
    </row>
    <row r="8796" spans="4:10" x14ac:dyDescent="0.3">
      <c r="D8796" s="40"/>
      <c r="J8796" s="134"/>
    </row>
    <row r="8797" spans="4:10" x14ac:dyDescent="0.3">
      <c r="D8797" s="40"/>
      <c r="J8797" s="134"/>
    </row>
    <row r="8798" spans="4:10" x14ac:dyDescent="0.3">
      <c r="D8798" s="40"/>
      <c r="J8798" s="134"/>
    </row>
    <row r="8799" spans="4:10" x14ac:dyDescent="0.3">
      <c r="D8799" s="40"/>
      <c r="J8799" s="134"/>
    </row>
    <row r="8800" spans="4:10" x14ac:dyDescent="0.3">
      <c r="D8800" s="40"/>
      <c r="J8800" s="134"/>
    </row>
    <row r="8801" spans="4:10" x14ac:dyDescent="0.3">
      <c r="D8801" s="40"/>
      <c r="J8801" s="134"/>
    </row>
    <row r="8802" spans="4:10" x14ac:dyDescent="0.3">
      <c r="D8802" s="40"/>
      <c r="J8802" s="134"/>
    </row>
    <row r="8803" spans="4:10" x14ac:dyDescent="0.3">
      <c r="D8803" s="40"/>
      <c r="J8803" s="134"/>
    </row>
    <row r="8804" spans="4:10" x14ac:dyDescent="0.3">
      <c r="D8804" s="40"/>
      <c r="J8804" s="134"/>
    </row>
    <row r="8805" spans="4:10" x14ac:dyDescent="0.3">
      <c r="D8805" s="40"/>
      <c r="J8805" s="134"/>
    </row>
    <row r="8806" spans="4:10" x14ac:dyDescent="0.3">
      <c r="D8806" s="40"/>
      <c r="J8806" s="134"/>
    </row>
    <row r="8807" spans="4:10" x14ac:dyDescent="0.3">
      <c r="D8807" s="40"/>
      <c r="J8807" s="134"/>
    </row>
    <row r="8808" spans="4:10" x14ac:dyDescent="0.3">
      <c r="D8808" s="40"/>
      <c r="J8808" s="134"/>
    </row>
    <row r="8809" spans="4:10" x14ac:dyDescent="0.3">
      <c r="D8809" s="40"/>
      <c r="J8809" s="134"/>
    </row>
    <row r="8810" spans="4:10" x14ac:dyDescent="0.3">
      <c r="D8810" s="40"/>
      <c r="J8810" s="134"/>
    </row>
    <row r="8811" spans="4:10" x14ac:dyDescent="0.3">
      <c r="D8811" s="40"/>
      <c r="J8811" s="134"/>
    </row>
    <row r="8812" spans="4:10" x14ac:dyDescent="0.3">
      <c r="D8812" s="40"/>
      <c r="J8812" s="134"/>
    </row>
    <row r="8813" spans="4:10" x14ac:dyDescent="0.3">
      <c r="D8813" s="40"/>
      <c r="J8813" s="134"/>
    </row>
    <row r="8814" spans="4:10" x14ac:dyDescent="0.3">
      <c r="D8814" s="40"/>
      <c r="J8814" s="134"/>
    </row>
    <row r="8815" spans="4:10" x14ac:dyDescent="0.3">
      <c r="D8815" s="40"/>
      <c r="J8815" s="134"/>
    </row>
    <row r="8816" spans="4:10" x14ac:dyDescent="0.3">
      <c r="D8816" s="40"/>
      <c r="J8816" s="134"/>
    </row>
    <row r="8817" spans="4:10" x14ac:dyDescent="0.3">
      <c r="D8817" s="40"/>
      <c r="J8817" s="134"/>
    </row>
    <row r="8818" spans="4:10" x14ac:dyDescent="0.3">
      <c r="D8818" s="40"/>
      <c r="J8818" s="134"/>
    </row>
    <row r="8819" spans="4:10" x14ac:dyDescent="0.3">
      <c r="D8819" s="40"/>
      <c r="J8819" s="134"/>
    </row>
    <row r="8820" spans="4:10" x14ac:dyDescent="0.3">
      <c r="D8820" s="40"/>
      <c r="J8820" s="134"/>
    </row>
    <row r="8821" spans="4:10" x14ac:dyDescent="0.3">
      <c r="D8821" s="40"/>
      <c r="J8821" s="134"/>
    </row>
    <row r="8822" spans="4:10" x14ac:dyDescent="0.3">
      <c r="D8822" s="40"/>
      <c r="J8822" s="134"/>
    </row>
    <row r="8823" spans="4:10" x14ac:dyDescent="0.3">
      <c r="D8823" s="40"/>
      <c r="J8823" s="134"/>
    </row>
    <row r="8824" spans="4:10" x14ac:dyDescent="0.3">
      <c r="D8824" s="40"/>
      <c r="J8824" s="134"/>
    </row>
    <row r="8825" spans="4:10" x14ac:dyDescent="0.3">
      <c r="D8825" s="40"/>
      <c r="J8825" s="134"/>
    </row>
    <row r="8826" spans="4:10" x14ac:dyDescent="0.3">
      <c r="D8826" s="40"/>
      <c r="J8826" s="134"/>
    </row>
    <row r="8827" spans="4:10" x14ac:dyDescent="0.3">
      <c r="D8827" s="40"/>
      <c r="J8827" s="134"/>
    </row>
    <row r="8828" spans="4:10" x14ac:dyDescent="0.3">
      <c r="D8828" s="40"/>
      <c r="J8828" s="134"/>
    </row>
    <row r="8829" spans="4:10" x14ac:dyDescent="0.3">
      <c r="D8829" s="40"/>
      <c r="J8829" s="134"/>
    </row>
    <row r="8830" spans="4:10" x14ac:dyDescent="0.3">
      <c r="D8830" s="40"/>
      <c r="J8830" s="134"/>
    </row>
    <row r="8831" spans="4:10" x14ac:dyDescent="0.3">
      <c r="D8831" s="40"/>
      <c r="J8831" s="134"/>
    </row>
    <row r="8832" spans="4:10" x14ac:dyDescent="0.3">
      <c r="D8832" s="40"/>
      <c r="J8832" s="134"/>
    </row>
    <row r="8833" spans="4:10" x14ac:dyDescent="0.3">
      <c r="D8833" s="40"/>
      <c r="J8833" s="134"/>
    </row>
    <row r="8834" spans="4:10" x14ac:dyDescent="0.3">
      <c r="D8834" s="40"/>
      <c r="J8834" s="134"/>
    </row>
    <row r="8835" spans="4:10" x14ac:dyDescent="0.3">
      <c r="D8835" s="40"/>
      <c r="J8835" s="134"/>
    </row>
    <row r="8836" spans="4:10" x14ac:dyDescent="0.3">
      <c r="D8836" s="40"/>
      <c r="J8836" s="134"/>
    </row>
    <row r="8837" spans="4:10" x14ac:dyDescent="0.3">
      <c r="D8837" s="40"/>
      <c r="J8837" s="134"/>
    </row>
    <row r="8838" spans="4:10" x14ac:dyDescent="0.3">
      <c r="D8838" s="40"/>
      <c r="J8838" s="134"/>
    </row>
    <row r="8839" spans="4:10" x14ac:dyDescent="0.3">
      <c r="D8839" s="40"/>
      <c r="J8839" s="134"/>
    </row>
    <row r="8840" spans="4:10" x14ac:dyDescent="0.3">
      <c r="D8840" s="40"/>
      <c r="J8840" s="134"/>
    </row>
    <row r="8841" spans="4:10" x14ac:dyDescent="0.3">
      <c r="D8841" s="40"/>
      <c r="J8841" s="134"/>
    </row>
    <row r="8842" spans="4:10" x14ac:dyDescent="0.3">
      <c r="D8842" s="40"/>
      <c r="J8842" s="134"/>
    </row>
    <row r="8843" spans="4:10" x14ac:dyDescent="0.3">
      <c r="D8843" s="40"/>
      <c r="J8843" s="134"/>
    </row>
    <row r="8844" spans="4:10" x14ac:dyDescent="0.3">
      <c r="D8844" s="40"/>
      <c r="J8844" s="134"/>
    </row>
    <row r="8845" spans="4:10" x14ac:dyDescent="0.3">
      <c r="D8845" s="40"/>
      <c r="J8845" s="134"/>
    </row>
    <row r="8846" spans="4:10" x14ac:dyDescent="0.3">
      <c r="D8846" s="40"/>
      <c r="J8846" s="134"/>
    </row>
    <row r="8847" spans="4:10" x14ac:dyDescent="0.3">
      <c r="D8847" s="40"/>
      <c r="J8847" s="134"/>
    </row>
    <row r="8848" spans="4:10" x14ac:dyDescent="0.3">
      <c r="D8848" s="40"/>
      <c r="J8848" s="134"/>
    </row>
    <row r="8849" spans="4:10" x14ac:dyDescent="0.3">
      <c r="D8849" s="40"/>
      <c r="J8849" s="134"/>
    </row>
    <row r="8850" spans="4:10" x14ac:dyDescent="0.3">
      <c r="D8850" s="40"/>
      <c r="J8850" s="134"/>
    </row>
    <row r="8851" spans="4:10" x14ac:dyDescent="0.3">
      <c r="D8851" s="40"/>
      <c r="J8851" s="134"/>
    </row>
    <row r="8852" spans="4:10" x14ac:dyDescent="0.3">
      <c r="D8852" s="40"/>
      <c r="J8852" s="134"/>
    </row>
    <row r="8853" spans="4:10" x14ac:dyDescent="0.3">
      <c r="D8853" s="40"/>
      <c r="J8853" s="134"/>
    </row>
    <row r="8854" spans="4:10" x14ac:dyDescent="0.3">
      <c r="D8854" s="40"/>
      <c r="J8854" s="134"/>
    </row>
    <row r="8855" spans="4:10" x14ac:dyDescent="0.3">
      <c r="D8855" s="40"/>
      <c r="J8855" s="134"/>
    </row>
    <row r="8856" spans="4:10" x14ac:dyDescent="0.3">
      <c r="D8856" s="40"/>
      <c r="J8856" s="134"/>
    </row>
    <row r="8857" spans="4:10" x14ac:dyDescent="0.3">
      <c r="D8857" s="40"/>
      <c r="J8857" s="134"/>
    </row>
    <row r="8858" spans="4:10" x14ac:dyDescent="0.3">
      <c r="D8858" s="40"/>
      <c r="J8858" s="134"/>
    </row>
    <row r="8859" spans="4:10" x14ac:dyDescent="0.3">
      <c r="D8859" s="40"/>
      <c r="J8859" s="134"/>
    </row>
    <row r="8860" spans="4:10" x14ac:dyDescent="0.3">
      <c r="D8860" s="40"/>
      <c r="J8860" s="134"/>
    </row>
    <row r="8861" spans="4:10" x14ac:dyDescent="0.3">
      <c r="D8861" s="40"/>
      <c r="J8861" s="134"/>
    </row>
    <row r="8862" spans="4:10" x14ac:dyDescent="0.3">
      <c r="D8862" s="40"/>
      <c r="J8862" s="134"/>
    </row>
    <row r="8863" spans="4:10" x14ac:dyDescent="0.3">
      <c r="D8863" s="40"/>
      <c r="J8863" s="134"/>
    </row>
    <row r="8864" spans="4:10" x14ac:dyDescent="0.3">
      <c r="D8864" s="40"/>
      <c r="J8864" s="134"/>
    </row>
    <row r="8865" spans="4:10" x14ac:dyDescent="0.3">
      <c r="D8865" s="40"/>
      <c r="J8865" s="134"/>
    </row>
    <row r="8866" spans="4:10" x14ac:dyDescent="0.3">
      <c r="D8866" s="40"/>
      <c r="J8866" s="134"/>
    </row>
    <row r="8867" spans="4:10" x14ac:dyDescent="0.3">
      <c r="D8867" s="40"/>
      <c r="J8867" s="134"/>
    </row>
    <row r="8868" spans="4:10" x14ac:dyDescent="0.3">
      <c r="D8868" s="40"/>
      <c r="J8868" s="134"/>
    </row>
    <row r="8869" spans="4:10" x14ac:dyDescent="0.3">
      <c r="D8869" s="40"/>
      <c r="J8869" s="134"/>
    </row>
    <row r="8870" spans="4:10" x14ac:dyDescent="0.3">
      <c r="D8870" s="40"/>
      <c r="J8870" s="134"/>
    </row>
    <row r="8871" spans="4:10" x14ac:dyDescent="0.3">
      <c r="D8871" s="40"/>
      <c r="J8871" s="134"/>
    </row>
    <row r="8872" spans="4:10" x14ac:dyDescent="0.3">
      <c r="D8872" s="40"/>
      <c r="J8872" s="134"/>
    </row>
    <row r="8873" spans="4:10" x14ac:dyDescent="0.3">
      <c r="D8873" s="40"/>
      <c r="J8873" s="134"/>
    </row>
    <row r="8874" spans="4:10" x14ac:dyDescent="0.3">
      <c r="D8874" s="40"/>
      <c r="J8874" s="134"/>
    </row>
    <row r="8875" spans="4:10" x14ac:dyDescent="0.3">
      <c r="D8875" s="40"/>
      <c r="J8875" s="134"/>
    </row>
    <row r="8876" spans="4:10" x14ac:dyDescent="0.3">
      <c r="D8876" s="40"/>
      <c r="J8876" s="134"/>
    </row>
    <row r="8877" spans="4:10" x14ac:dyDescent="0.3">
      <c r="D8877" s="40"/>
      <c r="J8877" s="134"/>
    </row>
    <row r="8878" spans="4:10" x14ac:dyDescent="0.3">
      <c r="D8878" s="40"/>
      <c r="J8878" s="134"/>
    </row>
    <row r="8879" spans="4:10" x14ac:dyDescent="0.3">
      <c r="D8879" s="40"/>
      <c r="J8879" s="134"/>
    </row>
    <row r="8880" spans="4:10" x14ac:dyDescent="0.3">
      <c r="D8880" s="40"/>
      <c r="J8880" s="134"/>
    </row>
    <row r="8881" spans="4:10" x14ac:dyDescent="0.3">
      <c r="D8881" s="40"/>
      <c r="J8881" s="134"/>
    </row>
    <row r="8882" spans="4:10" x14ac:dyDescent="0.3">
      <c r="D8882" s="40"/>
      <c r="J8882" s="134"/>
    </row>
    <row r="8883" spans="4:10" x14ac:dyDescent="0.3">
      <c r="D8883" s="40"/>
      <c r="J8883" s="134"/>
    </row>
    <row r="8884" spans="4:10" x14ac:dyDescent="0.3">
      <c r="D8884" s="40"/>
      <c r="J8884" s="134"/>
    </row>
    <row r="8885" spans="4:10" x14ac:dyDescent="0.3">
      <c r="D8885" s="40"/>
      <c r="J8885" s="134"/>
    </row>
    <row r="8886" spans="4:10" x14ac:dyDescent="0.3">
      <c r="D8886" s="40"/>
      <c r="J8886" s="134"/>
    </row>
    <row r="8887" spans="4:10" x14ac:dyDescent="0.3">
      <c r="D8887" s="40"/>
      <c r="J8887" s="134"/>
    </row>
    <row r="8888" spans="4:10" x14ac:dyDescent="0.3">
      <c r="D8888" s="40"/>
      <c r="J8888" s="134"/>
    </row>
    <row r="8889" spans="4:10" x14ac:dyDescent="0.3">
      <c r="D8889" s="40"/>
      <c r="J8889" s="134"/>
    </row>
    <row r="8890" spans="4:10" x14ac:dyDescent="0.3">
      <c r="D8890" s="40"/>
      <c r="J8890" s="134"/>
    </row>
    <row r="8891" spans="4:10" x14ac:dyDescent="0.3">
      <c r="D8891" s="40"/>
      <c r="J8891" s="134"/>
    </row>
    <row r="8892" spans="4:10" x14ac:dyDescent="0.3">
      <c r="D8892" s="40"/>
      <c r="J8892" s="134"/>
    </row>
    <row r="8893" spans="4:10" x14ac:dyDescent="0.3">
      <c r="D8893" s="40"/>
      <c r="J8893" s="134"/>
    </row>
    <row r="8894" spans="4:10" x14ac:dyDescent="0.3">
      <c r="D8894" s="40"/>
      <c r="J8894" s="134"/>
    </row>
    <row r="8895" spans="4:10" x14ac:dyDescent="0.3">
      <c r="D8895" s="40"/>
      <c r="J8895" s="134"/>
    </row>
    <row r="8896" spans="4:10" x14ac:dyDescent="0.3">
      <c r="D8896" s="40"/>
      <c r="J8896" s="134"/>
    </row>
    <row r="8897" spans="4:10" x14ac:dyDescent="0.3">
      <c r="D8897" s="40"/>
      <c r="J8897" s="134"/>
    </row>
    <row r="8898" spans="4:10" x14ac:dyDescent="0.3">
      <c r="D8898" s="40"/>
      <c r="J8898" s="134"/>
    </row>
    <row r="8899" spans="4:10" x14ac:dyDescent="0.3">
      <c r="D8899" s="40"/>
      <c r="J8899" s="134"/>
    </row>
    <row r="8900" spans="4:10" x14ac:dyDescent="0.3">
      <c r="D8900" s="40"/>
      <c r="J8900" s="134"/>
    </row>
    <row r="8901" spans="4:10" x14ac:dyDescent="0.3">
      <c r="D8901" s="40"/>
      <c r="J8901" s="134"/>
    </row>
    <row r="8902" spans="4:10" x14ac:dyDescent="0.3">
      <c r="D8902" s="40"/>
      <c r="J8902" s="134"/>
    </row>
    <row r="8903" spans="4:10" x14ac:dyDescent="0.3">
      <c r="D8903" s="40"/>
      <c r="J8903" s="134"/>
    </row>
    <row r="8904" spans="4:10" x14ac:dyDescent="0.3">
      <c r="D8904" s="40"/>
      <c r="J8904" s="134"/>
    </row>
    <row r="8905" spans="4:10" x14ac:dyDescent="0.3">
      <c r="D8905" s="40"/>
      <c r="J8905" s="134"/>
    </row>
    <row r="8906" spans="4:10" x14ac:dyDescent="0.3">
      <c r="D8906" s="40"/>
      <c r="J8906" s="134"/>
    </row>
    <row r="8907" spans="4:10" x14ac:dyDescent="0.3">
      <c r="D8907" s="40"/>
      <c r="J8907" s="134"/>
    </row>
    <row r="8908" spans="4:10" x14ac:dyDescent="0.3">
      <c r="D8908" s="40"/>
      <c r="J8908" s="134"/>
    </row>
    <row r="8909" spans="4:10" x14ac:dyDescent="0.3">
      <c r="D8909" s="40"/>
      <c r="J8909" s="134"/>
    </row>
    <row r="8910" spans="4:10" x14ac:dyDescent="0.3">
      <c r="D8910" s="40"/>
      <c r="J8910" s="134"/>
    </row>
    <row r="8911" spans="4:10" x14ac:dyDescent="0.3">
      <c r="D8911" s="40"/>
      <c r="J8911" s="134"/>
    </row>
    <row r="8912" spans="4:10" x14ac:dyDescent="0.3">
      <c r="D8912" s="40"/>
      <c r="J8912" s="134"/>
    </row>
    <row r="8913" spans="4:10" x14ac:dyDescent="0.3">
      <c r="D8913" s="40"/>
      <c r="J8913" s="134"/>
    </row>
    <row r="8914" spans="4:10" x14ac:dyDescent="0.3">
      <c r="D8914" s="40"/>
      <c r="J8914" s="134"/>
    </row>
    <row r="8915" spans="4:10" x14ac:dyDescent="0.3">
      <c r="D8915" s="40"/>
      <c r="J8915" s="134"/>
    </row>
    <row r="8916" spans="4:10" x14ac:dyDescent="0.3">
      <c r="D8916" s="40"/>
      <c r="J8916" s="134"/>
    </row>
    <row r="8917" spans="4:10" x14ac:dyDescent="0.3">
      <c r="D8917" s="40"/>
      <c r="J8917" s="134"/>
    </row>
    <row r="8918" spans="4:10" x14ac:dyDescent="0.3">
      <c r="D8918" s="40"/>
      <c r="J8918" s="134"/>
    </row>
    <row r="8919" spans="4:10" x14ac:dyDescent="0.3">
      <c r="D8919" s="40"/>
      <c r="J8919" s="134"/>
    </row>
    <row r="8920" spans="4:10" x14ac:dyDescent="0.3">
      <c r="D8920" s="40"/>
      <c r="J8920" s="134"/>
    </row>
    <row r="8921" spans="4:10" x14ac:dyDescent="0.3">
      <c r="D8921" s="40"/>
      <c r="J8921" s="134"/>
    </row>
    <row r="8922" spans="4:10" x14ac:dyDescent="0.3">
      <c r="D8922" s="40"/>
      <c r="J8922" s="134"/>
    </row>
    <row r="8923" spans="4:10" x14ac:dyDescent="0.3">
      <c r="D8923" s="40"/>
      <c r="J8923" s="134"/>
    </row>
    <row r="8924" spans="4:10" x14ac:dyDescent="0.3">
      <c r="D8924" s="40"/>
      <c r="J8924" s="134"/>
    </row>
    <row r="8925" spans="4:10" x14ac:dyDescent="0.3">
      <c r="D8925" s="40"/>
      <c r="J8925" s="134"/>
    </row>
    <row r="8926" spans="4:10" x14ac:dyDescent="0.3">
      <c r="D8926" s="40"/>
      <c r="J8926" s="134"/>
    </row>
    <row r="8927" spans="4:10" x14ac:dyDescent="0.3">
      <c r="D8927" s="40"/>
      <c r="J8927" s="134"/>
    </row>
    <row r="8928" spans="4:10" x14ac:dyDescent="0.3">
      <c r="D8928" s="40"/>
      <c r="J8928" s="134"/>
    </row>
    <row r="8929" spans="4:10" x14ac:dyDescent="0.3">
      <c r="D8929" s="40"/>
      <c r="J8929" s="134"/>
    </row>
    <row r="8930" spans="4:10" x14ac:dyDescent="0.3">
      <c r="D8930" s="40"/>
      <c r="J8930" s="134"/>
    </row>
    <row r="8931" spans="4:10" x14ac:dyDescent="0.3">
      <c r="D8931" s="40"/>
      <c r="J8931" s="134"/>
    </row>
    <row r="8932" spans="4:10" x14ac:dyDescent="0.3">
      <c r="D8932" s="40"/>
      <c r="J8932" s="134"/>
    </row>
    <row r="8933" spans="4:10" x14ac:dyDescent="0.3">
      <c r="D8933" s="40"/>
      <c r="J8933" s="134"/>
    </row>
    <row r="8934" spans="4:10" x14ac:dyDescent="0.3">
      <c r="D8934" s="40"/>
      <c r="J8934" s="134"/>
    </row>
    <row r="8935" spans="4:10" x14ac:dyDescent="0.3">
      <c r="D8935" s="40"/>
      <c r="J8935" s="134"/>
    </row>
    <row r="8936" spans="4:10" x14ac:dyDescent="0.3">
      <c r="D8936" s="40"/>
      <c r="J8936" s="134"/>
    </row>
    <row r="8937" spans="4:10" x14ac:dyDescent="0.3">
      <c r="D8937" s="40"/>
      <c r="J8937" s="134"/>
    </row>
    <row r="8938" spans="4:10" x14ac:dyDescent="0.3">
      <c r="D8938" s="40"/>
      <c r="J8938" s="134"/>
    </row>
    <row r="8939" spans="4:10" x14ac:dyDescent="0.3">
      <c r="D8939" s="40"/>
      <c r="J8939" s="134"/>
    </row>
    <row r="8940" spans="4:10" x14ac:dyDescent="0.3">
      <c r="D8940" s="40"/>
      <c r="J8940" s="134"/>
    </row>
    <row r="8941" spans="4:10" x14ac:dyDescent="0.3">
      <c r="D8941" s="40"/>
      <c r="J8941" s="134"/>
    </row>
    <row r="8942" spans="4:10" x14ac:dyDescent="0.3">
      <c r="D8942" s="40"/>
      <c r="J8942" s="134"/>
    </row>
    <row r="8943" spans="4:10" x14ac:dyDescent="0.3">
      <c r="D8943" s="40"/>
      <c r="J8943" s="134"/>
    </row>
    <row r="8944" spans="4:10" x14ac:dyDescent="0.3">
      <c r="D8944" s="40"/>
      <c r="J8944" s="134"/>
    </row>
    <row r="8945" spans="4:10" x14ac:dyDescent="0.3">
      <c r="D8945" s="40"/>
      <c r="J8945" s="134"/>
    </row>
    <row r="8946" spans="4:10" x14ac:dyDescent="0.3">
      <c r="D8946" s="40"/>
      <c r="J8946" s="134"/>
    </row>
    <row r="8947" spans="4:10" x14ac:dyDescent="0.3">
      <c r="D8947" s="40"/>
      <c r="J8947" s="134"/>
    </row>
    <row r="8948" spans="4:10" x14ac:dyDescent="0.3">
      <c r="D8948" s="40"/>
      <c r="J8948" s="134"/>
    </row>
    <row r="8949" spans="4:10" x14ac:dyDescent="0.3">
      <c r="D8949" s="40"/>
      <c r="J8949" s="134"/>
    </row>
    <row r="8950" spans="4:10" x14ac:dyDescent="0.3">
      <c r="D8950" s="40"/>
      <c r="J8950" s="134"/>
    </row>
    <row r="8951" spans="4:10" x14ac:dyDescent="0.3">
      <c r="D8951" s="40"/>
      <c r="J8951" s="134"/>
    </row>
    <row r="8952" spans="4:10" x14ac:dyDescent="0.3">
      <c r="D8952" s="40"/>
      <c r="J8952" s="134"/>
    </row>
    <row r="8953" spans="4:10" x14ac:dyDescent="0.3">
      <c r="D8953" s="40"/>
      <c r="J8953" s="134"/>
    </row>
    <row r="8954" spans="4:10" x14ac:dyDescent="0.3">
      <c r="D8954" s="40"/>
      <c r="J8954" s="134"/>
    </row>
    <row r="8955" spans="4:10" x14ac:dyDescent="0.3">
      <c r="D8955" s="40"/>
      <c r="J8955" s="134"/>
    </row>
    <row r="8956" spans="4:10" x14ac:dyDescent="0.3">
      <c r="D8956" s="40"/>
      <c r="J8956" s="134"/>
    </row>
    <row r="8957" spans="4:10" x14ac:dyDescent="0.3">
      <c r="D8957" s="40"/>
      <c r="J8957" s="134"/>
    </row>
    <row r="8958" spans="4:10" x14ac:dyDescent="0.3">
      <c r="D8958" s="40"/>
      <c r="J8958" s="134"/>
    </row>
    <row r="8959" spans="4:10" x14ac:dyDescent="0.3">
      <c r="D8959" s="40"/>
      <c r="J8959" s="134"/>
    </row>
    <row r="8960" spans="4:10" x14ac:dyDescent="0.3">
      <c r="D8960" s="40"/>
      <c r="J8960" s="134"/>
    </row>
    <row r="8961" spans="4:10" x14ac:dyDescent="0.3">
      <c r="D8961" s="40"/>
      <c r="J8961" s="134"/>
    </row>
    <row r="8962" spans="4:10" x14ac:dyDescent="0.3">
      <c r="D8962" s="40"/>
      <c r="J8962" s="134"/>
    </row>
    <row r="8963" spans="4:10" x14ac:dyDescent="0.3">
      <c r="D8963" s="40"/>
      <c r="J8963" s="134"/>
    </row>
    <row r="8964" spans="4:10" x14ac:dyDescent="0.3">
      <c r="D8964" s="40"/>
      <c r="J8964" s="134"/>
    </row>
    <row r="8965" spans="4:10" x14ac:dyDescent="0.3">
      <c r="D8965" s="40"/>
      <c r="J8965" s="134"/>
    </row>
    <row r="8966" spans="4:10" x14ac:dyDescent="0.3">
      <c r="D8966" s="40"/>
      <c r="J8966" s="134"/>
    </row>
    <row r="8967" spans="4:10" x14ac:dyDescent="0.3">
      <c r="D8967" s="40"/>
      <c r="J8967" s="134"/>
    </row>
    <row r="8968" spans="4:10" x14ac:dyDescent="0.3">
      <c r="D8968" s="40"/>
      <c r="J8968" s="134"/>
    </row>
    <row r="8969" spans="4:10" x14ac:dyDescent="0.3">
      <c r="D8969" s="40"/>
      <c r="J8969" s="134"/>
    </row>
    <row r="8970" spans="4:10" x14ac:dyDescent="0.3">
      <c r="D8970" s="40"/>
      <c r="J8970" s="134"/>
    </row>
    <row r="8971" spans="4:10" x14ac:dyDescent="0.3">
      <c r="D8971" s="40"/>
      <c r="J8971" s="134"/>
    </row>
    <row r="8972" spans="4:10" x14ac:dyDescent="0.3">
      <c r="D8972" s="40"/>
      <c r="J8972" s="134"/>
    </row>
    <row r="8973" spans="4:10" x14ac:dyDescent="0.3">
      <c r="D8973" s="40"/>
      <c r="J8973" s="134"/>
    </row>
    <row r="8974" spans="4:10" x14ac:dyDescent="0.3">
      <c r="D8974" s="40"/>
      <c r="J8974" s="134"/>
    </row>
    <row r="8975" spans="4:10" x14ac:dyDescent="0.3">
      <c r="D8975" s="40"/>
      <c r="J8975" s="134"/>
    </row>
    <row r="8976" spans="4:10" x14ac:dyDescent="0.3">
      <c r="D8976" s="40"/>
      <c r="J8976" s="134"/>
    </row>
    <row r="8977" spans="4:10" x14ac:dyDescent="0.3">
      <c r="D8977" s="40"/>
      <c r="J8977" s="134"/>
    </row>
    <row r="8978" spans="4:10" x14ac:dyDescent="0.3">
      <c r="D8978" s="40"/>
      <c r="J8978" s="134"/>
    </row>
    <row r="8979" spans="4:10" x14ac:dyDescent="0.3">
      <c r="D8979" s="40"/>
      <c r="J8979" s="134"/>
    </row>
    <row r="8980" spans="4:10" x14ac:dyDescent="0.3">
      <c r="D8980" s="40"/>
      <c r="J8980" s="134"/>
    </row>
    <row r="8981" spans="4:10" x14ac:dyDescent="0.3">
      <c r="D8981" s="40"/>
      <c r="J8981" s="134"/>
    </row>
    <row r="8982" spans="4:10" x14ac:dyDescent="0.3">
      <c r="D8982" s="40"/>
      <c r="J8982" s="134"/>
    </row>
    <row r="8983" spans="4:10" x14ac:dyDescent="0.3">
      <c r="D8983" s="40"/>
      <c r="J8983" s="134"/>
    </row>
    <row r="8984" spans="4:10" x14ac:dyDescent="0.3">
      <c r="D8984" s="40"/>
      <c r="J8984" s="134"/>
    </row>
    <row r="8985" spans="4:10" x14ac:dyDescent="0.3">
      <c r="D8985" s="40"/>
      <c r="J8985" s="134"/>
    </row>
    <row r="8986" spans="4:10" x14ac:dyDescent="0.3">
      <c r="D8986" s="40"/>
      <c r="J8986" s="134"/>
    </row>
    <row r="8987" spans="4:10" x14ac:dyDescent="0.3">
      <c r="D8987" s="40"/>
      <c r="J8987" s="134"/>
    </row>
    <row r="8988" spans="4:10" x14ac:dyDescent="0.3">
      <c r="D8988" s="40"/>
      <c r="J8988" s="134"/>
    </row>
    <row r="8989" spans="4:10" x14ac:dyDescent="0.3">
      <c r="D8989" s="40"/>
      <c r="J8989" s="134"/>
    </row>
    <row r="8990" spans="4:10" x14ac:dyDescent="0.3">
      <c r="D8990" s="40"/>
      <c r="J8990" s="134"/>
    </row>
    <row r="8991" spans="4:10" x14ac:dyDescent="0.3">
      <c r="D8991" s="40"/>
      <c r="J8991" s="134"/>
    </row>
    <row r="8992" spans="4:10" x14ac:dyDescent="0.3">
      <c r="D8992" s="40"/>
      <c r="J8992" s="134"/>
    </row>
    <row r="8993" spans="4:10" x14ac:dyDescent="0.3">
      <c r="D8993" s="40"/>
      <c r="J8993" s="134"/>
    </row>
    <row r="8994" spans="4:10" x14ac:dyDescent="0.3">
      <c r="D8994" s="40"/>
      <c r="J8994" s="134"/>
    </row>
    <row r="8995" spans="4:10" x14ac:dyDescent="0.3">
      <c r="D8995" s="40"/>
      <c r="J8995" s="134"/>
    </row>
    <row r="8996" spans="4:10" x14ac:dyDescent="0.3">
      <c r="D8996" s="40"/>
      <c r="J8996" s="134"/>
    </row>
    <row r="8997" spans="4:10" x14ac:dyDescent="0.3">
      <c r="D8997" s="40"/>
      <c r="J8997" s="134"/>
    </row>
    <row r="8998" spans="4:10" x14ac:dyDescent="0.3">
      <c r="D8998" s="40"/>
      <c r="J8998" s="134"/>
    </row>
    <row r="8999" spans="4:10" x14ac:dyDescent="0.3">
      <c r="D8999" s="40"/>
      <c r="J8999" s="134"/>
    </row>
    <row r="9000" spans="4:10" x14ac:dyDescent="0.3">
      <c r="D9000" s="40"/>
      <c r="J9000" s="134"/>
    </row>
    <row r="9001" spans="4:10" x14ac:dyDescent="0.3">
      <c r="D9001" s="40"/>
      <c r="J9001" s="134"/>
    </row>
    <row r="9002" spans="4:10" x14ac:dyDescent="0.3">
      <c r="D9002" s="40"/>
      <c r="J9002" s="134"/>
    </row>
    <row r="9003" spans="4:10" x14ac:dyDescent="0.3">
      <c r="D9003" s="40"/>
      <c r="J9003" s="134"/>
    </row>
    <row r="9004" spans="4:10" x14ac:dyDescent="0.3">
      <c r="D9004" s="40"/>
      <c r="J9004" s="134"/>
    </row>
    <row r="9005" spans="4:10" x14ac:dyDescent="0.3">
      <c r="D9005" s="40"/>
      <c r="J9005" s="134"/>
    </row>
    <row r="9006" spans="4:10" x14ac:dyDescent="0.3">
      <c r="D9006" s="40"/>
      <c r="J9006" s="134"/>
    </row>
    <row r="9007" spans="4:10" x14ac:dyDescent="0.3">
      <c r="D9007" s="40"/>
      <c r="J9007" s="134"/>
    </row>
    <row r="9008" spans="4:10" x14ac:dyDescent="0.3">
      <c r="D9008" s="40"/>
      <c r="J9008" s="134"/>
    </row>
    <row r="9009" spans="4:10" x14ac:dyDescent="0.3">
      <c r="D9009" s="40"/>
      <c r="J9009" s="134"/>
    </row>
    <row r="9010" spans="4:10" x14ac:dyDescent="0.3">
      <c r="D9010" s="40"/>
      <c r="J9010" s="134"/>
    </row>
    <row r="9011" spans="4:10" x14ac:dyDescent="0.3">
      <c r="D9011" s="40"/>
      <c r="J9011" s="134"/>
    </row>
    <row r="9012" spans="4:10" x14ac:dyDescent="0.3">
      <c r="D9012" s="40"/>
      <c r="J9012" s="134"/>
    </row>
    <row r="9013" spans="4:10" x14ac:dyDescent="0.3">
      <c r="D9013" s="40"/>
      <c r="J9013" s="134"/>
    </row>
    <row r="9014" spans="4:10" x14ac:dyDescent="0.3">
      <c r="D9014" s="40"/>
      <c r="J9014" s="134"/>
    </row>
    <row r="9015" spans="4:10" x14ac:dyDescent="0.3">
      <c r="D9015" s="40"/>
      <c r="J9015" s="134"/>
    </row>
    <row r="9016" spans="4:10" x14ac:dyDescent="0.3">
      <c r="D9016" s="40"/>
      <c r="J9016" s="134"/>
    </row>
    <row r="9017" spans="4:10" x14ac:dyDescent="0.3">
      <c r="D9017" s="40"/>
      <c r="J9017" s="134"/>
    </row>
    <row r="9018" spans="4:10" x14ac:dyDescent="0.3">
      <c r="D9018" s="40"/>
      <c r="J9018" s="134"/>
    </row>
    <row r="9019" spans="4:10" x14ac:dyDescent="0.3">
      <c r="D9019" s="40"/>
      <c r="J9019" s="134"/>
    </row>
    <row r="9020" spans="4:10" x14ac:dyDescent="0.3">
      <c r="D9020" s="40"/>
      <c r="J9020" s="134"/>
    </row>
    <row r="9021" spans="4:10" x14ac:dyDescent="0.3">
      <c r="D9021" s="40"/>
      <c r="J9021" s="134"/>
    </row>
    <row r="9022" spans="4:10" x14ac:dyDescent="0.3">
      <c r="D9022" s="40"/>
      <c r="J9022" s="134"/>
    </row>
    <row r="9023" spans="4:10" x14ac:dyDescent="0.3">
      <c r="D9023" s="40"/>
      <c r="J9023" s="134"/>
    </row>
    <row r="9024" spans="4:10" x14ac:dyDescent="0.3">
      <c r="D9024" s="40"/>
      <c r="J9024" s="134"/>
    </row>
    <row r="9025" spans="4:10" x14ac:dyDescent="0.3">
      <c r="D9025" s="40"/>
      <c r="J9025" s="134"/>
    </row>
    <row r="9026" spans="4:10" x14ac:dyDescent="0.3">
      <c r="D9026" s="40"/>
      <c r="J9026" s="134"/>
    </row>
    <row r="9027" spans="4:10" x14ac:dyDescent="0.3">
      <c r="D9027" s="40"/>
      <c r="J9027" s="134"/>
    </row>
    <row r="9028" spans="4:10" x14ac:dyDescent="0.3">
      <c r="D9028" s="40"/>
      <c r="J9028" s="134"/>
    </row>
    <row r="9029" spans="4:10" x14ac:dyDescent="0.3">
      <c r="D9029" s="40"/>
      <c r="J9029" s="134"/>
    </row>
    <row r="9030" spans="4:10" x14ac:dyDescent="0.3">
      <c r="D9030" s="40"/>
      <c r="J9030" s="134"/>
    </row>
    <row r="9031" spans="4:10" x14ac:dyDescent="0.3">
      <c r="D9031" s="40"/>
      <c r="J9031" s="134"/>
    </row>
    <row r="9032" spans="4:10" x14ac:dyDescent="0.3">
      <c r="D9032" s="40"/>
      <c r="J9032" s="134"/>
    </row>
    <row r="9033" spans="4:10" x14ac:dyDescent="0.3">
      <c r="D9033" s="40"/>
      <c r="J9033" s="134"/>
    </row>
    <row r="9034" spans="4:10" x14ac:dyDescent="0.3">
      <c r="D9034" s="40"/>
      <c r="J9034" s="134"/>
    </row>
    <row r="9035" spans="4:10" x14ac:dyDescent="0.3">
      <c r="D9035" s="40"/>
      <c r="J9035" s="134"/>
    </row>
    <row r="9036" spans="4:10" x14ac:dyDescent="0.3">
      <c r="D9036" s="40"/>
      <c r="J9036" s="134"/>
    </row>
    <row r="9037" spans="4:10" x14ac:dyDescent="0.3">
      <c r="D9037" s="40"/>
      <c r="J9037" s="134"/>
    </row>
    <row r="9038" spans="4:10" x14ac:dyDescent="0.3">
      <c r="D9038" s="40"/>
      <c r="J9038" s="134"/>
    </row>
    <row r="9039" spans="4:10" x14ac:dyDescent="0.3">
      <c r="D9039" s="40"/>
      <c r="J9039" s="134"/>
    </row>
    <row r="9040" spans="4:10" x14ac:dyDescent="0.3">
      <c r="D9040" s="40"/>
      <c r="J9040" s="134"/>
    </row>
    <row r="9041" spans="4:10" x14ac:dyDescent="0.3">
      <c r="D9041" s="40"/>
      <c r="J9041" s="134"/>
    </row>
    <row r="9042" spans="4:10" x14ac:dyDescent="0.3">
      <c r="D9042" s="40"/>
      <c r="J9042" s="134"/>
    </row>
    <row r="9043" spans="4:10" x14ac:dyDescent="0.3">
      <c r="D9043" s="40"/>
      <c r="J9043" s="134"/>
    </row>
    <row r="9044" spans="4:10" x14ac:dyDescent="0.3">
      <c r="D9044" s="40"/>
      <c r="J9044" s="134"/>
    </row>
    <row r="9045" spans="4:10" x14ac:dyDescent="0.3">
      <c r="D9045" s="40"/>
      <c r="J9045" s="134"/>
    </row>
    <row r="9046" spans="4:10" x14ac:dyDescent="0.3">
      <c r="D9046" s="40"/>
      <c r="J9046" s="134"/>
    </row>
    <row r="9047" spans="4:10" x14ac:dyDescent="0.3">
      <c r="D9047" s="40"/>
      <c r="J9047" s="134"/>
    </row>
    <row r="9048" spans="4:10" x14ac:dyDescent="0.3">
      <c r="D9048" s="40"/>
      <c r="J9048" s="134"/>
    </row>
    <row r="9049" spans="4:10" x14ac:dyDescent="0.3">
      <c r="D9049" s="40"/>
      <c r="J9049" s="134"/>
    </row>
    <row r="9050" spans="4:10" x14ac:dyDescent="0.3">
      <c r="D9050" s="40"/>
      <c r="J9050" s="134"/>
    </row>
    <row r="9051" spans="4:10" x14ac:dyDescent="0.3">
      <c r="D9051" s="40"/>
      <c r="J9051" s="134"/>
    </row>
    <row r="9052" spans="4:10" x14ac:dyDescent="0.3">
      <c r="D9052" s="40"/>
      <c r="J9052" s="134"/>
    </row>
    <row r="9053" spans="4:10" x14ac:dyDescent="0.3">
      <c r="D9053" s="40"/>
      <c r="J9053" s="134"/>
    </row>
    <row r="9054" spans="4:10" x14ac:dyDescent="0.3">
      <c r="D9054" s="40"/>
      <c r="J9054" s="134"/>
    </row>
    <row r="9055" spans="4:10" x14ac:dyDescent="0.3">
      <c r="D9055" s="40"/>
      <c r="J9055" s="134"/>
    </row>
    <row r="9056" spans="4:10" x14ac:dyDescent="0.3">
      <c r="D9056" s="40"/>
      <c r="J9056" s="134"/>
    </row>
    <row r="9057" spans="4:10" x14ac:dyDescent="0.3">
      <c r="D9057" s="40"/>
      <c r="J9057" s="134"/>
    </row>
    <row r="9058" spans="4:10" x14ac:dyDescent="0.3">
      <c r="D9058" s="40"/>
      <c r="J9058" s="134"/>
    </row>
    <row r="9059" spans="4:10" x14ac:dyDescent="0.3">
      <c r="D9059" s="40"/>
      <c r="J9059" s="134"/>
    </row>
    <row r="9060" spans="4:10" x14ac:dyDescent="0.3">
      <c r="D9060" s="40"/>
      <c r="J9060" s="134"/>
    </row>
    <row r="9061" spans="4:10" x14ac:dyDescent="0.3">
      <c r="D9061" s="40"/>
      <c r="J9061" s="134"/>
    </row>
    <row r="9062" spans="4:10" x14ac:dyDescent="0.3">
      <c r="D9062" s="40"/>
      <c r="J9062" s="134"/>
    </row>
    <row r="9063" spans="4:10" x14ac:dyDescent="0.3">
      <c r="D9063" s="40"/>
      <c r="J9063" s="134"/>
    </row>
    <row r="9064" spans="4:10" x14ac:dyDescent="0.3">
      <c r="D9064" s="40"/>
      <c r="J9064" s="134"/>
    </row>
    <row r="9065" spans="4:10" x14ac:dyDescent="0.3">
      <c r="D9065" s="40"/>
      <c r="J9065" s="134"/>
    </row>
    <row r="9066" spans="4:10" x14ac:dyDescent="0.3">
      <c r="D9066" s="40"/>
      <c r="J9066" s="134"/>
    </row>
    <row r="9067" spans="4:10" x14ac:dyDescent="0.3">
      <c r="D9067" s="40"/>
      <c r="J9067" s="134"/>
    </row>
    <row r="9068" spans="4:10" x14ac:dyDescent="0.3">
      <c r="D9068" s="40"/>
      <c r="J9068" s="134"/>
    </row>
    <row r="9069" spans="4:10" x14ac:dyDescent="0.3">
      <c r="D9069" s="40"/>
      <c r="J9069" s="134"/>
    </row>
    <row r="9070" spans="4:10" x14ac:dyDescent="0.3">
      <c r="D9070" s="40"/>
      <c r="J9070" s="134"/>
    </row>
    <row r="9071" spans="4:10" x14ac:dyDescent="0.3">
      <c r="D9071" s="40"/>
      <c r="J9071" s="134"/>
    </row>
    <row r="9072" spans="4:10" x14ac:dyDescent="0.3">
      <c r="D9072" s="40"/>
      <c r="J9072" s="134"/>
    </row>
    <row r="9073" spans="4:10" x14ac:dyDescent="0.3">
      <c r="D9073" s="40"/>
      <c r="J9073" s="134"/>
    </row>
    <row r="9074" spans="4:10" x14ac:dyDescent="0.3">
      <c r="D9074" s="40"/>
      <c r="J9074" s="134"/>
    </row>
    <row r="9075" spans="4:10" x14ac:dyDescent="0.3">
      <c r="D9075" s="40"/>
      <c r="J9075" s="134"/>
    </row>
    <row r="9076" spans="4:10" x14ac:dyDescent="0.3">
      <c r="D9076" s="40"/>
      <c r="J9076" s="134"/>
    </row>
    <row r="9077" spans="4:10" x14ac:dyDescent="0.3">
      <c r="D9077" s="40"/>
      <c r="J9077" s="134"/>
    </row>
    <row r="9078" spans="4:10" x14ac:dyDescent="0.3">
      <c r="D9078" s="40"/>
      <c r="J9078" s="134"/>
    </row>
    <row r="9079" spans="4:10" x14ac:dyDescent="0.3">
      <c r="D9079" s="40"/>
      <c r="J9079" s="134"/>
    </row>
    <row r="9080" spans="4:10" x14ac:dyDescent="0.3">
      <c r="D9080" s="40"/>
      <c r="J9080" s="134"/>
    </row>
    <row r="9081" spans="4:10" x14ac:dyDescent="0.3">
      <c r="D9081" s="40"/>
      <c r="J9081" s="134"/>
    </row>
    <row r="9082" spans="4:10" x14ac:dyDescent="0.3">
      <c r="D9082" s="40"/>
      <c r="J9082" s="134"/>
    </row>
    <row r="9083" spans="4:10" x14ac:dyDescent="0.3">
      <c r="D9083" s="40"/>
      <c r="J9083" s="134"/>
    </row>
    <row r="9084" spans="4:10" x14ac:dyDescent="0.3">
      <c r="D9084" s="40"/>
      <c r="J9084" s="134"/>
    </row>
    <row r="9085" spans="4:10" x14ac:dyDescent="0.3">
      <c r="D9085" s="40"/>
      <c r="J9085" s="134"/>
    </row>
    <row r="9086" spans="4:10" x14ac:dyDescent="0.3">
      <c r="D9086" s="40"/>
      <c r="J9086" s="134"/>
    </row>
    <row r="9087" spans="4:10" x14ac:dyDescent="0.3">
      <c r="D9087" s="40"/>
      <c r="J9087" s="134"/>
    </row>
    <row r="9088" spans="4:10" x14ac:dyDescent="0.3">
      <c r="D9088" s="40"/>
      <c r="J9088" s="134"/>
    </row>
    <row r="9089" spans="4:10" x14ac:dyDescent="0.3">
      <c r="D9089" s="40"/>
      <c r="J9089" s="134"/>
    </row>
    <row r="9090" spans="4:10" x14ac:dyDescent="0.3">
      <c r="D9090" s="40"/>
      <c r="J9090" s="134"/>
    </row>
    <row r="9091" spans="4:10" x14ac:dyDescent="0.3">
      <c r="D9091" s="40"/>
      <c r="J9091" s="134"/>
    </row>
    <row r="9092" spans="4:10" x14ac:dyDescent="0.3">
      <c r="D9092" s="40"/>
      <c r="J9092" s="134"/>
    </row>
    <row r="9093" spans="4:10" x14ac:dyDescent="0.3">
      <c r="D9093" s="40"/>
      <c r="J9093" s="134"/>
    </row>
    <row r="9094" spans="4:10" x14ac:dyDescent="0.3">
      <c r="D9094" s="40"/>
      <c r="J9094" s="134"/>
    </row>
    <row r="9095" spans="4:10" x14ac:dyDescent="0.3">
      <c r="D9095" s="40"/>
      <c r="J9095" s="134"/>
    </row>
    <row r="9096" spans="4:10" x14ac:dyDescent="0.3">
      <c r="D9096" s="40"/>
      <c r="J9096" s="134"/>
    </row>
    <row r="9097" spans="4:10" x14ac:dyDescent="0.3">
      <c r="D9097" s="40"/>
      <c r="J9097" s="134"/>
    </row>
    <row r="9098" spans="4:10" x14ac:dyDescent="0.3">
      <c r="D9098" s="40"/>
      <c r="J9098" s="134"/>
    </row>
    <row r="9099" spans="4:10" x14ac:dyDescent="0.3">
      <c r="D9099" s="40"/>
      <c r="J9099" s="134"/>
    </row>
    <row r="9100" spans="4:10" x14ac:dyDescent="0.3">
      <c r="D9100" s="40"/>
      <c r="J9100" s="134"/>
    </row>
    <row r="9101" spans="4:10" x14ac:dyDescent="0.3">
      <c r="D9101" s="40"/>
      <c r="J9101" s="134"/>
    </row>
    <row r="9102" spans="4:10" x14ac:dyDescent="0.3">
      <c r="D9102" s="40"/>
      <c r="J9102" s="134"/>
    </row>
    <row r="9103" spans="4:10" x14ac:dyDescent="0.3">
      <c r="D9103" s="40"/>
      <c r="J9103" s="134"/>
    </row>
    <row r="9104" spans="4:10" x14ac:dyDescent="0.3">
      <c r="D9104" s="40"/>
      <c r="J9104" s="134"/>
    </row>
    <row r="9105" spans="4:10" x14ac:dyDescent="0.3">
      <c r="D9105" s="40"/>
      <c r="J9105" s="134"/>
    </row>
    <row r="9106" spans="4:10" x14ac:dyDescent="0.3">
      <c r="D9106" s="40"/>
      <c r="J9106" s="134"/>
    </row>
    <row r="9107" spans="4:10" x14ac:dyDescent="0.3">
      <c r="D9107" s="40"/>
      <c r="J9107" s="134"/>
    </row>
    <row r="9108" spans="4:10" x14ac:dyDescent="0.3">
      <c r="D9108" s="40"/>
      <c r="J9108" s="134"/>
    </row>
    <row r="9109" spans="4:10" x14ac:dyDescent="0.3">
      <c r="D9109" s="40"/>
      <c r="J9109" s="134"/>
    </row>
    <row r="9110" spans="4:10" x14ac:dyDescent="0.3">
      <c r="D9110" s="40"/>
      <c r="J9110" s="134"/>
    </row>
    <row r="9111" spans="4:10" x14ac:dyDescent="0.3">
      <c r="D9111" s="40"/>
      <c r="J9111" s="134"/>
    </row>
    <row r="9112" spans="4:10" x14ac:dyDescent="0.3">
      <c r="D9112" s="40"/>
      <c r="J9112" s="134"/>
    </row>
    <row r="9113" spans="4:10" x14ac:dyDescent="0.3">
      <c r="D9113" s="40"/>
      <c r="J9113" s="134"/>
    </row>
    <row r="9114" spans="4:10" x14ac:dyDescent="0.3">
      <c r="D9114" s="40"/>
      <c r="J9114" s="134"/>
    </row>
    <row r="9115" spans="4:10" x14ac:dyDescent="0.3">
      <c r="D9115" s="40"/>
      <c r="J9115" s="134"/>
    </row>
    <row r="9116" spans="4:10" x14ac:dyDescent="0.3">
      <c r="D9116" s="40"/>
      <c r="J9116" s="134"/>
    </row>
    <row r="9117" spans="4:10" x14ac:dyDescent="0.3">
      <c r="D9117" s="40"/>
      <c r="J9117" s="134"/>
    </row>
    <row r="9118" spans="4:10" x14ac:dyDescent="0.3">
      <c r="D9118" s="40"/>
      <c r="J9118" s="134"/>
    </row>
    <row r="9119" spans="4:10" x14ac:dyDescent="0.3">
      <c r="D9119" s="40"/>
      <c r="J9119" s="134"/>
    </row>
    <row r="9120" spans="4:10" x14ac:dyDescent="0.3">
      <c r="D9120" s="40"/>
      <c r="J9120" s="134"/>
    </row>
    <row r="9121" spans="4:10" x14ac:dyDescent="0.3">
      <c r="D9121" s="40"/>
      <c r="J9121" s="134"/>
    </row>
    <row r="9122" spans="4:10" x14ac:dyDescent="0.3">
      <c r="D9122" s="40"/>
      <c r="J9122" s="134"/>
    </row>
    <row r="9123" spans="4:10" x14ac:dyDescent="0.3">
      <c r="D9123" s="40"/>
      <c r="J9123" s="134"/>
    </row>
    <row r="9124" spans="4:10" x14ac:dyDescent="0.3">
      <c r="D9124" s="40"/>
      <c r="J9124" s="134"/>
    </row>
    <row r="9125" spans="4:10" x14ac:dyDescent="0.3">
      <c r="D9125" s="40"/>
      <c r="J9125" s="134"/>
    </row>
    <row r="9126" spans="4:10" x14ac:dyDescent="0.3">
      <c r="D9126" s="40"/>
      <c r="J9126" s="134"/>
    </row>
    <row r="9127" spans="4:10" x14ac:dyDescent="0.3">
      <c r="D9127" s="40"/>
      <c r="J9127" s="134"/>
    </row>
    <row r="9128" spans="4:10" x14ac:dyDescent="0.3">
      <c r="D9128" s="40"/>
      <c r="J9128" s="134"/>
    </row>
    <row r="9129" spans="4:10" x14ac:dyDescent="0.3">
      <c r="D9129" s="40"/>
      <c r="J9129" s="134"/>
    </row>
    <row r="9130" spans="4:10" x14ac:dyDescent="0.3">
      <c r="D9130" s="40"/>
      <c r="J9130" s="134"/>
    </row>
    <row r="9131" spans="4:10" x14ac:dyDescent="0.3">
      <c r="D9131" s="40"/>
      <c r="J9131" s="134"/>
    </row>
    <row r="9132" spans="4:10" x14ac:dyDescent="0.3">
      <c r="D9132" s="40"/>
      <c r="J9132" s="134"/>
    </row>
    <row r="9133" spans="4:10" x14ac:dyDescent="0.3">
      <c r="D9133" s="40"/>
      <c r="J9133" s="134"/>
    </row>
    <row r="9134" spans="4:10" x14ac:dyDescent="0.3">
      <c r="D9134" s="40"/>
      <c r="J9134" s="134"/>
    </row>
    <row r="9135" spans="4:10" x14ac:dyDescent="0.3">
      <c r="D9135" s="40"/>
      <c r="J9135" s="134"/>
    </row>
    <row r="9136" spans="4:10" x14ac:dyDescent="0.3">
      <c r="D9136" s="40"/>
      <c r="J9136" s="134"/>
    </row>
    <row r="9137" spans="4:10" x14ac:dyDescent="0.3">
      <c r="D9137" s="40"/>
      <c r="J9137" s="134"/>
    </row>
    <row r="9138" spans="4:10" x14ac:dyDescent="0.3">
      <c r="D9138" s="40"/>
      <c r="J9138" s="134"/>
    </row>
    <row r="9139" spans="4:10" x14ac:dyDescent="0.3">
      <c r="D9139" s="40"/>
      <c r="J9139" s="134"/>
    </row>
    <row r="9140" spans="4:10" x14ac:dyDescent="0.3">
      <c r="D9140" s="40"/>
      <c r="J9140" s="134"/>
    </row>
    <row r="9141" spans="4:10" x14ac:dyDescent="0.3">
      <c r="D9141" s="40"/>
      <c r="J9141" s="134"/>
    </row>
    <row r="9142" spans="4:10" x14ac:dyDescent="0.3">
      <c r="D9142" s="40"/>
      <c r="J9142" s="134"/>
    </row>
    <row r="9143" spans="4:10" x14ac:dyDescent="0.3">
      <c r="D9143" s="40"/>
      <c r="J9143" s="134"/>
    </row>
    <row r="9144" spans="4:10" x14ac:dyDescent="0.3">
      <c r="D9144" s="40"/>
      <c r="J9144" s="134"/>
    </row>
    <row r="9145" spans="4:10" x14ac:dyDescent="0.3">
      <c r="D9145" s="40"/>
      <c r="J9145" s="134"/>
    </row>
    <row r="9146" spans="4:10" x14ac:dyDescent="0.3">
      <c r="D9146" s="40"/>
      <c r="J9146" s="134"/>
    </row>
    <row r="9147" spans="4:10" x14ac:dyDescent="0.3">
      <c r="D9147" s="40"/>
      <c r="J9147" s="134"/>
    </row>
    <row r="9148" spans="4:10" x14ac:dyDescent="0.3">
      <c r="D9148" s="40"/>
      <c r="J9148" s="134"/>
    </row>
    <row r="9149" spans="4:10" x14ac:dyDescent="0.3">
      <c r="D9149" s="40"/>
      <c r="J9149" s="134"/>
    </row>
    <row r="9150" spans="4:10" x14ac:dyDescent="0.3">
      <c r="D9150" s="40"/>
      <c r="J9150" s="134"/>
    </row>
    <row r="9151" spans="4:10" x14ac:dyDescent="0.3">
      <c r="D9151" s="40"/>
      <c r="J9151" s="134"/>
    </row>
    <row r="9152" spans="4:10" x14ac:dyDescent="0.3">
      <c r="D9152" s="40"/>
      <c r="J9152" s="134"/>
    </row>
    <row r="9153" spans="4:10" x14ac:dyDescent="0.3">
      <c r="D9153" s="40"/>
      <c r="J9153" s="134"/>
    </row>
    <row r="9154" spans="4:10" x14ac:dyDescent="0.3">
      <c r="D9154" s="40"/>
      <c r="J9154" s="134"/>
    </row>
    <row r="9155" spans="4:10" x14ac:dyDescent="0.3">
      <c r="D9155" s="40"/>
      <c r="J9155" s="134"/>
    </row>
    <row r="9156" spans="4:10" x14ac:dyDescent="0.3">
      <c r="D9156" s="40"/>
      <c r="J9156" s="134"/>
    </row>
    <row r="9157" spans="4:10" x14ac:dyDescent="0.3">
      <c r="D9157" s="40"/>
      <c r="J9157" s="134"/>
    </row>
    <row r="9158" spans="4:10" x14ac:dyDescent="0.3">
      <c r="D9158" s="40"/>
      <c r="J9158" s="134"/>
    </row>
    <row r="9159" spans="4:10" x14ac:dyDescent="0.3">
      <c r="D9159" s="40"/>
      <c r="J9159" s="134"/>
    </row>
    <row r="9160" spans="4:10" x14ac:dyDescent="0.3">
      <c r="D9160" s="40"/>
      <c r="J9160" s="134"/>
    </row>
    <row r="9161" spans="4:10" x14ac:dyDescent="0.3">
      <c r="D9161" s="40"/>
      <c r="J9161" s="134"/>
    </row>
    <row r="9162" spans="4:10" x14ac:dyDescent="0.3">
      <c r="D9162" s="40"/>
      <c r="J9162" s="134"/>
    </row>
    <row r="9163" spans="4:10" x14ac:dyDescent="0.3">
      <c r="D9163" s="40"/>
      <c r="J9163" s="134"/>
    </row>
    <row r="9164" spans="4:10" x14ac:dyDescent="0.3">
      <c r="D9164" s="40"/>
      <c r="J9164" s="134"/>
    </row>
    <row r="9165" spans="4:10" x14ac:dyDescent="0.3">
      <c r="D9165" s="40"/>
      <c r="J9165" s="134"/>
    </row>
    <row r="9166" spans="4:10" x14ac:dyDescent="0.3">
      <c r="D9166" s="40"/>
      <c r="J9166" s="134"/>
    </row>
    <row r="9167" spans="4:10" x14ac:dyDescent="0.3">
      <c r="D9167" s="40"/>
      <c r="J9167" s="134"/>
    </row>
    <row r="9168" spans="4:10" x14ac:dyDescent="0.3">
      <c r="D9168" s="40"/>
      <c r="J9168" s="134"/>
    </row>
    <row r="9169" spans="4:10" x14ac:dyDescent="0.3">
      <c r="D9169" s="40"/>
      <c r="J9169" s="134"/>
    </row>
    <row r="9170" spans="4:10" x14ac:dyDescent="0.3">
      <c r="D9170" s="40"/>
      <c r="J9170" s="134"/>
    </row>
    <row r="9171" spans="4:10" x14ac:dyDescent="0.3">
      <c r="D9171" s="40"/>
      <c r="J9171" s="134"/>
    </row>
    <row r="9172" spans="4:10" x14ac:dyDescent="0.3">
      <c r="D9172" s="40"/>
      <c r="J9172" s="134"/>
    </row>
    <row r="9173" spans="4:10" x14ac:dyDescent="0.3">
      <c r="D9173" s="40"/>
      <c r="J9173" s="134"/>
    </row>
    <row r="9174" spans="4:10" x14ac:dyDescent="0.3">
      <c r="D9174" s="40"/>
      <c r="J9174" s="134"/>
    </row>
    <row r="9175" spans="4:10" x14ac:dyDescent="0.3">
      <c r="D9175" s="40"/>
      <c r="J9175" s="134"/>
    </row>
    <row r="9176" spans="4:10" x14ac:dyDescent="0.3">
      <c r="D9176" s="40"/>
      <c r="J9176" s="134"/>
    </row>
    <row r="9177" spans="4:10" x14ac:dyDescent="0.3">
      <c r="D9177" s="40"/>
      <c r="J9177" s="134"/>
    </row>
    <row r="9178" spans="4:10" x14ac:dyDescent="0.3">
      <c r="D9178" s="40"/>
      <c r="J9178" s="134"/>
    </row>
    <row r="9179" spans="4:10" x14ac:dyDescent="0.3">
      <c r="D9179" s="40"/>
      <c r="J9179" s="134"/>
    </row>
    <row r="9180" spans="4:10" x14ac:dyDescent="0.3">
      <c r="D9180" s="40"/>
      <c r="J9180" s="134"/>
    </row>
    <row r="9181" spans="4:10" x14ac:dyDescent="0.3">
      <c r="D9181" s="40"/>
      <c r="J9181" s="134"/>
    </row>
    <row r="9182" spans="4:10" x14ac:dyDescent="0.3">
      <c r="D9182" s="40"/>
      <c r="J9182" s="134"/>
    </row>
    <row r="9183" spans="4:10" x14ac:dyDescent="0.3">
      <c r="D9183" s="40"/>
      <c r="J9183" s="134"/>
    </row>
    <row r="9184" spans="4:10" x14ac:dyDescent="0.3">
      <c r="D9184" s="40"/>
      <c r="J9184" s="134"/>
    </row>
    <row r="9185" spans="4:10" x14ac:dyDescent="0.3">
      <c r="D9185" s="40"/>
      <c r="J9185" s="134"/>
    </row>
    <row r="9186" spans="4:10" x14ac:dyDescent="0.3">
      <c r="D9186" s="40"/>
      <c r="J9186" s="134"/>
    </row>
    <row r="9187" spans="4:10" x14ac:dyDescent="0.3">
      <c r="D9187" s="40"/>
      <c r="J9187" s="134"/>
    </row>
    <row r="9188" spans="4:10" x14ac:dyDescent="0.3">
      <c r="D9188" s="40"/>
      <c r="J9188" s="134"/>
    </row>
    <row r="9189" spans="4:10" x14ac:dyDescent="0.3">
      <c r="D9189" s="40"/>
      <c r="J9189" s="134"/>
    </row>
    <row r="9190" spans="4:10" x14ac:dyDescent="0.3">
      <c r="D9190" s="40"/>
      <c r="J9190" s="134"/>
    </row>
    <row r="9191" spans="4:10" x14ac:dyDescent="0.3">
      <c r="D9191" s="40"/>
      <c r="J9191" s="134"/>
    </row>
    <row r="9192" spans="4:10" x14ac:dyDescent="0.3">
      <c r="D9192" s="40"/>
      <c r="J9192" s="134"/>
    </row>
    <row r="9193" spans="4:10" x14ac:dyDescent="0.3">
      <c r="D9193" s="40"/>
      <c r="J9193" s="134"/>
    </row>
    <row r="9194" spans="4:10" x14ac:dyDescent="0.3">
      <c r="D9194" s="40"/>
      <c r="J9194" s="134"/>
    </row>
    <row r="9195" spans="4:10" x14ac:dyDescent="0.3">
      <c r="D9195" s="40"/>
      <c r="J9195" s="134"/>
    </row>
    <row r="9196" spans="4:10" x14ac:dyDescent="0.3">
      <c r="D9196" s="40"/>
      <c r="J9196" s="134"/>
    </row>
    <row r="9197" spans="4:10" x14ac:dyDescent="0.3">
      <c r="D9197" s="40"/>
      <c r="J9197" s="134"/>
    </row>
    <row r="9198" spans="4:10" x14ac:dyDescent="0.3">
      <c r="D9198" s="40"/>
      <c r="J9198" s="134"/>
    </row>
    <row r="9199" spans="4:10" x14ac:dyDescent="0.3">
      <c r="D9199" s="40"/>
      <c r="J9199" s="134"/>
    </row>
    <row r="9200" spans="4:10" x14ac:dyDescent="0.3">
      <c r="D9200" s="40"/>
      <c r="J9200" s="134"/>
    </row>
    <row r="9201" spans="4:10" x14ac:dyDescent="0.3">
      <c r="D9201" s="40"/>
      <c r="J9201" s="134"/>
    </row>
    <row r="9202" spans="4:10" x14ac:dyDescent="0.3">
      <c r="D9202" s="40"/>
      <c r="J9202" s="134"/>
    </row>
    <row r="9203" spans="4:10" x14ac:dyDescent="0.3">
      <c r="D9203" s="40"/>
      <c r="J9203" s="134"/>
    </row>
    <row r="9204" spans="4:10" x14ac:dyDescent="0.3">
      <c r="D9204" s="40"/>
      <c r="J9204" s="134"/>
    </row>
    <row r="9205" spans="4:10" x14ac:dyDescent="0.3">
      <c r="D9205" s="40"/>
      <c r="J9205" s="134"/>
    </row>
    <row r="9206" spans="4:10" x14ac:dyDescent="0.3">
      <c r="D9206" s="40"/>
      <c r="J9206" s="134"/>
    </row>
    <row r="9207" spans="4:10" x14ac:dyDescent="0.3">
      <c r="D9207" s="40"/>
      <c r="J9207" s="134"/>
    </row>
    <row r="9208" spans="4:10" x14ac:dyDescent="0.3">
      <c r="D9208" s="40"/>
      <c r="J9208" s="134"/>
    </row>
    <row r="9209" spans="4:10" x14ac:dyDescent="0.3">
      <c r="D9209" s="40"/>
      <c r="J9209" s="134"/>
    </row>
    <row r="9210" spans="4:10" x14ac:dyDescent="0.3">
      <c r="D9210" s="40"/>
      <c r="J9210" s="134"/>
    </row>
    <row r="9211" spans="4:10" x14ac:dyDescent="0.3">
      <c r="D9211" s="40"/>
      <c r="J9211" s="134"/>
    </row>
    <row r="9212" spans="4:10" x14ac:dyDescent="0.3">
      <c r="D9212" s="40"/>
      <c r="J9212" s="134"/>
    </row>
    <row r="9213" spans="4:10" x14ac:dyDescent="0.3">
      <c r="D9213" s="40"/>
      <c r="J9213" s="134"/>
    </row>
    <row r="9214" spans="4:10" x14ac:dyDescent="0.3">
      <c r="D9214" s="40"/>
      <c r="J9214" s="134"/>
    </row>
    <row r="9215" spans="4:10" x14ac:dyDescent="0.3">
      <c r="D9215" s="40"/>
      <c r="J9215" s="134"/>
    </row>
    <row r="9216" spans="4:10" x14ac:dyDescent="0.3">
      <c r="D9216" s="40"/>
      <c r="J9216" s="134"/>
    </row>
    <row r="9217" spans="4:10" x14ac:dyDescent="0.3">
      <c r="D9217" s="40"/>
      <c r="J9217" s="134"/>
    </row>
    <row r="9218" spans="4:10" x14ac:dyDescent="0.3">
      <c r="D9218" s="40"/>
      <c r="J9218" s="134"/>
    </row>
    <row r="9219" spans="4:10" x14ac:dyDescent="0.3">
      <c r="D9219" s="40"/>
      <c r="J9219" s="134"/>
    </row>
    <row r="9220" spans="4:10" x14ac:dyDescent="0.3">
      <c r="D9220" s="40"/>
      <c r="J9220" s="134"/>
    </row>
    <row r="9221" spans="4:10" x14ac:dyDescent="0.3">
      <c r="D9221" s="40"/>
      <c r="J9221" s="134"/>
    </row>
    <row r="9222" spans="4:10" x14ac:dyDescent="0.3">
      <c r="D9222" s="40"/>
      <c r="J9222" s="134"/>
    </row>
    <row r="9223" spans="4:10" x14ac:dyDescent="0.3">
      <c r="D9223" s="40"/>
      <c r="J9223" s="134"/>
    </row>
    <row r="9224" spans="4:10" x14ac:dyDescent="0.3">
      <c r="D9224" s="40"/>
      <c r="J9224" s="134"/>
    </row>
    <row r="9225" spans="4:10" x14ac:dyDescent="0.3">
      <c r="D9225" s="40"/>
      <c r="J9225" s="134"/>
    </row>
    <row r="9226" spans="4:10" x14ac:dyDescent="0.3">
      <c r="D9226" s="40"/>
      <c r="J9226" s="134"/>
    </row>
    <row r="9227" spans="4:10" x14ac:dyDescent="0.3">
      <c r="D9227" s="40"/>
      <c r="J9227" s="134"/>
    </row>
    <row r="9228" spans="4:10" x14ac:dyDescent="0.3">
      <c r="D9228" s="40"/>
      <c r="J9228" s="134"/>
    </row>
    <row r="9229" spans="4:10" x14ac:dyDescent="0.3">
      <c r="D9229" s="40"/>
      <c r="J9229" s="134"/>
    </row>
    <row r="9230" spans="4:10" x14ac:dyDescent="0.3">
      <c r="D9230" s="40"/>
      <c r="J9230" s="134"/>
    </row>
    <row r="9231" spans="4:10" x14ac:dyDescent="0.3">
      <c r="D9231" s="40"/>
      <c r="J9231" s="134"/>
    </row>
    <row r="9232" spans="4:10" x14ac:dyDescent="0.3">
      <c r="D9232" s="40"/>
      <c r="J9232" s="134"/>
    </row>
    <row r="9233" spans="4:10" x14ac:dyDescent="0.3">
      <c r="D9233" s="40"/>
      <c r="J9233" s="134"/>
    </row>
    <row r="9234" spans="4:10" x14ac:dyDescent="0.3">
      <c r="D9234" s="40"/>
      <c r="J9234" s="134"/>
    </row>
    <row r="9235" spans="4:10" x14ac:dyDescent="0.3">
      <c r="D9235" s="40"/>
      <c r="J9235" s="134"/>
    </row>
    <row r="9236" spans="4:10" x14ac:dyDescent="0.3">
      <c r="D9236" s="40"/>
      <c r="J9236" s="134"/>
    </row>
    <row r="9237" spans="4:10" x14ac:dyDescent="0.3">
      <c r="D9237" s="40"/>
      <c r="J9237" s="134"/>
    </row>
    <row r="9238" spans="4:10" x14ac:dyDescent="0.3">
      <c r="D9238" s="40"/>
      <c r="J9238" s="134"/>
    </row>
    <row r="9239" spans="4:10" x14ac:dyDescent="0.3">
      <c r="D9239" s="40"/>
      <c r="J9239" s="134"/>
    </row>
    <row r="9240" spans="4:10" x14ac:dyDescent="0.3">
      <c r="D9240" s="40"/>
      <c r="J9240" s="134"/>
    </row>
    <row r="9241" spans="4:10" x14ac:dyDescent="0.3">
      <c r="D9241" s="40"/>
      <c r="J9241" s="134"/>
    </row>
    <row r="9242" spans="4:10" x14ac:dyDescent="0.3">
      <c r="D9242" s="40"/>
      <c r="J9242" s="134"/>
    </row>
    <row r="9243" spans="4:10" x14ac:dyDescent="0.3">
      <c r="D9243" s="40"/>
      <c r="J9243" s="134"/>
    </row>
    <row r="9244" spans="4:10" x14ac:dyDescent="0.3">
      <c r="D9244" s="40"/>
      <c r="J9244" s="134"/>
    </row>
    <row r="9245" spans="4:10" x14ac:dyDescent="0.3">
      <c r="D9245" s="40"/>
      <c r="J9245" s="134"/>
    </row>
    <row r="9246" spans="4:10" x14ac:dyDescent="0.3">
      <c r="D9246" s="40"/>
      <c r="J9246" s="134"/>
    </row>
    <row r="9247" spans="4:10" x14ac:dyDescent="0.3">
      <c r="D9247" s="40"/>
      <c r="J9247" s="134"/>
    </row>
    <row r="9248" spans="4:10" x14ac:dyDescent="0.3">
      <c r="D9248" s="40"/>
      <c r="J9248" s="134"/>
    </row>
    <row r="9249" spans="4:10" x14ac:dyDescent="0.3">
      <c r="D9249" s="40"/>
      <c r="J9249" s="134"/>
    </row>
    <row r="9250" spans="4:10" x14ac:dyDescent="0.3">
      <c r="D9250" s="40"/>
      <c r="J9250" s="134"/>
    </row>
    <row r="9251" spans="4:10" x14ac:dyDescent="0.3">
      <c r="D9251" s="40"/>
      <c r="J9251" s="134"/>
    </row>
    <row r="9252" spans="4:10" x14ac:dyDescent="0.3">
      <c r="D9252" s="40"/>
      <c r="J9252" s="134"/>
    </row>
    <row r="9253" spans="4:10" x14ac:dyDescent="0.3">
      <c r="D9253" s="40"/>
      <c r="J9253" s="134"/>
    </row>
    <row r="9254" spans="4:10" x14ac:dyDescent="0.3">
      <c r="D9254" s="40"/>
      <c r="J9254" s="134"/>
    </row>
    <row r="9255" spans="4:10" x14ac:dyDescent="0.3">
      <c r="D9255" s="40"/>
      <c r="J9255" s="134"/>
    </row>
    <row r="9256" spans="4:10" x14ac:dyDescent="0.3">
      <c r="D9256" s="40"/>
      <c r="J9256" s="134"/>
    </row>
    <row r="9257" spans="4:10" x14ac:dyDescent="0.3">
      <c r="D9257" s="40"/>
      <c r="J9257" s="134"/>
    </row>
    <row r="9258" spans="4:10" x14ac:dyDescent="0.3">
      <c r="D9258" s="40"/>
      <c r="J9258" s="134"/>
    </row>
    <row r="9259" spans="4:10" x14ac:dyDescent="0.3">
      <c r="D9259" s="40"/>
      <c r="J9259" s="134"/>
    </row>
    <row r="9260" spans="4:10" x14ac:dyDescent="0.3">
      <c r="D9260" s="40"/>
      <c r="J9260" s="134"/>
    </row>
    <row r="9261" spans="4:10" x14ac:dyDescent="0.3">
      <c r="D9261" s="40"/>
      <c r="J9261" s="134"/>
    </row>
    <row r="9262" spans="4:10" x14ac:dyDescent="0.3">
      <c r="D9262" s="40"/>
      <c r="J9262" s="134"/>
    </row>
    <row r="9263" spans="4:10" x14ac:dyDescent="0.3">
      <c r="D9263" s="40"/>
      <c r="J9263" s="134"/>
    </row>
    <row r="9264" spans="4:10" x14ac:dyDescent="0.3">
      <c r="D9264" s="40"/>
      <c r="J9264" s="134"/>
    </row>
    <row r="9265" spans="4:10" x14ac:dyDescent="0.3">
      <c r="D9265" s="40"/>
      <c r="J9265" s="134"/>
    </row>
    <row r="9266" spans="4:10" x14ac:dyDescent="0.3">
      <c r="D9266" s="40"/>
      <c r="J9266" s="134"/>
    </row>
    <row r="9267" spans="4:10" x14ac:dyDescent="0.3">
      <c r="D9267" s="40"/>
      <c r="J9267" s="134"/>
    </row>
    <row r="9268" spans="4:10" x14ac:dyDescent="0.3">
      <c r="D9268" s="40"/>
      <c r="J9268" s="134"/>
    </row>
    <row r="9269" spans="4:10" x14ac:dyDescent="0.3">
      <c r="D9269" s="40"/>
      <c r="J9269" s="134"/>
    </row>
    <row r="9270" spans="4:10" x14ac:dyDescent="0.3">
      <c r="D9270" s="40"/>
      <c r="J9270" s="134"/>
    </row>
    <row r="9271" spans="4:10" x14ac:dyDescent="0.3">
      <c r="D9271" s="40"/>
      <c r="J9271" s="134"/>
    </row>
    <row r="9272" spans="4:10" x14ac:dyDescent="0.3">
      <c r="D9272" s="40"/>
      <c r="J9272" s="134"/>
    </row>
    <row r="9273" spans="4:10" x14ac:dyDescent="0.3">
      <c r="D9273" s="40"/>
      <c r="J9273" s="134"/>
    </row>
    <row r="9274" spans="4:10" x14ac:dyDescent="0.3">
      <c r="D9274" s="40"/>
      <c r="J9274" s="134"/>
    </row>
    <row r="9275" spans="4:10" x14ac:dyDescent="0.3">
      <c r="D9275" s="40"/>
      <c r="J9275" s="134"/>
    </row>
    <row r="9276" spans="4:10" x14ac:dyDescent="0.3">
      <c r="D9276" s="40"/>
      <c r="J9276" s="134"/>
    </row>
    <row r="9277" spans="4:10" x14ac:dyDescent="0.3">
      <c r="D9277" s="40"/>
      <c r="J9277" s="134"/>
    </row>
    <row r="9278" spans="4:10" x14ac:dyDescent="0.3">
      <c r="D9278" s="40"/>
      <c r="J9278" s="134"/>
    </row>
    <row r="9279" spans="4:10" x14ac:dyDescent="0.3">
      <c r="D9279" s="40"/>
      <c r="J9279" s="134"/>
    </row>
    <row r="9280" spans="4:10" x14ac:dyDescent="0.3">
      <c r="D9280" s="40"/>
      <c r="J9280" s="134"/>
    </row>
    <row r="9281" spans="4:10" x14ac:dyDescent="0.3">
      <c r="D9281" s="40"/>
      <c r="J9281" s="134"/>
    </row>
    <row r="9282" spans="4:10" x14ac:dyDescent="0.3">
      <c r="D9282" s="40"/>
      <c r="J9282" s="134"/>
    </row>
    <row r="9283" spans="4:10" x14ac:dyDescent="0.3">
      <c r="D9283" s="40"/>
      <c r="J9283" s="134"/>
    </row>
    <row r="9284" spans="4:10" x14ac:dyDescent="0.3">
      <c r="D9284" s="40"/>
      <c r="J9284" s="134"/>
    </row>
    <row r="9285" spans="4:10" x14ac:dyDescent="0.3">
      <c r="D9285" s="40"/>
      <c r="J9285" s="134"/>
    </row>
    <row r="9286" spans="4:10" x14ac:dyDescent="0.3">
      <c r="D9286" s="40"/>
      <c r="J9286" s="134"/>
    </row>
    <row r="9287" spans="4:10" x14ac:dyDescent="0.3">
      <c r="D9287" s="40"/>
      <c r="J9287" s="134"/>
    </row>
    <row r="9288" spans="4:10" x14ac:dyDescent="0.3">
      <c r="D9288" s="40"/>
      <c r="J9288" s="134"/>
    </row>
    <row r="9289" spans="4:10" x14ac:dyDescent="0.3">
      <c r="D9289" s="40"/>
      <c r="J9289" s="134"/>
    </row>
    <row r="9290" spans="4:10" x14ac:dyDescent="0.3">
      <c r="D9290" s="40"/>
      <c r="J9290" s="134"/>
    </row>
    <row r="9291" spans="4:10" x14ac:dyDescent="0.3">
      <c r="D9291" s="40"/>
      <c r="J9291" s="134"/>
    </row>
    <row r="9292" spans="4:10" x14ac:dyDescent="0.3">
      <c r="D9292" s="40"/>
      <c r="J9292" s="134"/>
    </row>
    <row r="9293" spans="4:10" x14ac:dyDescent="0.3">
      <c r="D9293" s="40"/>
      <c r="J9293" s="134"/>
    </row>
    <row r="9294" spans="4:10" x14ac:dyDescent="0.3">
      <c r="D9294" s="40"/>
      <c r="J9294" s="134"/>
    </row>
    <row r="9295" spans="4:10" x14ac:dyDescent="0.3">
      <c r="D9295" s="40"/>
      <c r="J9295" s="134"/>
    </row>
    <row r="9296" spans="4:10" x14ac:dyDescent="0.3">
      <c r="D9296" s="40"/>
      <c r="J9296" s="134"/>
    </row>
    <row r="9297" spans="4:10" x14ac:dyDescent="0.3">
      <c r="D9297" s="40"/>
      <c r="J9297" s="134"/>
    </row>
    <row r="9298" spans="4:10" x14ac:dyDescent="0.3">
      <c r="D9298" s="40"/>
      <c r="J9298" s="134"/>
    </row>
    <row r="9299" spans="4:10" x14ac:dyDescent="0.3">
      <c r="D9299" s="40"/>
      <c r="J9299" s="134"/>
    </row>
    <row r="9300" spans="4:10" x14ac:dyDescent="0.3">
      <c r="D9300" s="40"/>
      <c r="J9300" s="134"/>
    </row>
    <row r="9301" spans="4:10" x14ac:dyDescent="0.3">
      <c r="D9301" s="40"/>
      <c r="J9301" s="134"/>
    </row>
    <row r="9302" spans="4:10" x14ac:dyDescent="0.3">
      <c r="D9302" s="40"/>
      <c r="J9302" s="134"/>
    </row>
    <row r="9303" spans="4:10" x14ac:dyDescent="0.3">
      <c r="D9303" s="40"/>
      <c r="J9303" s="134"/>
    </row>
    <row r="9304" spans="4:10" x14ac:dyDescent="0.3">
      <c r="D9304" s="40"/>
      <c r="J9304" s="134"/>
    </row>
    <row r="9305" spans="4:10" x14ac:dyDescent="0.3">
      <c r="D9305" s="40"/>
      <c r="J9305" s="134"/>
    </row>
    <row r="9306" spans="4:10" x14ac:dyDescent="0.3">
      <c r="D9306" s="40"/>
      <c r="J9306" s="134"/>
    </row>
    <row r="9307" spans="4:10" x14ac:dyDescent="0.3">
      <c r="D9307" s="40"/>
      <c r="J9307" s="134"/>
    </row>
    <row r="9308" spans="4:10" x14ac:dyDescent="0.3">
      <c r="D9308" s="40"/>
      <c r="J9308" s="134"/>
    </row>
    <row r="9309" spans="4:10" x14ac:dyDescent="0.3">
      <c r="D9309" s="40"/>
      <c r="J9309" s="134"/>
    </row>
    <row r="9310" spans="4:10" x14ac:dyDescent="0.3">
      <c r="D9310" s="40"/>
      <c r="J9310" s="134"/>
    </row>
    <row r="9311" spans="4:10" x14ac:dyDescent="0.3">
      <c r="D9311" s="40"/>
      <c r="J9311" s="134"/>
    </row>
    <row r="9312" spans="4:10" x14ac:dyDescent="0.3">
      <c r="D9312" s="40"/>
      <c r="J9312" s="134"/>
    </row>
    <row r="9313" spans="4:10" x14ac:dyDescent="0.3">
      <c r="D9313" s="40"/>
      <c r="J9313" s="134"/>
    </row>
    <row r="9314" spans="4:10" x14ac:dyDescent="0.3">
      <c r="D9314" s="40"/>
      <c r="J9314" s="134"/>
    </row>
    <row r="9315" spans="4:10" x14ac:dyDescent="0.3">
      <c r="D9315" s="40"/>
      <c r="J9315" s="134"/>
    </row>
    <row r="9316" spans="4:10" x14ac:dyDescent="0.3">
      <c r="D9316" s="40"/>
      <c r="J9316" s="134"/>
    </row>
    <row r="9317" spans="4:10" x14ac:dyDescent="0.3">
      <c r="D9317" s="40"/>
      <c r="J9317" s="134"/>
    </row>
    <row r="9318" spans="4:10" x14ac:dyDescent="0.3">
      <c r="D9318" s="40"/>
      <c r="J9318" s="134"/>
    </row>
    <row r="9319" spans="4:10" x14ac:dyDescent="0.3">
      <c r="D9319" s="40"/>
      <c r="J9319" s="134"/>
    </row>
    <row r="9320" spans="4:10" x14ac:dyDescent="0.3">
      <c r="D9320" s="40"/>
      <c r="J9320" s="134"/>
    </row>
    <row r="9321" spans="4:10" x14ac:dyDescent="0.3">
      <c r="D9321" s="40"/>
      <c r="J9321" s="134"/>
    </row>
    <row r="9322" spans="4:10" x14ac:dyDescent="0.3">
      <c r="D9322" s="40"/>
      <c r="J9322" s="134"/>
    </row>
    <row r="9323" spans="4:10" x14ac:dyDescent="0.3">
      <c r="D9323" s="40"/>
      <c r="J9323" s="134"/>
    </row>
    <row r="9324" spans="4:10" x14ac:dyDescent="0.3">
      <c r="D9324" s="40"/>
      <c r="J9324" s="134"/>
    </row>
    <row r="9325" spans="4:10" x14ac:dyDescent="0.3">
      <c r="D9325" s="40"/>
      <c r="J9325" s="134"/>
    </row>
    <row r="9326" spans="4:10" x14ac:dyDescent="0.3">
      <c r="D9326" s="40"/>
      <c r="J9326" s="134"/>
    </row>
    <row r="9327" spans="4:10" x14ac:dyDescent="0.3">
      <c r="D9327" s="40"/>
      <c r="J9327" s="134"/>
    </row>
    <row r="9328" spans="4:10" x14ac:dyDescent="0.3">
      <c r="D9328" s="40"/>
      <c r="J9328" s="134"/>
    </row>
    <row r="9329" spans="4:10" x14ac:dyDescent="0.3">
      <c r="D9329" s="40"/>
      <c r="J9329" s="134"/>
    </row>
    <row r="9330" spans="4:10" x14ac:dyDescent="0.3">
      <c r="D9330" s="40"/>
      <c r="J9330" s="134"/>
    </row>
    <row r="9331" spans="4:10" x14ac:dyDescent="0.3">
      <c r="D9331" s="40"/>
      <c r="J9331" s="134"/>
    </row>
    <row r="9332" spans="4:10" x14ac:dyDescent="0.3">
      <c r="D9332" s="40"/>
      <c r="J9332" s="134"/>
    </row>
    <row r="9333" spans="4:10" x14ac:dyDescent="0.3">
      <c r="D9333" s="40"/>
      <c r="J9333" s="134"/>
    </row>
    <row r="9334" spans="4:10" x14ac:dyDescent="0.3">
      <c r="D9334" s="40"/>
      <c r="J9334" s="134"/>
    </row>
    <row r="9335" spans="4:10" x14ac:dyDescent="0.3">
      <c r="D9335" s="40"/>
      <c r="J9335" s="134"/>
    </row>
    <row r="9336" spans="4:10" x14ac:dyDescent="0.3">
      <c r="D9336" s="40"/>
      <c r="J9336" s="134"/>
    </row>
    <row r="9337" spans="4:10" x14ac:dyDescent="0.3">
      <c r="D9337" s="40"/>
      <c r="J9337" s="134"/>
    </row>
    <row r="9338" spans="4:10" x14ac:dyDescent="0.3">
      <c r="D9338" s="40"/>
      <c r="J9338" s="134"/>
    </row>
    <row r="9339" spans="4:10" x14ac:dyDescent="0.3">
      <c r="D9339" s="40"/>
      <c r="J9339" s="134"/>
    </row>
    <row r="9340" spans="4:10" x14ac:dyDescent="0.3">
      <c r="D9340" s="40"/>
      <c r="J9340" s="134"/>
    </row>
    <row r="9341" spans="4:10" x14ac:dyDescent="0.3">
      <c r="D9341" s="40"/>
      <c r="J9341" s="134"/>
    </row>
    <row r="9342" spans="4:10" x14ac:dyDescent="0.3">
      <c r="D9342" s="40"/>
      <c r="J9342" s="134"/>
    </row>
    <row r="9343" spans="4:10" x14ac:dyDescent="0.3">
      <c r="D9343" s="40"/>
      <c r="J9343" s="134"/>
    </row>
    <row r="9344" spans="4:10" x14ac:dyDescent="0.3">
      <c r="D9344" s="40"/>
      <c r="J9344" s="134"/>
    </row>
    <row r="9345" spans="4:10" x14ac:dyDescent="0.3">
      <c r="D9345" s="40"/>
      <c r="J9345" s="134"/>
    </row>
    <row r="9346" spans="4:10" x14ac:dyDescent="0.3">
      <c r="D9346" s="40"/>
      <c r="J9346" s="134"/>
    </row>
    <row r="9347" spans="4:10" x14ac:dyDescent="0.3">
      <c r="D9347" s="40"/>
      <c r="J9347" s="134"/>
    </row>
    <row r="9348" spans="4:10" x14ac:dyDescent="0.3">
      <c r="D9348" s="40"/>
      <c r="J9348" s="134"/>
    </row>
    <row r="9349" spans="4:10" x14ac:dyDescent="0.3">
      <c r="D9349" s="40"/>
      <c r="J9349" s="134"/>
    </row>
    <row r="9350" spans="4:10" x14ac:dyDescent="0.3">
      <c r="D9350" s="40"/>
      <c r="J9350" s="134"/>
    </row>
    <row r="9351" spans="4:10" x14ac:dyDescent="0.3">
      <c r="D9351" s="40"/>
      <c r="J9351" s="134"/>
    </row>
    <row r="9352" spans="4:10" x14ac:dyDescent="0.3">
      <c r="D9352" s="40"/>
      <c r="J9352" s="134"/>
    </row>
    <row r="9353" spans="4:10" x14ac:dyDescent="0.3">
      <c r="D9353" s="40"/>
      <c r="J9353" s="134"/>
    </row>
    <row r="9354" spans="4:10" x14ac:dyDescent="0.3">
      <c r="D9354" s="40"/>
      <c r="J9354" s="134"/>
    </row>
    <row r="9355" spans="4:10" x14ac:dyDescent="0.3">
      <c r="D9355" s="40"/>
      <c r="J9355" s="134"/>
    </row>
    <row r="9356" spans="4:10" x14ac:dyDescent="0.3">
      <c r="D9356" s="40"/>
      <c r="J9356" s="134"/>
    </row>
    <row r="9357" spans="4:10" x14ac:dyDescent="0.3">
      <c r="D9357" s="40"/>
      <c r="J9357" s="134"/>
    </row>
    <row r="9358" spans="4:10" x14ac:dyDescent="0.3">
      <c r="D9358" s="40"/>
      <c r="J9358" s="134"/>
    </row>
    <row r="9359" spans="4:10" x14ac:dyDescent="0.3">
      <c r="D9359" s="40"/>
      <c r="J9359" s="134"/>
    </row>
    <row r="9360" spans="4:10" x14ac:dyDescent="0.3">
      <c r="D9360" s="40"/>
      <c r="J9360" s="134"/>
    </row>
    <row r="9361" spans="4:10" x14ac:dyDescent="0.3">
      <c r="D9361" s="40"/>
      <c r="J9361" s="134"/>
    </row>
    <row r="9362" spans="4:10" x14ac:dyDescent="0.3">
      <c r="D9362" s="40"/>
      <c r="J9362" s="134"/>
    </row>
    <row r="9363" spans="4:10" x14ac:dyDescent="0.3">
      <c r="D9363" s="40"/>
      <c r="J9363" s="134"/>
    </row>
    <row r="9364" spans="4:10" x14ac:dyDescent="0.3">
      <c r="D9364" s="40"/>
      <c r="J9364" s="134"/>
    </row>
    <row r="9365" spans="4:10" x14ac:dyDescent="0.3">
      <c r="D9365" s="40"/>
      <c r="J9365" s="134"/>
    </row>
    <row r="9366" spans="4:10" x14ac:dyDescent="0.3">
      <c r="D9366" s="40"/>
      <c r="J9366" s="134"/>
    </row>
    <row r="9367" spans="4:10" x14ac:dyDescent="0.3">
      <c r="D9367" s="40"/>
      <c r="J9367" s="134"/>
    </row>
    <row r="9368" spans="4:10" x14ac:dyDescent="0.3">
      <c r="D9368" s="40"/>
      <c r="J9368" s="134"/>
    </row>
    <row r="9369" spans="4:10" x14ac:dyDescent="0.3">
      <c r="D9369" s="40"/>
      <c r="J9369" s="134"/>
    </row>
    <row r="9370" spans="4:10" x14ac:dyDescent="0.3">
      <c r="D9370" s="40"/>
      <c r="J9370" s="134"/>
    </row>
    <row r="9371" spans="4:10" x14ac:dyDescent="0.3">
      <c r="D9371" s="40"/>
      <c r="J9371" s="134"/>
    </row>
    <row r="9372" spans="4:10" x14ac:dyDescent="0.3">
      <c r="D9372" s="40"/>
      <c r="J9372" s="134"/>
    </row>
    <row r="9373" spans="4:10" x14ac:dyDescent="0.3">
      <c r="D9373" s="40"/>
      <c r="J9373" s="134"/>
    </row>
    <row r="9374" spans="4:10" x14ac:dyDescent="0.3">
      <c r="D9374" s="40"/>
      <c r="J9374" s="134"/>
    </row>
    <row r="9375" spans="4:10" x14ac:dyDescent="0.3">
      <c r="D9375" s="40"/>
      <c r="J9375" s="134"/>
    </row>
    <row r="9376" spans="4:10" x14ac:dyDescent="0.3">
      <c r="D9376" s="40"/>
      <c r="J9376" s="134"/>
    </row>
    <row r="9377" spans="4:10" x14ac:dyDescent="0.3">
      <c r="D9377" s="40"/>
      <c r="J9377" s="134"/>
    </row>
    <row r="9378" spans="4:10" x14ac:dyDescent="0.3">
      <c r="D9378" s="40"/>
      <c r="J9378" s="134"/>
    </row>
    <row r="9379" spans="4:10" x14ac:dyDescent="0.3">
      <c r="D9379" s="40"/>
      <c r="J9379" s="134"/>
    </row>
    <row r="9380" spans="4:10" x14ac:dyDescent="0.3">
      <c r="D9380" s="40"/>
      <c r="J9380" s="134"/>
    </row>
    <row r="9381" spans="4:10" x14ac:dyDescent="0.3">
      <c r="D9381" s="40"/>
      <c r="J9381" s="134"/>
    </row>
    <row r="9382" spans="4:10" x14ac:dyDescent="0.3">
      <c r="D9382" s="40"/>
      <c r="J9382" s="134"/>
    </row>
    <row r="9383" spans="4:10" x14ac:dyDescent="0.3">
      <c r="D9383" s="40"/>
      <c r="J9383" s="134"/>
    </row>
    <row r="9384" spans="4:10" x14ac:dyDescent="0.3">
      <c r="D9384" s="40"/>
      <c r="J9384" s="134"/>
    </row>
    <row r="9385" spans="4:10" x14ac:dyDescent="0.3">
      <c r="D9385" s="40"/>
      <c r="J9385" s="134"/>
    </row>
    <row r="9386" spans="4:10" x14ac:dyDescent="0.3">
      <c r="D9386" s="40"/>
      <c r="J9386" s="134"/>
    </row>
    <row r="9387" spans="4:10" x14ac:dyDescent="0.3">
      <c r="D9387" s="40"/>
      <c r="J9387" s="134"/>
    </row>
    <row r="9388" spans="4:10" x14ac:dyDescent="0.3">
      <c r="D9388" s="40"/>
      <c r="J9388" s="134"/>
    </row>
    <row r="9389" spans="4:10" x14ac:dyDescent="0.3">
      <c r="D9389" s="40"/>
      <c r="J9389" s="134"/>
    </row>
    <row r="9390" spans="4:10" x14ac:dyDescent="0.3">
      <c r="D9390" s="40"/>
      <c r="J9390" s="134"/>
    </row>
    <row r="9391" spans="4:10" x14ac:dyDescent="0.3">
      <c r="D9391" s="40"/>
      <c r="J9391" s="134"/>
    </row>
    <row r="9392" spans="4:10" x14ac:dyDescent="0.3">
      <c r="D9392" s="40"/>
      <c r="J9392" s="134"/>
    </row>
    <row r="9393" spans="4:10" x14ac:dyDescent="0.3">
      <c r="D9393" s="40"/>
      <c r="J9393" s="134"/>
    </row>
    <row r="9394" spans="4:10" x14ac:dyDescent="0.3">
      <c r="D9394" s="40"/>
      <c r="J9394" s="134"/>
    </row>
    <row r="9395" spans="4:10" x14ac:dyDescent="0.3">
      <c r="D9395" s="40"/>
      <c r="J9395" s="134"/>
    </row>
    <row r="9396" spans="4:10" x14ac:dyDescent="0.3">
      <c r="D9396" s="40"/>
      <c r="J9396" s="134"/>
    </row>
    <row r="9397" spans="4:10" x14ac:dyDescent="0.3">
      <c r="D9397" s="40"/>
      <c r="J9397" s="134"/>
    </row>
    <row r="9398" spans="4:10" x14ac:dyDescent="0.3">
      <c r="D9398" s="40"/>
      <c r="J9398" s="134"/>
    </row>
    <row r="9399" spans="4:10" x14ac:dyDescent="0.3">
      <c r="D9399" s="40"/>
      <c r="J9399" s="134"/>
    </row>
    <row r="9400" spans="4:10" x14ac:dyDescent="0.3">
      <c r="D9400" s="40"/>
      <c r="J9400" s="134"/>
    </row>
    <row r="9401" spans="4:10" x14ac:dyDescent="0.3">
      <c r="D9401" s="40"/>
      <c r="J9401" s="134"/>
    </row>
    <row r="9402" spans="4:10" x14ac:dyDescent="0.3">
      <c r="D9402" s="40"/>
      <c r="J9402" s="134"/>
    </row>
    <row r="9403" spans="4:10" x14ac:dyDescent="0.3">
      <c r="D9403" s="40"/>
      <c r="J9403" s="134"/>
    </row>
    <row r="9404" spans="4:10" x14ac:dyDescent="0.3">
      <c r="D9404" s="40"/>
      <c r="J9404" s="134"/>
    </row>
    <row r="9405" spans="4:10" x14ac:dyDescent="0.3">
      <c r="D9405" s="40"/>
      <c r="J9405" s="134"/>
    </row>
    <row r="9406" spans="4:10" x14ac:dyDescent="0.3">
      <c r="D9406" s="40"/>
      <c r="J9406" s="134"/>
    </row>
    <row r="9407" spans="4:10" x14ac:dyDescent="0.3">
      <c r="D9407" s="40"/>
      <c r="J9407" s="134"/>
    </row>
    <row r="9408" spans="4:10" x14ac:dyDescent="0.3">
      <c r="D9408" s="40"/>
      <c r="J9408" s="134"/>
    </row>
    <row r="9409" spans="4:10" x14ac:dyDescent="0.3">
      <c r="D9409" s="40"/>
      <c r="J9409" s="134"/>
    </row>
    <row r="9410" spans="4:10" x14ac:dyDescent="0.3">
      <c r="D9410" s="40"/>
      <c r="J9410" s="134"/>
    </row>
    <row r="9411" spans="4:10" x14ac:dyDescent="0.3">
      <c r="D9411" s="40"/>
      <c r="J9411" s="134"/>
    </row>
    <row r="9412" spans="4:10" x14ac:dyDescent="0.3">
      <c r="D9412" s="40"/>
      <c r="J9412" s="134"/>
    </row>
    <row r="9413" spans="4:10" x14ac:dyDescent="0.3">
      <c r="D9413" s="40"/>
      <c r="J9413" s="134"/>
    </row>
    <row r="9414" spans="4:10" x14ac:dyDescent="0.3">
      <c r="D9414" s="40"/>
      <c r="J9414" s="134"/>
    </row>
    <row r="9415" spans="4:10" x14ac:dyDescent="0.3">
      <c r="D9415" s="40"/>
      <c r="J9415" s="134"/>
    </row>
    <row r="9416" spans="4:10" x14ac:dyDescent="0.3">
      <c r="D9416" s="40"/>
      <c r="J9416" s="134"/>
    </row>
    <row r="9417" spans="4:10" x14ac:dyDescent="0.3">
      <c r="D9417" s="40"/>
      <c r="J9417" s="134"/>
    </row>
    <row r="9418" spans="4:10" x14ac:dyDescent="0.3">
      <c r="D9418" s="40"/>
      <c r="J9418" s="134"/>
    </row>
    <row r="9419" spans="4:10" x14ac:dyDescent="0.3">
      <c r="D9419" s="40"/>
      <c r="J9419" s="134"/>
    </row>
    <row r="9420" spans="4:10" x14ac:dyDescent="0.3">
      <c r="D9420" s="40"/>
      <c r="J9420" s="134"/>
    </row>
    <row r="9421" spans="4:10" x14ac:dyDescent="0.3">
      <c r="D9421" s="40"/>
      <c r="J9421" s="134"/>
    </row>
    <row r="9422" spans="4:10" x14ac:dyDescent="0.3">
      <c r="D9422" s="40"/>
      <c r="J9422" s="134"/>
    </row>
    <row r="9423" spans="4:10" x14ac:dyDescent="0.3">
      <c r="D9423" s="40"/>
      <c r="J9423" s="134"/>
    </row>
    <row r="9424" spans="4:10" x14ac:dyDescent="0.3">
      <c r="D9424" s="40"/>
      <c r="J9424" s="134"/>
    </row>
    <row r="9425" spans="4:10" x14ac:dyDescent="0.3">
      <c r="D9425" s="40"/>
      <c r="J9425" s="134"/>
    </row>
    <row r="9426" spans="4:10" x14ac:dyDescent="0.3">
      <c r="D9426" s="40"/>
      <c r="J9426" s="134"/>
    </row>
    <row r="9427" spans="4:10" x14ac:dyDescent="0.3">
      <c r="D9427" s="40"/>
      <c r="J9427" s="134"/>
    </row>
    <row r="9428" spans="4:10" x14ac:dyDescent="0.3">
      <c r="D9428" s="40"/>
      <c r="J9428" s="134"/>
    </row>
    <row r="9429" spans="4:10" x14ac:dyDescent="0.3">
      <c r="D9429" s="40"/>
      <c r="J9429" s="134"/>
    </row>
    <row r="9430" spans="4:10" x14ac:dyDescent="0.3">
      <c r="D9430" s="40"/>
      <c r="J9430" s="134"/>
    </row>
    <row r="9431" spans="4:10" x14ac:dyDescent="0.3">
      <c r="D9431" s="40"/>
      <c r="J9431" s="134"/>
    </row>
    <row r="9432" spans="4:10" x14ac:dyDescent="0.3">
      <c r="D9432" s="40"/>
      <c r="J9432" s="134"/>
    </row>
    <row r="9433" spans="4:10" x14ac:dyDescent="0.3">
      <c r="D9433" s="40"/>
      <c r="J9433" s="134"/>
    </row>
    <row r="9434" spans="4:10" x14ac:dyDescent="0.3">
      <c r="D9434" s="40"/>
      <c r="J9434" s="134"/>
    </row>
    <row r="9435" spans="4:10" x14ac:dyDescent="0.3">
      <c r="D9435" s="40"/>
      <c r="J9435" s="134"/>
    </row>
    <row r="9436" spans="4:10" x14ac:dyDescent="0.3">
      <c r="D9436" s="40"/>
      <c r="J9436" s="134"/>
    </row>
    <row r="9437" spans="4:10" x14ac:dyDescent="0.3">
      <c r="D9437" s="40"/>
      <c r="J9437" s="134"/>
    </row>
    <row r="9438" spans="4:10" x14ac:dyDescent="0.3">
      <c r="D9438" s="40"/>
      <c r="J9438" s="134"/>
    </row>
    <row r="9439" spans="4:10" x14ac:dyDescent="0.3">
      <c r="D9439" s="40"/>
      <c r="J9439" s="134"/>
    </row>
    <row r="9440" spans="4:10" x14ac:dyDescent="0.3">
      <c r="D9440" s="40"/>
      <c r="J9440" s="134"/>
    </row>
    <row r="9441" spans="4:10" x14ac:dyDescent="0.3">
      <c r="D9441" s="40"/>
      <c r="J9441" s="134"/>
    </row>
    <row r="9442" spans="4:10" x14ac:dyDescent="0.3">
      <c r="D9442" s="40"/>
      <c r="J9442" s="134"/>
    </row>
    <row r="9443" spans="4:10" x14ac:dyDescent="0.3">
      <c r="D9443" s="40"/>
      <c r="J9443" s="134"/>
    </row>
    <row r="9444" spans="4:10" x14ac:dyDescent="0.3">
      <c r="D9444" s="40"/>
      <c r="J9444" s="134"/>
    </row>
    <row r="9445" spans="4:10" x14ac:dyDescent="0.3">
      <c r="D9445" s="40"/>
      <c r="J9445" s="134"/>
    </row>
    <row r="9446" spans="4:10" x14ac:dyDescent="0.3">
      <c r="D9446" s="40"/>
      <c r="J9446" s="134"/>
    </row>
    <row r="9447" spans="4:10" x14ac:dyDescent="0.3">
      <c r="D9447" s="40"/>
      <c r="J9447" s="134"/>
    </row>
    <row r="9448" spans="4:10" x14ac:dyDescent="0.3">
      <c r="D9448" s="40"/>
      <c r="J9448" s="134"/>
    </row>
    <row r="9449" spans="4:10" x14ac:dyDescent="0.3">
      <c r="D9449" s="40"/>
      <c r="J9449" s="134"/>
    </row>
    <row r="9450" spans="4:10" x14ac:dyDescent="0.3">
      <c r="D9450" s="40"/>
      <c r="J9450" s="134"/>
    </row>
    <row r="9451" spans="4:10" x14ac:dyDescent="0.3">
      <c r="D9451" s="40"/>
      <c r="J9451" s="134"/>
    </row>
    <row r="9452" spans="4:10" x14ac:dyDescent="0.3">
      <c r="D9452" s="40"/>
      <c r="J9452" s="134"/>
    </row>
    <row r="9453" spans="4:10" x14ac:dyDescent="0.3">
      <c r="D9453" s="40"/>
      <c r="J9453" s="134"/>
    </row>
    <row r="9454" spans="4:10" x14ac:dyDescent="0.3">
      <c r="D9454" s="40"/>
      <c r="J9454" s="134"/>
    </row>
    <row r="9455" spans="4:10" x14ac:dyDescent="0.3">
      <c r="D9455" s="40"/>
      <c r="J9455" s="134"/>
    </row>
    <row r="9456" spans="4:10" x14ac:dyDescent="0.3">
      <c r="D9456" s="40"/>
      <c r="J9456" s="134"/>
    </row>
    <row r="9457" spans="4:10" x14ac:dyDescent="0.3">
      <c r="D9457" s="40"/>
      <c r="J9457" s="134"/>
    </row>
    <row r="9458" spans="4:10" x14ac:dyDescent="0.3">
      <c r="D9458" s="40"/>
      <c r="J9458" s="134"/>
    </row>
    <row r="9459" spans="4:10" x14ac:dyDescent="0.3">
      <c r="D9459" s="40"/>
      <c r="J9459" s="134"/>
    </row>
    <row r="9460" spans="4:10" x14ac:dyDescent="0.3">
      <c r="D9460" s="40"/>
      <c r="J9460" s="134"/>
    </row>
    <row r="9461" spans="4:10" x14ac:dyDescent="0.3">
      <c r="D9461" s="40"/>
      <c r="J9461" s="134"/>
    </row>
    <row r="9462" spans="4:10" x14ac:dyDescent="0.3">
      <c r="D9462" s="40"/>
      <c r="J9462" s="134"/>
    </row>
    <row r="9463" spans="4:10" x14ac:dyDescent="0.3">
      <c r="D9463" s="40"/>
      <c r="J9463" s="134"/>
    </row>
    <row r="9464" spans="4:10" x14ac:dyDescent="0.3">
      <c r="D9464" s="40"/>
      <c r="J9464" s="134"/>
    </row>
    <row r="9465" spans="4:10" x14ac:dyDescent="0.3">
      <c r="D9465" s="40"/>
      <c r="J9465" s="134"/>
    </row>
    <row r="9466" spans="4:10" x14ac:dyDescent="0.3">
      <c r="D9466" s="40"/>
      <c r="J9466" s="134"/>
    </row>
    <row r="9467" spans="4:10" x14ac:dyDescent="0.3">
      <c r="D9467" s="40"/>
      <c r="J9467" s="134"/>
    </row>
    <row r="9468" spans="4:10" x14ac:dyDescent="0.3">
      <c r="D9468" s="40"/>
      <c r="J9468" s="134"/>
    </row>
    <row r="9469" spans="4:10" x14ac:dyDescent="0.3">
      <c r="D9469" s="40"/>
      <c r="J9469" s="134"/>
    </row>
    <row r="9470" spans="4:10" x14ac:dyDescent="0.3">
      <c r="D9470" s="40"/>
      <c r="J9470" s="134"/>
    </row>
    <row r="9471" spans="4:10" x14ac:dyDescent="0.3">
      <c r="D9471" s="40"/>
      <c r="J9471" s="134"/>
    </row>
    <row r="9472" spans="4:10" x14ac:dyDescent="0.3">
      <c r="D9472" s="40"/>
      <c r="J9472" s="134"/>
    </row>
    <row r="9473" spans="4:10" x14ac:dyDescent="0.3">
      <c r="D9473" s="40"/>
      <c r="J9473" s="134"/>
    </row>
    <row r="9474" spans="4:10" x14ac:dyDescent="0.3">
      <c r="D9474" s="40"/>
      <c r="J9474" s="134"/>
    </row>
    <row r="9475" spans="4:10" x14ac:dyDescent="0.3">
      <c r="D9475" s="40"/>
      <c r="J9475" s="134"/>
    </row>
    <row r="9476" spans="4:10" x14ac:dyDescent="0.3">
      <c r="D9476" s="40"/>
      <c r="J9476" s="134"/>
    </row>
    <row r="9477" spans="4:10" x14ac:dyDescent="0.3">
      <c r="D9477" s="40"/>
      <c r="J9477" s="134"/>
    </row>
    <row r="9478" spans="4:10" x14ac:dyDescent="0.3">
      <c r="D9478" s="40"/>
      <c r="J9478" s="134"/>
    </row>
    <row r="9479" spans="4:10" x14ac:dyDescent="0.3">
      <c r="D9479" s="40"/>
      <c r="J9479" s="134"/>
    </row>
    <row r="9480" spans="4:10" x14ac:dyDescent="0.3">
      <c r="D9480" s="40"/>
      <c r="J9480" s="134"/>
    </row>
    <row r="9481" spans="4:10" x14ac:dyDescent="0.3">
      <c r="D9481" s="40"/>
      <c r="J9481" s="134"/>
    </row>
    <row r="9482" spans="4:10" x14ac:dyDescent="0.3">
      <c r="D9482" s="40"/>
      <c r="J9482" s="134"/>
    </row>
    <row r="9483" spans="4:10" x14ac:dyDescent="0.3">
      <c r="D9483" s="40"/>
      <c r="J9483" s="134"/>
    </row>
    <row r="9484" spans="4:10" x14ac:dyDescent="0.3">
      <c r="D9484" s="40"/>
      <c r="J9484" s="134"/>
    </row>
    <row r="9485" spans="4:10" x14ac:dyDescent="0.3">
      <c r="D9485" s="40"/>
      <c r="J9485" s="134"/>
    </row>
    <row r="9486" spans="4:10" x14ac:dyDescent="0.3">
      <c r="D9486" s="40"/>
      <c r="J9486" s="134"/>
    </row>
    <row r="9487" spans="4:10" x14ac:dyDescent="0.3">
      <c r="D9487" s="40"/>
      <c r="J9487" s="134"/>
    </row>
    <row r="9488" spans="4:10" x14ac:dyDescent="0.3">
      <c r="D9488" s="40"/>
      <c r="J9488" s="134"/>
    </row>
    <row r="9489" spans="4:10" x14ac:dyDescent="0.3">
      <c r="D9489" s="40"/>
      <c r="J9489" s="134"/>
    </row>
    <row r="9490" spans="4:10" x14ac:dyDescent="0.3">
      <c r="D9490" s="40"/>
      <c r="J9490" s="134"/>
    </row>
    <row r="9491" spans="4:10" x14ac:dyDescent="0.3">
      <c r="D9491" s="40"/>
      <c r="J9491" s="134"/>
    </row>
    <row r="9492" spans="4:10" x14ac:dyDescent="0.3">
      <c r="D9492" s="40"/>
      <c r="J9492" s="134"/>
    </row>
    <row r="9493" spans="4:10" x14ac:dyDescent="0.3">
      <c r="D9493" s="40"/>
      <c r="J9493" s="134"/>
    </row>
    <row r="9494" spans="4:10" x14ac:dyDescent="0.3">
      <c r="D9494" s="40"/>
      <c r="J9494" s="134"/>
    </row>
    <row r="9495" spans="4:10" x14ac:dyDescent="0.3">
      <c r="D9495" s="40"/>
      <c r="J9495" s="134"/>
    </row>
    <row r="9496" spans="4:10" x14ac:dyDescent="0.3">
      <c r="D9496" s="40"/>
      <c r="J9496" s="134"/>
    </row>
    <row r="9497" spans="4:10" x14ac:dyDescent="0.3">
      <c r="D9497" s="40"/>
      <c r="J9497" s="134"/>
    </row>
    <row r="9498" spans="4:10" x14ac:dyDescent="0.3">
      <c r="D9498" s="40"/>
      <c r="J9498" s="134"/>
    </row>
    <row r="9499" spans="4:10" x14ac:dyDescent="0.3">
      <c r="D9499" s="40"/>
      <c r="J9499" s="134"/>
    </row>
    <row r="9500" spans="4:10" x14ac:dyDescent="0.3">
      <c r="D9500" s="40"/>
      <c r="J9500" s="134"/>
    </row>
    <row r="9501" spans="4:10" x14ac:dyDescent="0.3">
      <c r="D9501" s="40"/>
      <c r="J9501" s="134"/>
    </row>
    <row r="9502" spans="4:10" x14ac:dyDescent="0.3">
      <c r="D9502" s="40"/>
      <c r="J9502" s="134"/>
    </row>
    <row r="9503" spans="4:10" x14ac:dyDescent="0.3">
      <c r="D9503" s="40"/>
      <c r="J9503" s="134"/>
    </row>
    <row r="9504" spans="4:10" x14ac:dyDescent="0.3">
      <c r="D9504" s="40"/>
      <c r="J9504" s="134"/>
    </row>
    <row r="9505" spans="4:10" x14ac:dyDescent="0.3">
      <c r="D9505" s="40"/>
      <c r="J9505" s="134"/>
    </row>
    <row r="9506" spans="4:10" x14ac:dyDescent="0.3">
      <c r="D9506" s="40"/>
      <c r="J9506" s="134"/>
    </row>
    <row r="9507" spans="4:10" x14ac:dyDescent="0.3">
      <c r="D9507" s="40"/>
      <c r="J9507" s="134"/>
    </row>
    <row r="9508" spans="4:10" x14ac:dyDescent="0.3">
      <c r="D9508" s="40"/>
      <c r="J9508" s="134"/>
    </row>
    <row r="9509" spans="4:10" x14ac:dyDescent="0.3">
      <c r="D9509" s="40"/>
      <c r="J9509" s="134"/>
    </row>
    <row r="9510" spans="4:10" x14ac:dyDescent="0.3">
      <c r="D9510" s="40"/>
      <c r="J9510" s="134"/>
    </row>
    <row r="9511" spans="4:10" x14ac:dyDescent="0.3">
      <c r="D9511" s="40"/>
      <c r="J9511" s="134"/>
    </row>
    <row r="9512" spans="4:10" x14ac:dyDescent="0.3">
      <c r="D9512" s="40"/>
      <c r="J9512" s="134"/>
    </row>
    <row r="9513" spans="4:10" x14ac:dyDescent="0.3">
      <c r="D9513" s="40"/>
      <c r="J9513" s="134"/>
    </row>
    <row r="9514" spans="4:10" x14ac:dyDescent="0.3">
      <c r="D9514" s="40"/>
      <c r="J9514" s="134"/>
    </row>
    <row r="9515" spans="4:10" x14ac:dyDescent="0.3">
      <c r="D9515" s="40"/>
      <c r="J9515" s="134"/>
    </row>
    <row r="9516" spans="4:10" x14ac:dyDescent="0.3">
      <c r="D9516" s="40"/>
      <c r="J9516" s="134"/>
    </row>
    <row r="9517" spans="4:10" x14ac:dyDescent="0.3">
      <c r="D9517" s="40"/>
      <c r="J9517" s="134"/>
    </row>
    <row r="9518" spans="4:10" x14ac:dyDescent="0.3">
      <c r="D9518" s="40"/>
      <c r="J9518" s="134"/>
    </row>
    <row r="9519" spans="4:10" x14ac:dyDescent="0.3">
      <c r="D9519" s="40"/>
      <c r="J9519" s="134"/>
    </row>
    <row r="9520" spans="4:10" x14ac:dyDescent="0.3">
      <c r="D9520" s="40"/>
      <c r="J9520" s="134"/>
    </row>
    <row r="9521" spans="4:10" x14ac:dyDescent="0.3">
      <c r="D9521" s="40"/>
      <c r="J9521" s="134"/>
    </row>
    <row r="9522" spans="4:10" x14ac:dyDescent="0.3">
      <c r="D9522" s="40"/>
      <c r="J9522" s="134"/>
    </row>
    <row r="9523" spans="4:10" x14ac:dyDescent="0.3">
      <c r="D9523" s="40"/>
      <c r="J9523" s="134"/>
    </row>
    <row r="9524" spans="4:10" x14ac:dyDescent="0.3">
      <c r="D9524" s="40"/>
      <c r="J9524" s="134"/>
    </row>
    <row r="9525" spans="4:10" x14ac:dyDescent="0.3">
      <c r="D9525" s="40"/>
      <c r="J9525" s="134"/>
    </row>
    <row r="9526" spans="4:10" x14ac:dyDescent="0.3">
      <c r="D9526" s="40"/>
      <c r="J9526" s="134"/>
    </row>
    <row r="9527" spans="4:10" x14ac:dyDescent="0.3">
      <c r="D9527" s="40"/>
      <c r="J9527" s="134"/>
    </row>
    <row r="9528" spans="4:10" x14ac:dyDescent="0.3">
      <c r="D9528" s="40"/>
      <c r="J9528" s="134"/>
    </row>
    <row r="9529" spans="4:10" x14ac:dyDescent="0.3">
      <c r="D9529" s="40"/>
      <c r="J9529" s="134"/>
    </row>
    <row r="9530" spans="4:10" x14ac:dyDescent="0.3">
      <c r="D9530" s="40"/>
      <c r="J9530" s="134"/>
    </row>
    <row r="9531" spans="4:10" x14ac:dyDescent="0.3">
      <c r="D9531" s="40"/>
      <c r="J9531" s="134"/>
    </row>
    <row r="9532" spans="4:10" x14ac:dyDescent="0.3">
      <c r="D9532" s="40"/>
      <c r="J9532" s="134"/>
    </row>
    <row r="9533" spans="4:10" x14ac:dyDescent="0.3">
      <c r="D9533" s="40"/>
      <c r="J9533" s="134"/>
    </row>
    <row r="9534" spans="4:10" x14ac:dyDescent="0.3">
      <c r="D9534" s="40"/>
      <c r="J9534" s="134"/>
    </row>
    <row r="9535" spans="4:10" x14ac:dyDescent="0.3">
      <c r="D9535" s="40"/>
      <c r="J9535" s="134"/>
    </row>
    <row r="9536" spans="4:10" x14ac:dyDescent="0.3">
      <c r="D9536" s="40"/>
      <c r="J9536" s="134"/>
    </row>
    <row r="9537" spans="4:10" x14ac:dyDescent="0.3">
      <c r="D9537" s="40"/>
      <c r="J9537" s="134"/>
    </row>
    <row r="9538" spans="4:10" x14ac:dyDescent="0.3">
      <c r="D9538" s="40"/>
      <c r="J9538" s="134"/>
    </row>
    <row r="9539" spans="4:10" x14ac:dyDescent="0.3">
      <c r="D9539" s="40"/>
      <c r="J9539" s="134"/>
    </row>
    <row r="9540" spans="4:10" x14ac:dyDescent="0.3">
      <c r="D9540" s="40"/>
      <c r="J9540" s="134"/>
    </row>
    <row r="9541" spans="4:10" x14ac:dyDescent="0.3">
      <c r="D9541" s="40"/>
      <c r="J9541" s="134"/>
    </row>
    <row r="9542" spans="4:10" x14ac:dyDescent="0.3">
      <c r="D9542" s="40"/>
      <c r="J9542" s="134"/>
    </row>
    <row r="9543" spans="4:10" x14ac:dyDescent="0.3">
      <c r="D9543" s="40"/>
      <c r="J9543" s="134"/>
    </row>
    <row r="9544" spans="4:10" x14ac:dyDescent="0.3">
      <c r="D9544" s="40"/>
      <c r="J9544" s="134"/>
    </row>
    <row r="9545" spans="4:10" x14ac:dyDescent="0.3">
      <c r="D9545" s="40"/>
      <c r="J9545" s="134"/>
    </row>
    <row r="9546" spans="4:10" x14ac:dyDescent="0.3">
      <c r="D9546" s="40"/>
      <c r="J9546" s="134"/>
    </row>
    <row r="9547" spans="4:10" x14ac:dyDescent="0.3">
      <c r="D9547" s="40"/>
      <c r="J9547" s="134"/>
    </row>
    <row r="9548" spans="4:10" x14ac:dyDescent="0.3">
      <c r="D9548" s="40"/>
      <c r="J9548" s="134"/>
    </row>
    <row r="9549" spans="4:10" x14ac:dyDescent="0.3">
      <c r="D9549" s="40"/>
      <c r="J9549" s="134"/>
    </row>
    <row r="9550" spans="4:10" x14ac:dyDescent="0.3">
      <c r="D9550" s="40"/>
      <c r="J9550" s="134"/>
    </row>
    <row r="9551" spans="4:10" x14ac:dyDescent="0.3">
      <c r="D9551" s="40"/>
      <c r="J9551" s="134"/>
    </row>
    <row r="9552" spans="4:10" x14ac:dyDescent="0.3">
      <c r="D9552" s="40"/>
      <c r="J9552" s="134"/>
    </row>
    <row r="9553" spans="4:10" x14ac:dyDescent="0.3">
      <c r="D9553" s="40"/>
      <c r="J9553" s="134"/>
    </row>
    <row r="9554" spans="4:10" x14ac:dyDescent="0.3">
      <c r="D9554" s="40"/>
      <c r="J9554" s="134"/>
    </row>
    <row r="9555" spans="4:10" x14ac:dyDescent="0.3">
      <c r="D9555" s="40"/>
      <c r="J9555" s="134"/>
    </row>
    <row r="9556" spans="4:10" x14ac:dyDescent="0.3">
      <c r="D9556" s="40"/>
      <c r="J9556" s="134"/>
    </row>
    <row r="9557" spans="4:10" x14ac:dyDescent="0.3">
      <c r="D9557" s="40"/>
      <c r="J9557" s="134"/>
    </row>
    <row r="9558" spans="4:10" x14ac:dyDescent="0.3">
      <c r="D9558" s="40"/>
      <c r="J9558" s="134"/>
    </row>
    <row r="9559" spans="4:10" x14ac:dyDescent="0.3">
      <c r="D9559" s="40"/>
      <c r="J9559" s="134"/>
    </row>
    <row r="9560" spans="4:10" x14ac:dyDescent="0.3">
      <c r="D9560" s="40"/>
      <c r="J9560" s="134"/>
    </row>
    <row r="9561" spans="4:10" x14ac:dyDescent="0.3">
      <c r="D9561" s="40"/>
      <c r="J9561" s="134"/>
    </row>
    <row r="9562" spans="4:10" x14ac:dyDescent="0.3">
      <c r="D9562" s="40"/>
      <c r="J9562" s="134"/>
    </row>
    <row r="9563" spans="4:10" x14ac:dyDescent="0.3">
      <c r="D9563" s="40"/>
      <c r="J9563" s="134"/>
    </row>
    <row r="9564" spans="4:10" x14ac:dyDescent="0.3">
      <c r="D9564" s="40"/>
      <c r="J9564" s="134"/>
    </row>
    <row r="9565" spans="4:10" x14ac:dyDescent="0.3">
      <c r="D9565" s="40"/>
      <c r="J9565" s="134"/>
    </row>
    <row r="9566" spans="4:10" x14ac:dyDescent="0.3">
      <c r="D9566" s="40"/>
      <c r="J9566" s="134"/>
    </row>
    <row r="9567" spans="4:10" x14ac:dyDescent="0.3">
      <c r="D9567" s="40"/>
      <c r="J9567" s="134"/>
    </row>
    <row r="9568" spans="4:10" x14ac:dyDescent="0.3">
      <c r="D9568" s="40"/>
      <c r="J9568" s="134"/>
    </row>
    <row r="9569" spans="4:10" x14ac:dyDescent="0.3">
      <c r="D9569" s="40"/>
      <c r="J9569" s="134"/>
    </row>
    <row r="9570" spans="4:10" x14ac:dyDescent="0.3">
      <c r="D9570" s="40"/>
      <c r="J9570" s="134"/>
    </row>
    <row r="9571" spans="4:10" x14ac:dyDescent="0.3">
      <c r="D9571" s="40"/>
      <c r="J9571" s="134"/>
    </row>
    <row r="9572" spans="4:10" x14ac:dyDescent="0.3">
      <c r="D9572" s="40"/>
      <c r="J9572" s="134"/>
    </row>
    <row r="9573" spans="4:10" x14ac:dyDescent="0.3">
      <c r="D9573" s="40"/>
      <c r="J9573" s="134"/>
    </row>
    <row r="9574" spans="4:10" x14ac:dyDescent="0.3">
      <c r="D9574" s="40"/>
      <c r="J9574" s="134"/>
    </row>
    <row r="9575" spans="4:10" x14ac:dyDescent="0.3">
      <c r="D9575" s="40"/>
      <c r="J9575" s="134"/>
    </row>
    <row r="9576" spans="4:10" x14ac:dyDescent="0.3">
      <c r="D9576" s="40"/>
      <c r="J9576" s="134"/>
    </row>
    <row r="9577" spans="4:10" x14ac:dyDescent="0.3">
      <c r="D9577" s="40"/>
      <c r="J9577" s="134"/>
    </row>
    <row r="9578" spans="4:10" x14ac:dyDescent="0.3">
      <c r="D9578" s="40"/>
      <c r="J9578" s="134"/>
    </row>
    <row r="9579" spans="4:10" x14ac:dyDescent="0.3">
      <c r="D9579" s="40"/>
      <c r="J9579" s="134"/>
    </row>
    <row r="9580" spans="4:10" x14ac:dyDescent="0.3">
      <c r="D9580" s="40"/>
      <c r="J9580" s="134"/>
    </row>
    <row r="9581" spans="4:10" x14ac:dyDescent="0.3">
      <c r="D9581" s="40"/>
      <c r="J9581" s="134"/>
    </row>
    <row r="9582" spans="4:10" x14ac:dyDescent="0.3">
      <c r="D9582" s="40"/>
      <c r="J9582" s="134"/>
    </row>
    <row r="9583" spans="4:10" x14ac:dyDescent="0.3">
      <c r="D9583" s="40"/>
      <c r="J9583" s="134"/>
    </row>
    <row r="9584" spans="4:10" x14ac:dyDescent="0.3">
      <c r="D9584" s="40"/>
      <c r="J9584" s="134"/>
    </row>
    <row r="9585" spans="4:10" x14ac:dyDescent="0.3">
      <c r="D9585" s="40"/>
      <c r="J9585" s="134"/>
    </row>
    <row r="9586" spans="4:10" x14ac:dyDescent="0.3">
      <c r="D9586" s="40"/>
      <c r="J9586" s="134"/>
    </row>
    <row r="9587" spans="4:10" x14ac:dyDescent="0.3">
      <c r="D9587" s="40"/>
      <c r="J9587" s="134"/>
    </row>
    <row r="9588" spans="4:10" x14ac:dyDescent="0.3">
      <c r="D9588" s="40"/>
      <c r="J9588" s="134"/>
    </row>
    <row r="9589" spans="4:10" x14ac:dyDescent="0.3">
      <c r="D9589" s="40"/>
      <c r="J9589" s="134"/>
    </row>
    <row r="9590" spans="4:10" x14ac:dyDescent="0.3">
      <c r="D9590" s="40"/>
      <c r="J9590" s="134"/>
    </row>
    <row r="9591" spans="4:10" x14ac:dyDescent="0.3">
      <c r="D9591" s="40"/>
      <c r="J9591" s="134"/>
    </row>
    <row r="9592" spans="4:10" x14ac:dyDescent="0.3">
      <c r="D9592" s="40"/>
      <c r="J9592" s="134"/>
    </row>
    <row r="9593" spans="4:10" x14ac:dyDescent="0.3">
      <c r="D9593" s="40"/>
      <c r="J9593" s="134"/>
    </row>
    <row r="9594" spans="4:10" x14ac:dyDescent="0.3">
      <c r="D9594" s="40"/>
      <c r="J9594" s="134"/>
    </row>
    <row r="9595" spans="4:10" x14ac:dyDescent="0.3">
      <c r="D9595" s="40"/>
      <c r="J9595" s="134"/>
    </row>
    <row r="9596" spans="4:10" x14ac:dyDescent="0.3">
      <c r="D9596" s="40"/>
      <c r="J9596" s="134"/>
    </row>
    <row r="9597" spans="4:10" x14ac:dyDescent="0.3">
      <c r="D9597" s="40"/>
      <c r="J9597" s="134"/>
    </row>
    <row r="9598" spans="4:10" x14ac:dyDescent="0.3">
      <c r="D9598" s="40"/>
      <c r="J9598" s="134"/>
    </row>
    <row r="9599" spans="4:10" x14ac:dyDescent="0.3">
      <c r="D9599" s="40"/>
      <c r="J9599" s="134"/>
    </row>
    <row r="9600" spans="4:10" x14ac:dyDescent="0.3">
      <c r="D9600" s="40"/>
      <c r="J9600" s="134"/>
    </row>
    <row r="9601" spans="4:10" x14ac:dyDescent="0.3">
      <c r="D9601" s="40"/>
      <c r="J9601" s="134"/>
    </row>
    <row r="9602" spans="4:10" x14ac:dyDescent="0.3">
      <c r="D9602" s="40"/>
      <c r="J9602" s="134"/>
    </row>
    <row r="9603" spans="4:10" x14ac:dyDescent="0.3">
      <c r="D9603" s="40"/>
      <c r="J9603" s="134"/>
    </row>
    <row r="9604" spans="4:10" x14ac:dyDescent="0.3">
      <c r="D9604" s="40"/>
      <c r="J9604" s="134"/>
    </row>
    <row r="9605" spans="4:10" x14ac:dyDescent="0.3">
      <c r="D9605" s="40"/>
      <c r="J9605" s="134"/>
    </row>
    <row r="9606" spans="4:10" x14ac:dyDescent="0.3">
      <c r="D9606" s="40"/>
      <c r="J9606" s="134"/>
    </row>
    <row r="9607" spans="4:10" x14ac:dyDescent="0.3">
      <c r="D9607" s="40"/>
      <c r="J9607" s="134"/>
    </row>
    <row r="9608" spans="4:10" x14ac:dyDescent="0.3">
      <c r="D9608" s="40"/>
      <c r="J9608" s="134"/>
    </row>
    <row r="9609" spans="4:10" x14ac:dyDescent="0.3">
      <c r="D9609" s="40"/>
      <c r="J9609" s="134"/>
    </row>
    <row r="9610" spans="4:10" x14ac:dyDescent="0.3">
      <c r="D9610" s="40"/>
      <c r="J9610" s="134"/>
    </row>
    <row r="9611" spans="4:10" x14ac:dyDescent="0.3">
      <c r="D9611" s="40"/>
      <c r="J9611" s="134"/>
    </row>
    <row r="9612" spans="4:10" x14ac:dyDescent="0.3">
      <c r="D9612" s="40"/>
      <c r="J9612" s="134"/>
    </row>
    <row r="9613" spans="4:10" x14ac:dyDescent="0.3">
      <c r="D9613" s="40"/>
      <c r="J9613" s="134"/>
    </row>
    <row r="9614" spans="4:10" x14ac:dyDescent="0.3">
      <c r="D9614" s="40"/>
      <c r="J9614" s="134"/>
    </row>
    <row r="9615" spans="4:10" x14ac:dyDescent="0.3">
      <c r="D9615" s="40"/>
      <c r="J9615" s="134"/>
    </row>
    <row r="9616" spans="4:10" x14ac:dyDescent="0.3">
      <c r="D9616" s="40"/>
      <c r="J9616" s="134"/>
    </row>
    <row r="9617" spans="4:10" x14ac:dyDescent="0.3">
      <c r="D9617" s="40"/>
      <c r="J9617" s="134"/>
    </row>
    <row r="9618" spans="4:10" x14ac:dyDescent="0.3">
      <c r="D9618" s="40"/>
      <c r="J9618" s="134"/>
    </row>
    <row r="9619" spans="4:10" x14ac:dyDescent="0.3">
      <c r="D9619" s="40"/>
      <c r="J9619" s="134"/>
    </row>
    <row r="9620" spans="4:10" x14ac:dyDescent="0.3">
      <c r="D9620" s="40"/>
      <c r="J9620" s="134"/>
    </row>
    <row r="9621" spans="4:10" x14ac:dyDescent="0.3">
      <c r="D9621" s="40"/>
      <c r="J9621" s="134"/>
    </row>
    <row r="9622" spans="4:10" x14ac:dyDescent="0.3">
      <c r="D9622" s="40"/>
      <c r="J9622" s="134"/>
    </row>
    <row r="9623" spans="4:10" x14ac:dyDescent="0.3">
      <c r="D9623" s="40"/>
      <c r="J9623" s="134"/>
    </row>
    <row r="9624" spans="4:10" x14ac:dyDescent="0.3">
      <c r="D9624" s="40"/>
      <c r="J9624" s="134"/>
    </row>
    <row r="9625" spans="4:10" x14ac:dyDescent="0.3">
      <c r="D9625" s="40"/>
      <c r="J9625" s="134"/>
    </row>
    <row r="9626" spans="4:10" x14ac:dyDescent="0.3">
      <c r="D9626" s="40"/>
      <c r="J9626" s="134"/>
    </row>
    <row r="9627" spans="4:10" x14ac:dyDescent="0.3">
      <c r="D9627" s="40"/>
      <c r="J9627" s="134"/>
    </row>
    <row r="9628" spans="4:10" x14ac:dyDescent="0.3">
      <c r="D9628" s="40"/>
      <c r="J9628" s="134"/>
    </row>
    <row r="9629" spans="4:10" x14ac:dyDescent="0.3">
      <c r="D9629" s="40"/>
      <c r="J9629" s="134"/>
    </row>
    <row r="9630" spans="4:10" x14ac:dyDescent="0.3">
      <c r="D9630" s="40"/>
      <c r="J9630" s="134"/>
    </row>
    <row r="9631" spans="4:10" x14ac:dyDescent="0.3">
      <c r="D9631" s="40"/>
      <c r="J9631" s="134"/>
    </row>
    <row r="9632" spans="4:10" x14ac:dyDescent="0.3">
      <c r="D9632" s="40"/>
      <c r="J9632" s="134"/>
    </row>
    <row r="9633" spans="4:10" x14ac:dyDescent="0.3">
      <c r="D9633" s="40"/>
      <c r="J9633" s="134"/>
    </row>
    <row r="9634" spans="4:10" x14ac:dyDescent="0.3">
      <c r="D9634" s="40"/>
      <c r="J9634" s="134"/>
    </row>
    <row r="9635" spans="4:10" x14ac:dyDescent="0.3">
      <c r="D9635" s="40"/>
      <c r="J9635" s="134"/>
    </row>
    <row r="9636" spans="4:10" x14ac:dyDescent="0.3">
      <c r="D9636" s="40"/>
      <c r="J9636" s="134"/>
    </row>
    <row r="9637" spans="4:10" x14ac:dyDescent="0.3">
      <c r="D9637" s="40"/>
      <c r="J9637" s="134"/>
    </row>
    <row r="9638" spans="4:10" x14ac:dyDescent="0.3">
      <c r="D9638" s="40"/>
      <c r="J9638" s="134"/>
    </row>
    <row r="9639" spans="4:10" x14ac:dyDescent="0.3">
      <c r="D9639" s="40"/>
      <c r="J9639" s="134"/>
    </row>
    <row r="9640" spans="4:10" x14ac:dyDescent="0.3">
      <c r="D9640" s="40"/>
      <c r="J9640" s="134"/>
    </row>
    <row r="9641" spans="4:10" x14ac:dyDescent="0.3">
      <c r="D9641" s="40"/>
      <c r="J9641" s="134"/>
    </row>
    <row r="9642" spans="4:10" x14ac:dyDescent="0.3">
      <c r="D9642" s="40"/>
      <c r="J9642" s="134"/>
    </row>
    <row r="9643" spans="4:10" x14ac:dyDescent="0.3">
      <c r="D9643" s="40"/>
      <c r="J9643" s="134"/>
    </row>
    <row r="9644" spans="4:10" x14ac:dyDescent="0.3">
      <c r="D9644" s="40"/>
      <c r="J9644" s="134"/>
    </row>
    <row r="9645" spans="4:10" x14ac:dyDescent="0.3">
      <c r="D9645" s="40"/>
      <c r="J9645" s="134"/>
    </row>
    <row r="9646" spans="4:10" x14ac:dyDescent="0.3">
      <c r="D9646" s="40"/>
      <c r="J9646" s="134"/>
    </row>
    <row r="9647" spans="4:10" x14ac:dyDescent="0.3">
      <c r="D9647" s="40"/>
      <c r="J9647" s="134"/>
    </row>
    <row r="9648" spans="4:10" x14ac:dyDescent="0.3">
      <c r="D9648" s="40"/>
      <c r="J9648" s="134"/>
    </row>
    <row r="9649" spans="4:10" x14ac:dyDescent="0.3">
      <c r="D9649" s="40"/>
      <c r="J9649" s="134"/>
    </row>
    <row r="9650" spans="4:10" x14ac:dyDescent="0.3">
      <c r="D9650" s="40"/>
      <c r="J9650" s="134"/>
    </row>
    <row r="9651" spans="4:10" x14ac:dyDescent="0.3">
      <c r="D9651" s="40"/>
      <c r="J9651" s="134"/>
    </row>
    <row r="9652" spans="4:10" x14ac:dyDescent="0.3">
      <c r="D9652" s="40"/>
      <c r="J9652" s="134"/>
    </row>
    <row r="9653" spans="4:10" x14ac:dyDescent="0.3">
      <c r="D9653" s="40"/>
      <c r="J9653" s="134"/>
    </row>
    <row r="9654" spans="4:10" x14ac:dyDescent="0.3">
      <c r="D9654" s="40"/>
      <c r="J9654" s="134"/>
    </row>
    <row r="9655" spans="4:10" x14ac:dyDescent="0.3">
      <c r="D9655" s="40"/>
      <c r="J9655" s="134"/>
    </row>
    <row r="9656" spans="4:10" x14ac:dyDescent="0.3">
      <c r="D9656" s="40"/>
      <c r="J9656" s="134"/>
    </row>
    <row r="9657" spans="4:10" x14ac:dyDescent="0.3">
      <c r="D9657" s="40"/>
      <c r="J9657" s="134"/>
    </row>
    <row r="9658" spans="4:10" x14ac:dyDescent="0.3">
      <c r="D9658" s="40"/>
      <c r="J9658" s="134"/>
    </row>
    <row r="9659" spans="4:10" x14ac:dyDescent="0.3">
      <c r="D9659" s="40"/>
      <c r="J9659" s="134"/>
    </row>
    <row r="9660" spans="4:10" x14ac:dyDescent="0.3">
      <c r="D9660" s="40"/>
      <c r="J9660" s="134"/>
    </row>
    <row r="9661" spans="4:10" x14ac:dyDescent="0.3">
      <c r="D9661" s="40"/>
      <c r="J9661" s="134"/>
    </row>
    <row r="9662" spans="4:10" x14ac:dyDescent="0.3">
      <c r="D9662" s="40"/>
      <c r="J9662" s="134"/>
    </row>
    <row r="9663" spans="4:10" x14ac:dyDescent="0.3">
      <c r="D9663" s="40"/>
      <c r="J9663" s="134"/>
    </row>
    <row r="9664" spans="4:10" x14ac:dyDescent="0.3">
      <c r="D9664" s="40"/>
      <c r="J9664" s="134"/>
    </row>
    <row r="9665" spans="4:10" x14ac:dyDescent="0.3">
      <c r="D9665" s="40"/>
      <c r="J9665" s="134"/>
    </row>
    <row r="9666" spans="4:10" x14ac:dyDescent="0.3">
      <c r="D9666" s="40"/>
      <c r="J9666" s="134"/>
    </row>
    <row r="9667" spans="4:10" x14ac:dyDescent="0.3">
      <c r="D9667" s="40"/>
      <c r="J9667" s="134"/>
    </row>
    <row r="9668" spans="4:10" x14ac:dyDescent="0.3">
      <c r="D9668" s="40"/>
      <c r="J9668" s="134"/>
    </row>
    <row r="9669" spans="4:10" x14ac:dyDescent="0.3">
      <c r="D9669" s="40"/>
      <c r="J9669" s="134"/>
    </row>
    <row r="9670" spans="4:10" x14ac:dyDescent="0.3">
      <c r="D9670" s="40"/>
      <c r="J9670" s="134"/>
    </row>
    <row r="9671" spans="4:10" x14ac:dyDescent="0.3">
      <c r="D9671" s="40"/>
      <c r="J9671" s="134"/>
    </row>
    <row r="9672" spans="4:10" x14ac:dyDescent="0.3">
      <c r="D9672" s="40"/>
      <c r="J9672" s="134"/>
    </row>
    <row r="9673" spans="4:10" x14ac:dyDescent="0.3">
      <c r="D9673" s="40"/>
      <c r="J9673" s="134"/>
    </row>
    <row r="9674" spans="4:10" x14ac:dyDescent="0.3">
      <c r="D9674" s="40"/>
      <c r="J9674" s="134"/>
    </row>
    <row r="9675" spans="4:10" x14ac:dyDescent="0.3">
      <c r="D9675" s="40"/>
      <c r="J9675" s="134"/>
    </row>
    <row r="9676" spans="4:10" x14ac:dyDescent="0.3">
      <c r="D9676" s="40"/>
      <c r="J9676" s="134"/>
    </row>
    <row r="9677" spans="4:10" x14ac:dyDescent="0.3">
      <c r="D9677" s="40"/>
      <c r="J9677" s="134"/>
    </row>
    <row r="9678" spans="4:10" x14ac:dyDescent="0.3">
      <c r="D9678" s="40"/>
      <c r="J9678" s="134"/>
    </row>
    <row r="9679" spans="4:10" x14ac:dyDescent="0.3">
      <c r="D9679" s="40"/>
      <c r="J9679" s="134"/>
    </row>
    <row r="9680" spans="4:10" x14ac:dyDescent="0.3">
      <c r="D9680" s="40"/>
      <c r="J9680" s="134"/>
    </row>
    <row r="9681" spans="4:10" x14ac:dyDescent="0.3">
      <c r="D9681" s="40"/>
      <c r="J9681" s="134"/>
    </row>
    <row r="9682" spans="4:10" x14ac:dyDescent="0.3">
      <c r="D9682" s="40"/>
      <c r="J9682" s="134"/>
    </row>
    <row r="9683" spans="4:10" x14ac:dyDescent="0.3">
      <c r="D9683" s="40"/>
      <c r="J9683" s="134"/>
    </row>
    <row r="9684" spans="4:10" x14ac:dyDescent="0.3">
      <c r="D9684" s="40"/>
      <c r="J9684" s="134"/>
    </row>
    <row r="9685" spans="4:10" x14ac:dyDescent="0.3">
      <c r="D9685" s="40"/>
      <c r="J9685" s="134"/>
    </row>
    <row r="9686" spans="4:10" x14ac:dyDescent="0.3">
      <c r="D9686" s="40"/>
      <c r="J9686" s="134"/>
    </row>
    <row r="9687" spans="4:10" x14ac:dyDescent="0.3">
      <c r="D9687" s="40"/>
      <c r="J9687" s="134"/>
    </row>
    <row r="9688" spans="4:10" x14ac:dyDescent="0.3">
      <c r="D9688" s="40"/>
      <c r="J9688" s="134"/>
    </row>
    <row r="9689" spans="4:10" x14ac:dyDescent="0.3">
      <c r="D9689" s="40"/>
      <c r="J9689" s="134"/>
    </row>
    <row r="9690" spans="4:10" x14ac:dyDescent="0.3">
      <c r="D9690" s="40"/>
      <c r="J9690" s="134"/>
    </row>
    <row r="9691" spans="4:10" x14ac:dyDescent="0.3">
      <c r="D9691" s="40"/>
      <c r="J9691" s="134"/>
    </row>
    <row r="9692" spans="4:10" x14ac:dyDescent="0.3">
      <c r="D9692" s="40"/>
      <c r="J9692" s="134"/>
    </row>
    <row r="9693" spans="4:10" x14ac:dyDescent="0.3">
      <c r="D9693" s="40"/>
      <c r="J9693" s="134"/>
    </row>
    <row r="9694" spans="4:10" x14ac:dyDescent="0.3">
      <c r="D9694" s="40"/>
      <c r="J9694" s="134"/>
    </row>
    <row r="9695" spans="4:10" x14ac:dyDescent="0.3">
      <c r="D9695" s="40"/>
      <c r="J9695" s="134"/>
    </row>
    <row r="9696" spans="4:10" x14ac:dyDescent="0.3">
      <c r="D9696" s="40"/>
      <c r="J9696" s="134"/>
    </row>
    <row r="9697" spans="4:10" x14ac:dyDescent="0.3">
      <c r="D9697" s="40"/>
      <c r="J9697" s="134"/>
    </row>
    <row r="9698" spans="4:10" x14ac:dyDescent="0.3">
      <c r="D9698" s="40"/>
      <c r="J9698" s="134"/>
    </row>
    <row r="9699" spans="4:10" x14ac:dyDescent="0.3">
      <c r="D9699" s="40"/>
      <c r="J9699" s="134"/>
    </row>
    <row r="9700" spans="4:10" x14ac:dyDescent="0.3">
      <c r="D9700" s="40"/>
      <c r="J9700" s="134"/>
    </row>
    <row r="9701" spans="4:10" x14ac:dyDescent="0.3">
      <c r="D9701" s="40"/>
      <c r="J9701" s="134"/>
    </row>
    <row r="9702" spans="4:10" x14ac:dyDescent="0.3">
      <c r="D9702" s="40"/>
      <c r="J9702" s="134"/>
    </row>
    <row r="9703" spans="4:10" x14ac:dyDescent="0.3">
      <c r="D9703" s="40"/>
      <c r="J9703" s="134"/>
    </row>
    <row r="9704" spans="4:10" x14ac:dyDescent="0.3">
      <c r="D9704" s="40"/>
      <c r="J9704" s="134"/>
    </row>
    <row r="9705" spans="4:10" x14ac:dyDescent="0.3">
      <c r="D9705" s="40"/>
      <c r="J9705" s="134"/>
    </row>
    <row r="9706" spans="4:10" x14ac:dyDescent="0.3">
      <c r="D9706" s="40"/>
      <c r="J9706" s="134"/>
    </row>
    <row r="9707" spans="4:10" x14ac:dyDescent="0.3">
      <c r="D9707" s="40"/>
      <c r="J9707" s="134"/>
    </row>
    <row r="9708" spans="4:10" x14ac:dyDescent="0.3">
      <c r="D9708" s="40"/>
      <c r="J9708" s="134"/>
    </row>
    <row r="9709" spans="4:10" x14ac:dyDescent="0.3">
      <c r="D9709" s="40"/>
      <c r="J9709" s="134"/>
    </row>
    <row r="9710" spans="4:10" x14ac:dyDescent="0.3">
      <c r="D9710" s="40"/>
      <c r="J9710" s="134"/>
    </row>
    <row r="9711" spans="4:10" x14ac:dyDescent="0.3">
      <c r="D9711" s="40"/>
      <c r="J9711" s="134"/>
    </row>
    <row r="9712" spans="4:10" x14ac:dyDescent="0.3">
      <c r="D9712" s="40"/>
      <c r="J9712" s="134"/>
    </row>
    <row r="9713" spans="4:10" x14ac:dyDescent="0.3">
      <c r="D9713" s="40"/>
      <c r="J9713" s="134"/>
    </row>
    <row r="9714" spans="4:10" x14ac:dyDescent="0.3">
      <c r="D9714" s="40"/>
      <c r="J9714" s="134"/>
    </row>
    <row r="9715" spans="4:10" x14ac:dyDescent="0.3">
      <c r="D9715" s="40"/>
      <c r="J9715" s="134"/>
    </row>
    <row r="9716" spans="4:10" x14ac:dyDescent="0.3">
      <c r="D9716" s="40"/>
      <c r="J9716" s="134"/>
    </row>
    <row r="9717" spans="4:10" x14ac:dyDescent="0.3">
      <c r="D9717" s="40"/>
      <c r="J9717" s="134"/>
    </row>
    <row r="9718" spans="4:10" x14ac:dyDescent="0.3">
      <c r="D9718" s="40"/>
      <c r="J9718" s="134"/>
    </row>
    <row r="9719" spans="4:10" x14ac:dyDescent="0.3">
      <c r="D9719" s="40"/>
      <c r="J9719" s="134"/>
    </row>
    <row r="9720" spans="4:10" x14ac:dyDescent="0.3">
      <c r="D9720" s="40"/>
      <c r="J9720" s="134"/>
    </row>
    <row r="9721" spans="4:10" x14ac:dyDescent="0.3">
      <c r="D9721" s="40"/>
      <c r="J9721" s="134"/>
    </row>
    <row r="9722" spans="4:10" x14ac:dyDescent="0.3">
      <c r="D9722" s="40"/>
      <c r="J9722" s="134"/>
    </row>
    <row r="9723" spans="4:10" x14ac:dyDescent="0.3">
      <c r="D9723" s="40"/>
      <c r="J9723" s="134"/>
    </row>
    <row r="9724" spans="4:10" x14ac:dyDescent="0.3">
      <c r="D9724" s="40"/>
      <c r="J9724" s="134"/>
    </row>
    <row r="9725" spans="4:10" x14ac:dyDescent="0.3">
      <c r="D9725" s="40"/>
      <c r="J9725" s="134"/>
    </row>
    <row r="9726" spans="4:10" x14ac:dyDescent="0.3">
      <c r="D9726" s="40"/>
      <c r="J9726" s="134"/>
    </row>
    <row r="9727" spans="4:10" x14ac:dyDescent="0.3">
      <c r="D9727" s="40"/>
      <c r="J9727" s="134"/>
    </row>
    <row r="9728" spans="4:10" x14ac:dyDescent="0.3">
      <c r="D9728" s="40"/>
      <c r="J9728" s="134"/>
    </row>
    <row r="9729" spans="4:10" x14ac:dyDescent="0.3">
      <c r="D9729" s="40"/>
      <c r="J9729" s="134"/>
    </row>
    <row r="9730" spans="4:10" x14ac:dyDescent="0.3">
      <c r="D9730" s="40"/>
      <c r="J9730" s="134"/>
    </row>
    <row r="9731" spans="4:10" x14ac:dyDescent="0.3">
      <c r="D9731" s="40"/>
      <c r="J9731" s="134"/>
    </row>
    <row r="9732" spans="4:10" x14ac:dyDescent="0.3">
      <c r="D9732" s="40"/>
      <c r="J9732" s="134"/>
    </row>
    <row r="9733" spans="4:10" x14ac:dyDescent="0.3">
      <c r="D9733" s="40"/>
      <c r="J9733" s="134"/>
    </row>
    <row r="9734" spans="4:10" x14ac:dyDescent="0.3">
      <c r="D9734" s="40"/>
      <c r="J9734" s="134"/>
    </row>
    <row r="9735" spans="4:10" x14ac:dyDescent="0.3">
      <c r="D9735" s="40"/>
      <c r="J9735" s="134"/>
    </row>
    <row r="9736" spans="4:10" x14ac:dyDescent="0.3">
      <c r="D9736" s="40"/>
      <c r="J9736" s="134"/>
    </row>
    <row r="9737" spans="4:10" x14ac:dyDescent="0.3">
      <c r="D9737" s="40"/>
      <c r="J9737" s="134"/>
    </row>
    <row r="9738" spans="4:10" x14ac:dyDescent="0.3">
      <c r="D9738" s="40"/>
      <c r="J9738" s="134"/>
    </row>
    <row r="9739" spans="4:10" x14ac:dyDescent="0.3">
      <c r="D9739" s="40"/>
      <c r="J9739" s="134"/>
    </row>
    <row r="9740" spans="4:10" x14ac:dyDescent="0.3">
      <c r="D9740" s="40"/>
      <c r="J9740" s="134"/>
    </row>
    <row r="9741" spans="4:10" x14ac:dyDescent="0.3">
      <c r="D9741" s="40"/>
      <c r="J9741" s="134"/>
    </row>
    <row r="9742" spans="4:10" x14ac:dyDescent="0.3">
      <c r="D9742" s="40"/>
      <c r="J9742" s="134"/>
    </row>
    <row r="9743" spans="4:10" x14ac:dyDescent="0.3">
      <c r="D9743" s="40"/>
      <c r="J9743" s="134"/>
    </row>
    <row r="9744" spans="4:10" x14ac:dyDescent="0.3">
      <c r="D9744" s="40"/>
      <c r="J9744" s="134"/>
    </row>
    <row r="9745" spans="4:10" x14ac:dyDescent="0.3">
      <c r="D9745" s="40"/>
      <c r="J9745" s="134"/>
    </row>
    <row r="9746" spans="4:10" x14ac:dyDescent="0.3">
      <c r="D9746" s="40"/>
      <c r="J9746" s="134"/>
    </row>
    <row r="9747" spans="4:10" x14ac:dyDescent="0.3">
      <c r="D9747" s="40"/>
      <c r="J9747" s="134"/>
    </row>
    <row r="9748" spans="4:10" x14ac:dyDescent="0.3">
      <c r="D9748" s="40"/>
      <c r="J9748" s="134"/>
    </row>
    <row r="9749" spans="4:10" x14ac:dyDescent="0.3">
      <c r="D9749" s="40"/>
      <c r="J9749" s="134"/>
    </row>
    <row r="9750" spans="4:10" x14ac:dyDescent="0.3">
      <c r="D9750" s="40"/>
      <c r="J9750" s="134"/>
    </row>
    <row r="9751" spans="4:10" x14ac:dyDescent="0.3">
      <c r="D9751" s="40"/>
      <c r="J9751" s="134"/>
    </row>
    <row r="9752" spans="4:10" x14ac:dyDescent="0.3">
      <c r="D9752" s="40"/>
      <c r="J9752" s="134"/>
    </row>
    <row r="9753" spans="4:10" x14ac:dyDescent="0.3">
      <c r="D9753" s="40"/>
      <c r="J9753" s="134"/>
    </row>
    <row r="9754" spans="4:10" x14ac:dyDescent="0.3">
      <c r="D9754" s="40"/>
      <c r="J9754" s="134"/>
    </row>
    <row r="9755" spans="4:10" x14ac:dyDescent="0.3">
      <c r="D9755" s="40"/>
      <c r="J9755" s="134"/>
    </row>
    <row r="9756" spans="4:10" x14ac:dyDescent="0.3">
      <c r="D9756" s="40"/>
      <c r="J9756" s="134"/>
    </row>
    <row r="9757" spans="4:10" x14ac:dyDescent="0.3">
      <c r="D9757" s="40"/>
      <c r="J9757" s="134"/>
    </row>
    <row r="9758" spans="4:10" x14ac:dyDescent="0.3">
      <c r="D9758" s="40"/>
      <c r="J9758" s="134"/>
    </row>
    <row r="9759" spans="4:10" x14ac:dyDescent="0.3">
      <c r="D9759" s="40"/>
      <c r="J9759" s="134"/>
    </row>
    <row r="9760" spans="4:10" x14ac:dyDescent="0.3">
      <c r="D9760" s="40"/>
      <c r="J9760" s="134"/>
    </row>
    <row r="9761" spans="4:10" x14ac:dyDescent="0.3">
      <c r="D9761" s="40"/>
      <c r="J9761" s="134"/>
    </row>
    <row r="9762" spans="4:10" x14ac:dyDescent="0.3">
      <c r="D9762" s="40"/>
      <c r="J9762" s="134"/>
    </row>
    <row r="9763" spans="4:10" x14ac:dyDescent="0.3">
      <c r="D9763" s="40"/>
      <c r="J9763" s="134"/>
    </row>
    <row r="9764" spans="4:10" x14ac:dyDescent="0.3">
      <c r="D9764" s="40"/>
      <c r="J9764" s="134"/>
    </row>
    <row r="9765" spans="4:10" x14ac:dyDescent="0.3">
      <c r="D9765" s="40"/>
      <c r="J9765" s="134"/>
    </row>
    <row r="9766" spans="4:10" x14ac:dyDescent="0.3">
      <c r="D9766" s="40"/>
      <c r="J9766" s="134"/>
    </row>
    <row r="9767" spans="4:10" x14ac:dyDescent="0.3">
      <c r="D9767" s="40"/>
      <c r="J9767" s="134"/>
    </row>
    <row r="9768" spans="4:10" x14ac:dyDescent="0.3">
      <c r="D9768" s="40"/>
      <c r="J9768" s="134"/>
    </row>
    <row r="9769" spans="4:10" x14ac:dyDescent="0.3">
      <c r="D9769" s="40"/>
      <c r="J9769" s="134"/>
    </row>
    <row r="9770" spans="4:10" x14ac:dyDescent="0.3">
      <c r="D9770" s="40"/>
      <c r="J9770" s="134"/>
    </row>
    <row r="9771" spans="4:10" x14ac:dyDescent="0.3">
      <c r="D9771" s="40"/>
      <c r="J9771" s="134"/>
    </row>
    <row r="9772" spans="4:10" x14ac:dyDescent="0.3">
      <c r="D9772" s="40"/>
      <c r="J9772" s="134"/>
    </row>
    <row r="9773" spans="4:10" x14ac:dyDescent="0.3">
      <c r="D9773" s="40"/>
      <c r="J9773" s="134"/>
    </row>
    <row r="9774" spans="4:10" x14ac:dyDescent="0.3">
      <c r="D9774" s="40"/>
      <c r="J9774" s="134"/>
    </row>
    <row r="9775" spans="4:10" x14ac:dyDescent="0.3">
      <c r="D9775" s="40"/>
      <c r="J9775" s="134"/>
    </row>
    <row r="9776" spans="4:10" x14ac:dyDescent="0.3">
      <c r="D9776" s="40"/>
      <c r="J9776" s="134"/>
    </row>
    <row r="9777" spans="4:10" x14ac:dyDescent="0.3">
      <c r="D9777" s="40"/>
      <c r="J9777" s="134"/>
    </row>
    <row r="9778" spans="4:10" x14ac:dyDescent="0.3">
      <c r="D9778" s="40"/>
      <c r="J9778" s="134"/>
    </row>
    <row r="9779" spans="4:10" x14ac:dyDescent="0.3">
      <c r="D9779" s="40"/>
      <c r="J9779" s="134"/>
    </row>
    <row r="9780" spans="4:10" x14ac:dyDescent="0.3">
      <c r="D9780" s="40"/>
      <c r="J9780" s="134"/>
    </row>
    <row r="9781" spans="4:10" x14ac:dyDescent="0.3">
      <c r="D9781" s="40"/>
      <c r="J9781" s="134"/>
    </row>
    <row r="9782" spans="4:10" x14ac:dyDescent="0.3">
      <c r="D9782" s="40"/>
      <c r="J9782" s="134"/>
    </row>
    <row r="9783" spans="4:10" x14ac:dyDescent="0.3">
      <c r="D9783" s="40"/>
      <c r="J9783" s="134"/>
    </row>
    <row r="9784" spans="4:10" x14ac:dyDescent="0.3">
      <c r="D9784" s="40"/>
      <c r="J9784" s="134"/>
    </row>
    <row r="9785" spans="4:10" x14ac:dyDescent="0.3">
      <c r="D9785" s="40"/>
      <c r="J9785" s="134"/>
    </row>
    <row r="9786" spans="4:10" x14ac:dyDescent="0.3">
      <c r="D9786" s="40"/>
      <c r="J9786" s="134"/>
    </row>
    <row r="9787" spans="4:10" x14ac:dyDescent="0.3">
      <c r="D9787" s="40"/>
      <c r="J9787" s="134"/>
    </row>
    <row r="9788" spans="4:10" x14ac:dyDescent="0.3">
      <c r="D9788" s="40"/>
      <c r="J9788" s="134"/>
    </row>
    <row r="9789" spans="4:10" x14ac:dyDescent="0.3">
      <c r="D9789" s="40"/>
      <c r="J9789" s="134"/>
    </row>
    <row r="9790" spans="4:10" x14ac:dyDescent="0.3">
      <c r="D9790" s="40"/>
      <c r="J9790" s="134"/>
    </row>
    <row r="9791" spans="4:10" x14ac:dyDescent="0.3">
      <c r="D9791" s="40"/>
      <c r="J9791" s="134"/>
    </row>
    <row r="9792" spans="4:10" x14ac:dyDescent="0.3">
      <c r="D9792" s="40"/>
      <c r="J9792" s="134"/>
    </row>
    <row r="9793" spans="4:10" x14ac:dyDescent="0.3">
      <c r="D9793" s="40"/>
      <c r="J9793" s="134"/>
    </row>
    <row r="9794" spans="4:10" x14ac:dyDescent="0.3">
      <c r="D9794" s="40"/>
      <c r="J9794" s="134"/>
    </row>
    <row r="9795" spans="4:10" x14ac:dyDescent="0.3">
      <c r="D9795" s="40"/>
      <c r="J9795" s="134"/>
    </row>
    <row r="9796" spans="4:10" x14ac:dyDescent="0.3">
      <c r="D9796" s="40"/>
      <c r="J9796" s="134"/>
    </row>
    <row r="9797" spans="4:10" x14ac:dyDescent="0.3">
      <c r="D9797" s="40"/>
      <c r="J9797" s="134"/>
    </row>
    <row r="9798" spans="4:10" x14ac:dyDescent="0.3">
      <c r="D9798" s="40"/>
      <c r="J9798" s="134"/>
    </row>
    <row r="9799" spans="4:10" x14ac:dyDescent="0.3">
      <c r="D9799" s="40"/>
      <c r="J9799" s="134"/>
    </row>
    <row r="9800" spans="4:10" x14ac:dyDescent="0.3">
      <c r="D9800" s="40"/>
      <c r="J9800" s="134"/>
    </row>
    <row r="9801" spans="4:10" x14ac:dyDescent="0.3">
      <c r="D9801" s="40"/>
      <c r="J9801" s="134"/>
    </row>
    <row r="9802" spans="4:10" x14ac:dyDescent="0.3">
      <c r="D9802" s="40"/>
      <c r="J9802" s="134"/>
    </row>
    <row r="9803" spans="4:10" x14ac:dyDescent="0.3">
      <c r="D9803" s="40"/>
      <c r="J9803" s="134"/>
    </row>
    <row r="9804" spans="4:10" x14ac:dyDescent="0.3">
      <c r="D9804" s="40"/>
      <c r="J9804" s="134"/>
    </row>
    <row r="9805" spans="4:10" x14ac:dyDescent="0.3">
      <c r="D9805" s="40"/>
      <c r="J9805" s="134"/>
    </row>
    <row r="9806" spans="4:10" x14ac:dyDescent="0.3">
      <c r="D9806" s="40"/>
      <c r="J9806" s="134"/>
    </row>
    <row r="9807" spans="4:10" x14ac:dyDescent="0.3">
      <c r="D9807" s="40"/>
      <c r="J9807" s="134"/>
    </row>
    <row r="9808" spans="4:10" x14ac:dyDescent="0.3">
      <c r="D9808" s="40"/>
      <c r="J9808" s="134"/>
    </row>
    <row r="9809" spans="4:10" x14ac:dyDescent="0.3">
      <c r="D9809" s="40"/>
      <c r="J9809" s="134"/>
    </row>
    <row r="9810" spans="4:10" x14ac:dyDescent="0.3">
      <c r="D9810" s="40"/>
      <c r="J9810" s="134"/>
    </row>
    <row r="9811" spans="4:10" x14ac:dyDescent="0.3">
      <c r="D9811" s="40"/>
      <c r="J9811" s="134"/>
    </row>
    <row r="9812" spans="4:10" x14ac:dyDescent="0.3">
      <c r="D9812" s="40"/>
      <c r="J9812" s="134"/>
    </row>
    <row r="9813" spans="4:10" x14ac:dyDescent="0.3">
      <c r="D9813" s="40"/>
      <c r="J9813" s="134"/>
    </row>
    <row r="9814" spans="4:10" x14ac:dyDescent="0.3">
      <c r="D9814" s="40"/>
      <c r="J9814" s="134"/>
    </row>
    <row r="9815" spans="4:10" x14ac:dyDescent="0.3">
      <c r="D9815" s="40"/>
      <c r="J9815" s="134"/>
    </row>
    <row r="9816" spans="4:10" x14ac:dyDescent="0.3">
      <c r="D9816" s="40"/>
      <c r="J9816" s="134"/>
    </row>
    <row r="9817" spans="4:10" x14ac:dyDescent="0.3">
      <c r="D9817" s="40"/>
      <c r="J9817" s="134"/>
    </row>
    <row r="9818" spans="4:10" x14ac:dyDescent="0.3">
      <c r="D9818" s="40"/>
      <c r="J9818" s="134"/>
    </row>
    <row r="9819" spans="4:10" x14ac:dyDescent="0.3">
      <c r="D9819" s="40"/>
      <c r="J9819" s="134"/>
    </row>
    <row r="9820" spans="4:10" x14ac:dyDescent="0.3">
      <c r="D9820" s="40"/>
      <c r="J9820" s="134"/>
    </row>
    <row r="9821" spans="4:10" x14ac:dyDescent="0.3">
      <c r="D9821" s="40"/>
      <c r="J9821" s="134"/>
    </row>
    <row r="9822" spans="4:10" x14ac:dyDescent="0.3">
      <c r="D9822" s="40"/>
      <c r="J9822" s="134"/>
    </row>
    <row r="9823" spans="4:10" x14ac:dyDescent="0.3">
      <c r="D9823" s="40"/>
      <c r="J9823" s="134"/>
    </row>
    <row r="9824" spans="4:10" x14ac:dyDescent="0.3">
      <c r="D9824" s="40"/>
      <c r="J9824" s="134"/>
    </row>
    <row r="9825" spans="4:10" x14ac:dyDescent="0.3">
      <c r="D9825" s="40"/>
      <c r="J9825" s="134"/>
    </row>
    <row r="9826" spans="4:10" x14ac:dyDescent="0.3">
      <c r="D9826" s="40"/>
      <c r="J9826" s="134"/>
    </row>
    <row r="9827" spans="4:10" x14ac:dyDescent="0.3">
      <c r="D9827" s="40"/>
      <c r="J9827" s="134"/>
    </row>
    <row r="9828" spans="4:10" x14ac:dyDescent="0.3">
      <c r="D9828" s="40"/>
      <c r="J9828" s="134"/>
    </row>
    <row r="9829" spans="4:10" x14ac:dyDescent="0.3">
      <c r="D9829" s="40"/>
      <c r="J9829" s="134"/>
    </row>
    <row r="9830" spans="4:10" x14ac:dyDescent="0.3">
      <c r="D9830" s="40"/>
      <c r="J9830" s="134"/>
    </row>
    <row r="9831" spans="4:10" x14ac:dyDescent="0.3">
      <c r="D9831" s="40"/>
      <c r="J9831" s="134"/>
    </row>
    <row r="9832" spans="4:10" x14ac:dyDescent="0.3">
      <c r="D9832" s="40"/>
      <c r="J9832" s="134"/>
    </row>
    <row r="9833" spans="4:10" x14ac:dyDescent="0.3">
      <c r="D9833" s="40"/>
      <c r="J9833" s="134"/>
    </row>
    <row r="9834" spans="4:10" x14ac:dyDescent="0.3">
      <c r="D9834" s="40"/>
      <c r="J9834" s="134"/>
    </row>
    <row r="9835" spans="4:10" x14ac:dyDescent="0.3">
      <c r="D9835" s="40"/>
      <c r="J9835" s="134"/>
    </row>
    <row r="9836" spans="4:10" x14ac:dyDescent="0.3">
      <c r="D9836" s="40"/>
      <c r="J9836" s="134"/>
    </row>
    <row r="9837" spans="4:10" x14ac:dyDescent="0.3">
      <c r="D9837" s="40"/>
      <c r="J9837" s="134"/>
    </row>
    <row r="9838" spans="4:10" x14ac:dyDescent="0.3">
      <c r="D9838" s="40"/>
      <c r="J9838" s="134"/>
    </row>
    <row r="9839" spans="4:10" x14ac:dyDescent="0.3">
      <c r="D9839" s="40"/>
      <c r="J9839" s="134"/>
    </row>
    <row r="9840" spans="4:10" x14ac:dyDescent="0.3">
      <c r="D9840" s="40"/>
      <c r="J9840" s="134"/>
    </row>
    <row r="9841" spans="4:10" x14ac:dyDescent="0.3">
      <c r="D9841" s="40"/>
      <c r="J9841" s="134"/>
    </row>
    <row r="9842" spans="4:10" x14ac:dyDescent="0.3">
      <c r="D9842" s="40"/>
      <c r="J9842" s="134"/>
    </row>
    <row r="9843" spans="4:10" x14ac:dyDescent="0.3">
      <c r="D9843" s="40"/>
      <c r="J9843" s="134"/>
    </row>
    <row r="9844" spans="4:10" x14ac:dyDescent="0.3">
      <c r="D9844" s="40"/>
      <c r="J9844" s="134"/>
    </row>
    <row r="9845" spans="4:10" x14ac:dyDescent="0.3">
      <c r="D9845" s="40"/>
      <c r="J9845" s="134"/>
    </row>
    <row r="9846" spans="4:10" x14ac:dyDescent="0.3">
      <c r="D9846" s="40"/>
      <c r="J9846" s="134"/>
    </row>
    <row r="9847" spans="4:10" x14ac:dyDescent="0.3">
      <c r="D9847" s="40"/>
      <c r="J9847" s="134"/>
    </row>
    <row r="9848" spans="4:10" x14ac:dyDescent="0.3">
      <c r="D9848" s="40"/>
      <c r="J9848" s="134"/>
    </row>
    <row r="9849" spans="4:10" x14ac:dyDescent="0.3">
      <c r="D9849" s="40"/>
      <c r="J9849" s="134"/>
    </row>
    <row r="9850" spans="4:10" x14ac:dyDescent="0.3">
      <c r="D9850" s="40"/>
      <c r="J9850" s="134"/>
    </row>
    <row r="9851" spans="4:10" x14ac:dyDescent="0.3">
      <c r="D9851" s="40"/>
      <c r="J9851" s="134"/>
    </row>
    <row r="9852" spans="4:10" x14ac:dyDescent="0.3">
      <c r="D9852" s="40"/>
      <c r="J9852" s="134"/>
    </row>
    <row r="9853" spans="4:10" x14ac:dyDescent="0.3">
      <c r="D9853" s="40"/>
      <c r="J9853" s="134"/>
    </row>
    <row r="9854" spans="4:10" x14ac:dyDescent="0.3">
      <c r="D9854" s="40"/>
      <c r="J9854" s="134"/>
    </row>
    <row r="9855" spans="4:10" x14ac:dyDescent="0.3">
      <c r="D9855" s="40"/>
      <c r="J9855" s="134"/>
    </row>
    <row r="9856" spans="4:10" x14ac:dyDescent="0.3">
      <c r="D9856" s="40"/>
      <c r="J9856" s="134"/>
    </row>
    <row r="9857" spans="4:10" x14ac:dyDescent="0.3">
      <c r="D9857" s="40"/>
      <c r="J9857" s="134"/>
    </row>
    <row r="9858" spans="4:10" x14ac:dyDescent="0.3">
      <c r="D9858" s="40"/>
      <c r="J9858" s="134"/>
    </row>
    <row r="9859" spans="4:10" x14ac:dyDescent="0.3">
      <c r="D9859" s="40"/>
      <c r="J9859" s="134"/>
    </row>
    <row r="9860" spans="4:10" x14ac:dyDescent="0.3">
      <c r="D9860" s="40"/>
      <c r="J9860" s="134"/>
    </row>
    <row r="9861" spans="4:10" x14ac:dyDescent="0.3">
      <c r="D9861" s="40"/>
      <c r="J9861" s="134"/>
    </row>
    <row r="9862" spans="4:10" x14ac:dyDescent="0.3">
      <c r="D9862" s="40"/>
      <c r="J9862" s="134"/>
    </row>
    <row r="9863" spans="4:10" x14ac:dyDescent="0.3">
      <c r="D9863" s="40"/>
      <c r="J9863" s="134"/>
    </row>
    <row r="9864" spans="4:10" x14ac:dyDescent="0.3">
      <c r="D9864" s="40"/>
      <c r="J9864" s="134"/>
    </row>
    <row r="9865" spans="4:10" x14ac:dyDescent="0.3">
      <c r="D9865" s="40"/>
      <c r="J9865" s="134"/>
    </row>
    <row r="9866" spans="4:10" x14ac:dyDescent="0.3">
      <c r="D9866" s="40"/>
      <c r="J9866" s="134"/>
    </row>
    <row r="9867" spans="4:10" x14ac:dyDescent="0.3">
      <c r="D9867" s="40"/>
      <c r="J9867" s="134"/>
    </row>
    <row r="9868" spans="4:10" x14ac:dyDescent="0.3">
      <c r="D9868" s="40"/>
      <c r="J9868" s="134"/>
    </row>
    <row r="9869" spans="4:10" x14ac:dyDescent="0.3">
      <c r="D9869" s="40"/>
      <c r="J9869" s="134"/>
    </row>
    <row r="9870" spans="4:10" x14ac:dyDescent="0.3">
      <c r="D9870" s="40"/>
      <c r="J9870" s="134"/>
    </row>
    <row r="9871" spans="4:10" x14ac:dyDescent="0.3">
      <c r="D9871" s="40"/>
      <c r="J9871" s="134"/>
    </row>
    <row r="9872" spans="4:10" x14ac:dyDescent="0.3">
      <c r="D9872" s="40"/>
      <c r="J9872" s="134"/>
    </row>
    <row r="9873" spans="4:10" x14ac:dyDescent="0.3">
      <c r="D9873" s="40"/>
      <c r="J9873" s="134"/>
    </row>
    <row r="9874" spans="4:10" x14ac:dyDescent="0.3">
      <c r="D9874" s="40"/>
      <c r="J9874" s="134"/>
    </row>
    <row r="9875" spans="4:10" x14ac:dyDescent="0.3">
      <c r="D9875" s="40"/>
      <c r="J9875" s="134"/>
    </row>
    <row r="9876" spans="4:10" x14ac:dyDescent="0.3">
      <c r="D9876" s="40"/>
      <c r="J9876" s="134"/>
    </row>
    <row r="9877" spans="4:10" x14ac:dyDescent="0.3">
      <c r="D9877" s="40"/>
      <c r="J9877" s="134"/>
    </row>
    <row r="9878" spans="4:10" x14ac:dyDescent="0.3">
      <c r="D9878" s="40"/>
      <c r="J9878" s="134"/>
    </row>
    <row r="9879" spans="4:10" x14ac:dyDescent="0.3">
      <c r="D9879" s="40"/>
      <c r="J9879" s="134"/>
    </row>
    <row r="9880" spans="4:10" x14ac:dyDescent="0.3">
      <c r="D9880" s="40"/>
      <c r="J9880" s="134"/>
    </row>
    <row r="9881" spans="4:10" x14ac:dyDescent="0.3">
      <c r="D9881" s="40"/>
      <c r="J9881" s="134"/>
    </row>
    <row r="9882" spans="4:10" x14ac:dyDescent="0.3">
      <c r="D9882" s="40"/>
      <c r="J9882" s="134"/>
    </row>
    <row r="9883" spans="4:10" x14ac:dyDescent="0.3">
      <c r="D9883" s="40"/>
      <c r="J9883" s="134"/>
    </row>
    <row r="9884" spans="4:10" x14ac:dyDescent="0.3">
      <c r="D9884" s="40"/>
      <c r="J9884" s="134"/>
    </row>
    <row r="9885" spans="4:10" x14ac:dyDescent="0.3">
      <c r="D9885" s="40"/>
      <c r="J9885" s="134"/>
    </row>
    <row r="9886" spans="4:10" x14ac:dyDescent="0.3">
      <c r="D9886" s="40"/>
      <c r="J9886" s="134"/>
    </row>
    <row r="9887" spans="4:10" x14ac:dyDescent="0.3">
      <c r="D9887" s="40"/>
      <c r="J9887" s="134"/>
    </row>
    <row r="9888" spans="4:10" x14ac:dyDescent="0.3">
      <c r="D9888" s="40"/>
      <c r="J9888" s="134"/>
    </row>
    <row r="9889" spans="4:10" x14ac:dyDescent="0.3">
      <c r="D9889" s="40"/>
      <c r="J9889" s="134"/>
    </row>
    <row r="9890" spans="4:10" x14ac:dyDescent="0.3">
      <c r="D9890" s="40"/>
      <c r="J9890" s="134"/>
    </row>
    <row r="9891" spans="4:10" x14ac:dyDescent="0.3">
      <c r="D9891" s="40"/>
      <c r="J9891" s="134"/>
    </row>
    <row r="9892" spans="4:10" x14ac:dyDescent="0.3">
      <c r="D9892" s="40"/>
      <c r="J9892" s="134"/>
    </row>
    <row r="9893" spans="4:10" x14ac:dyDescent="0.3">
      <c r="D9893" s="40"/>
      <c r="J9893" s="134"/>
    </row>
    <row r="9894" spans="4:10" x14ac:dyDescent="0.3">
      <c r="D9894" s="40"/>
      <c r="J9894" s="134"/>
    </row>
    <row r="9895" spans="4:10" x14ac:dyDescent="0.3">
      <c r="D9895" s="40"/>
      <c r="J9895" s="134"/>
    </row>
    <row r="9896" spans="4:10" x14ac:dyDescent="0.3">
      <c r="D9896" s="40"/>
      <c r="J9896" s="134"/>
    </row>
    <row r="9897" spans="4:10" x14ac:dyDescent="0.3">
      <c r="D9897" s="40"/>
      <c r="J9897" s="134"/>
    </row>
    <row r="9898" spans="4:10" x14ac:dyDescent="0.3">
      <c r="D9898" s="40"/>
      <c r="J9898" s="134"/>
    </row>
    <row r="9899" spans="4:10" x14ac:dyDescent="0.3">
      <c r="D9899" s="40"/>
      <c r="J9899" s="134"/>
    </row>
    <row r="9900" spans="4:10" x14ac:dyDescent="0.3">
      <c r="D9900" s="40"/>
      <c r="J9900" s="134"/>
    </row>
    <row r="9901" spans="4:10" x14ac:dyDescent="0.3">
      <c r="D9901" s="40"/>
      <c r="J9901" s="134"/>
    </row>
    <row r="9902" spans="4:10" x14ac:dyDescent="0.3">
      <c r="D9902" s="40"/>
      <c r="J9902" s="134"/>
    </row>
    <row r="9903" spans="4:10" x14ac:dyDescent="0.3">
      <c r="D9903" s="40"/>
      <c r="J9903" s="134"/>
    </row>
    <row r="9904" spans="4:10" x14ac:dyDescent="0.3">
      <c r="D9904" s="40"/>
      <c r="J9904" s="134"/>
    </row>
    <row r="9905" spans="4:10" x14ac:dyDescent="0.3">
      <c r="D9905" s="40"/>
      <c r="J9905" s="134"/>
    </row>
    <row r="9906" spans="4:10" x14ac:dyDescent="0.3">
      <c r="D9906" s="40"/>
      <c r="J9906" s="134"/>
    </row>
    <row r="9907" spans="4:10" x14ac:dyDescent="0.3">
      <c r="D9907" s="40"/>
      <c r="J9907" s="134"/>
    </row>
    <row r="9908" spans="4:10" x14ac:dyDescent="0.3">
      <c r="D9908" s="40"/>
      <c r="J9908" s="134"/>
    </row>
    <row r="9909" spans="4:10" x14ac:dyDescent="0.3">
      <c r="D9909" s="40"/>
      <c r="J9909" s="134"/>
    </row>
    <row r="9910" spans="4:10" x14ac:dyDescent="0.3">
      <c r="D9910" s="40"/>
      <c r="J9910" s="134"/>
    </row>
    <row r="9911" spans="4:10" x14ac:dyDescent="0.3">
      <c r="D9911" s="40"/>
      <c r="J9911" s="134"/>
    </row>
    <row r="9912" spans="4:10" x14ac:dyDescent="0.3">
      <c r="D9912" s="40"/>
      <c r="J9912" s="134"/>
    </row>
    <row r="9913" spans="4:10" x14ac:dyDescent="0.3">
      <c r="D9913" s="40"/>
      <c r="J9913" s="134"/>
    </row>
    <row r="9914" spans="4:10" x14ac:dyDescent="0.3">
      <c r="D9914" s="40"/>
      <c r="J9914" s="134"/>
    </row>
    <row r="9915" spans="4:10" x14ac:dyDescent="0.3">
      <c r="D9915" s="40"/>
      <c r="J9915" s="134"/>
    </row>
    <row r="9916" spans="4:10" x14ac:dyDescent="0.3">
      <c r="D9916" s="40"/>
      <c r="J9916" s="134"/>
    </row>
    <row r="9917" spans="4:10" x14ac:dyDescent="0.3">
      <c r="D9917" s="40"/>
      <c r="J9917" s="134"/>
    </row>
    <row r="9918" spans="4:10" x14ac:dyDescent="0.3">
      <c r="D9918" s="40"/>
      <c r="J9918" s="134"/>
    </row>
    <row r="9919" spans="4:10" x14ac:dyDescent="0.3">
      <c r="D9919" s="40"/>
      <c r="J9919" s="134"/>
    </row>
    <row r="9920" spans="4:10" x14ac:dyDescent="0.3">
      <c r="D9920" s="40"/>
      <c r="J9920" s="134"/>
    </row>
    <row r="9921" spans="4:10" x14ac:dyDescent="0.3">
      <c r="D9921" s="40"/>
      <c r="J9921" s="134"/>
    </row>
    <row r="9922" spans="4:10" x14ac:dyDescent="0.3">
      <c r="D9922" s="40"/>
      <c r="J9922" s="134"/>
    </row>
    <row r="9923" spans="4:10" x14ac:dyDescent="0.3">
      <c r="D9923" s="40"/>
      <c r="J9923" s="134"/>
    </row>
    <row r="9924" spans="4:10" x14ac:dyDescent="0.3">
      <c r="D9924" s="40"/>
      <c r="J9924" s="134"/>
    </row>
    <row r="9925" spans="4:10" x14ac:dyDescent="0.3">
      <c r="D9925" s="40"/>
      <c r="J9925" s="134"/>
    </row>
    <row r="9926" spans="4:10" x14ac:dyDescent="0.3">
      <c r="D9926" s="40"/>
      <c r="J9926" s="134"/>
    </row>
    <row r="9927" spans="4:10" x14ac:dyDescent="0.3">
      <c r="D9927" s="40"/>
      <c r="J9927" s="134"/>
    </row>
    <row r="9928" spans="4:10" x14ac:dyDescent="0.3">
      <c r="D9928" s="40"/>
      <c r="J9928" s="134"/>
    </row>
    <row r="9929" spans="4:10" x14ac:dyDescent="0.3">
      <c r="D9929" s="40"/>
      <c r="J9929" s="134"/>
    </row>
    <row r="9930" spans="4:10" x14ac:dyDescent="0.3">
      <c r="D9930" s="40"/>
      <c r="J9930" s="134"/>
    </row>
    <row r="9931" spans="4:10" x14ac:dyDescent="0.3">
      <c r="D9931" s="40"/>
      <c r="J9931" s="134"/>
    </row>
    <row r="9932" spans="4:10" x14ac:dyDescent="0.3">
      <c r="D9932" s="40"/>
      <c r="J9932" s="134"/>
    </row>
    <row r="9933" spans="4:10" x14ac:dyDescent="0.3">
      <c r="D9933" s="40"/>
      <c r="J9933" s="134"/>
    </row>
    <row r="9934" spans="4:10" x14ac:dyDescent="0.3">
      <c r="D9934" s="40"/>
      <c r="J9934" s="134"/>
    </row>
    <row r="9935" spans="4:10" x14ac:dyDescent="0.3">
      <c r="D9935" s="40"/>
      <c r="J9935" s="134"/>
    </row>
    <row r="9936" spans="4:10" x14ac:dyDescent="0.3">
      <c r="D9936" s="40"/>
      <c r="J9936" s="134"/>
    </row>
    <row r="9937" spans="4:10" x14ac:dyDescent="0.3">
      <c r="D9937" s="40"/>
      <c r="J9937" s="134"/>
    </row>
    <row r="9938" spans="4:10" x14ac:dyDescent="0.3">
      <c r="D9938" s="40"/>
      <c r="J9938" s="134"/>
    </row>
    <row r="9939" spans="4:10" x14ac:dyDescent="0.3">
      <c r="D9939" s="40"/>
      <c r="J9939" s="134"/>
    </row>
    <row r="9940" spans="4:10" x14ac:dyDescent="0.3">
      <c r="D9940" s="40"/>
      <c r="J9940" s="134"/>
    </row>
    <row r="9941" spans="4:10" x14ac:dyDescent="0.3">
      <c r="D9941" s="40"/>
      <c r="J9941" s="134"/>
    </row>
    <row r="9942" spans="4:10" x14ac:dyDescent="0.3">
      <c r="D9942" s="40"/>
      <c r="J9942" s="134"/>
    </row>
    <row r="9943" spans="4:10" x14ac:dyDescent="0.3">
      <c r="D9943" s="40"/>
      <c r="J9943" s="134"/>
    </row>
    <row r="9944" spans="4:10" x14ac:dyDescent="0.3">
      <c r="D9944" s="40"/>
      <c r="J9944" s="134"/>
    </row>
    <row r="9945" spans="4:10" x14ac:dyDescent="0.3">
      <c r="D9945" s="40"/>
      <c r="J9945" s="134"/>
    </row>
    <row r="9946" spans="4:10" x14ac:dyDescent="0.3">
      <c r="D9946" s="40"/>
      <c r="J9946" s="134"/>
    </row>
    <row r="9947" spans="4:10" x14ac:dyDescent="0.3">
      <c r="D9947" s="40"/>
      <c r="J9947" s="134"/>
    </row>
    <row r="9948" spans="4:10" x14ac:dyDescent="0.3">
      <c r="D9948" s="40"/>
      <c r="J9948" s="134"/>
    </row>
    <row r="9949" spans="4:10" x14ac:dyDescent="0.3">
      <c r="D9949" s="40"/>
      <c r="J9949" s="134"/>
    </row>
    <row r="9950" spans="4:10" x14ac:dyDescent="0.3">
      <c r="D9950" s="40"/>
      <c r="J9950" s="134"/>
    </row>
    <row r="9951" spans="4:10" x14ac:dyDescent="0.3">
      <c r="D9951" s="40"/>
      <c r="J9951" s="134"/>
    </row>
    <row r="9952" spans="4:10" x14ac:dyDescent="0.3">
      <c r="D9952" s="40"/>
      <c r="J9952" s="134"/>
    </row>
    <row r="9953" spans="4:10" x14ac:dyDescent="0.3">
      <c r="D9953" s="40"/>
      <c r="J9953" s="134"/>
    </row>
    <row r="9954" spans="4:10" x14ac:dyDescent="0.3">
      <c r="D9954" s="40"/>
      <c r="J9954" s="134"/>
    </row>
    <row r="9955" spans="4:10" x14ac:dyDescent="0.3">
      <c r="D9955" s="40"/>
      <c r="J9955" s="134"/>
    </row>
    <row r="9956" spans="4:10" x14ac:dyDescent="0.3">
      <c r="D9956" s="40"/>
      <c r="J9956" s="134"/>
    </row>
    <row r="9957" spans="4:10" x14ac:dyDescent="0.3">
      <c r="D9957" s="40"/>
      <c r="J9957" s="134"/>
    </row>
    <row r="9958" spans="4:10" x14ac:dyDescent="0.3">
      <c r="D9958" s="40"/>
      <c r="J9958" s="134"/>
    </row>
    <row r="9959" spans="4:10" x14ac:dyDescent="0.3">
      <c r="D9959" s="40"/>
      <c r="J9959" s="134"/>
    </row>
    <row r="9960" spans="4:10" x14ac:dyDescent="0.3">
      <c r="D9960" s="40"/>
      <c r="J9960" s="134"/>
    </row>
    <row r="9961" spans="4:10" x14ac:dyDescent="0.3">
      <c r="D9961" s="40"/>
      <c r="J9961" s="134"/>
    </row>
    <row r="9962" spans="4:10" x14ac:dyDescent="0.3">
      <c r="D9962" s="40"/>
      <c r="J9962" s="134"/>
    </row>
    <row r="9963" spans="4:10" x14ac:dyDescent="0.3">
      <c r="D9963" s="40"/>
      <c r="J9963" s="134"/>
    </row>
    <row r="9964" spans="4:10" x14ac:dyDescent="0.3">
      <c r="D9964" s="40"/>
      <c r="J9964" s="134"/>
    </row>
    <row r="9965" spans="4:10" x14ac:dyDescent="0.3">
      <c r="D9965" s="40"/>
      <c r="J9965" s="134"/>
    </row>
    <row r="9966" spans="4:10" x14ac:dyDescent="0.3">
      <c r="D9966" s="40"/>
      <c r="J9966" s="134"/>
    </row>
    <row r="9967" spans="4:10" x14ac:dyDescent="0.3">
      <c r="D9967" s="40"/>
      <c r="J9967" s="134"/>
    </row>
    <row r="9968" spans="4:10" x14ac:dyDescent="0.3">
      <c r="D9968" s="40"/>
      <c r="J9968" s="134"/>
    </row>
    <row r="9969" spans="4:10" x14ac:dyDescent="0.3">
      <c r="D9969" s="40"/>
      <c r="J9969" s="134"/>
    </row>
    <row r="9970" spans="4:10" x14ac:dyDescent="0.3">
      <c r="D9970" s="40"/>
      <c r="J9970" s="134"/>
    </row>
    <row r="9971" spans="4:10" x14ac:dyDescent="0.3">
      <c r="D9971" s="40"/>
      <c r="J9971" s="134"/>
    </row>
    <row r="9972" spans="4:10" x14ac:dyDescent="0.3">
      <c r="D9972" s="40"/>
      <c r="J9972" s="134"/>
    </row>
    <row r="9973" spans="4:10" x14ac:dyDescent="0.3">
      <c r="D9973" s="40"/>
      <c r="J9973" s="134"/>
    </row>
    <row r="9974" spans="4:10" x14ac:dyDescent="0.3">
      <c r="D9974" s="40"/>
      <c r="J9974" s="134"/>
    </row>
    <row r="9975" spans="4:10" x14ac:dyDescent="0.3">
      <c r="D9975" s="40"/>
      <c r="J9975" s="134"/>
    </row>
    <row r="9976" spans="4:10" x14ac:dyDescent="0.3">
      <c r="D9976" s="40"/>
      <c r="J9976" s="134"/>
    </row>
    <row r="9977" spans="4:10" x14ac:dyDescent="0.3">
      <c r="D9977" s="40"/>
      <c r="J9977" s="134"/>
    </row>
    <row r="9978" spans="4:10" x14ac:dyDescent="0.3">
      <c r="D9978" s="40"/>
      <c r="J9978" s="134"/>
    </row>
    <row r="9979" spans="4:10" x14ac:dyDescent="0.3">
      <c r="D9979" s="40"/>
      <c r="J9979" s="134"/>
    </row>
    <row r="9980" spans="4:10" x14ac:dyDescent="0.3">
      <c r="D9980" s="40"/>
      <c r="J9980" s="134"/>
    </row>
    <row r="9981" spans="4:10" x14ac:dyDescent="0.3">
      <c r="D9981" s="40"/>
      <c r="J9981" s="134"/>
    </row>
    <row r="9982" spans="4:10" x14ac:dyDescent="0.3">
      <c r="D9982" s="40"/>
      <c r="J9982" s="134"/>
    </row>
    <row r="9983" spans="4:10" x14ac:dyDescent="0.3">
      <c r="D9983" s="40"/>
      <c r="J9983" s="134"/>
    </row>
    <row r="9984" spans="4:10" x14ac:dyDescent="0.3">
      <c r="D9984" s="40"/>
      <c r="J9984" s="134"/>
    </row>
    <row r="9985" spans="4:10" x14ac:dyDescent="0.3">
      <c r="D9985" s="40"/>
      <c r="J9985" s="134"/>
    </row>
    <row r="9986" spans="4:10" x14ac:dyDescent="0.3">
      <c r="D9986" s="40"/>
      <c r="J9986" s="134"/>
    </row>
    <row r="9987" spans="4:10" x14ac:dyDescent="0.3">
      <c r="D9987" s="40"/>
      <c r="J9987" s="134"/>
    </row>
    <row r="9988" spans="4:10" x14ac:dyDescent="0.3">
      <c r="D9988" s="40"/>
      <c r="J9988" s="134"/>
    </row>
    <row r="9989" spans="4:10" x14ac:dyDescent="0.3">
      <c r="D9989" s="40"/>
      <c r="J9989" s="134"/>
    </row>
    <row r="9990" spans="4:10" x14ac:dyDescent="0.3">
      <c r="D9990" s="40"/>
      <c r="J9990" s="134"/>
    </row>
    <row r="9991" spans="4:10" x14ac:dyDescent="0.3">
      <c r="D9991" s="40"/>
      <c r="J9991" s="134"/>
    </row>
    <row r="9992" spans="4:10" x14ac:dyDescent="0.3">
      <c r="D9992" s="40"/>
      <c r="J9992" s="134"/>
    </row>
    <row r="9993" spans="4:10" x14ac:dyDescent="0.3">
      <c r="D9993" s="40"/>
      <c r="J9993" s="134"/>
    </row>
    <row r="9994" spans="4:10" x14ac:dyDescent="0.3">
      <c r="D9994" s="40"/>
      <c r="J9994" s="134"/>
    </row>
    <row r="9995" spans="4:10" x14ac:dyDescent="0.3">
      <c r="D9995" s="40"/>
      <c r="J9995" s="134"/>
    </row>
    <row r="9996" spans="4:10" x14ac:dyDescent="0.3">
      <c r="D9996" s="40"/>
      <c r="J9996" s="134"/>
    </row>
    <row r="9997" spans="4:10" x14ac:dyDescent="0.3">
      <c r="D9997" s="40"/>
      <c r="J9997" s="134"/>
    </row>
    <row r="9998" spans="4:10" x14ac:dyDescent="0.3">
      <c r="D9998" s="40"/>
      <c r="J9998" s="134"/>
    </row>
    <row r="9999" spans="4:10" x14ac:dyDescent="0.3">
      <c r="D9999" s="40"/>
      <c r="J9999" s="134"/>
    </row>
    <row r="10000" spans="4:10" x14ac:dyDescent="0.3">
      <c r="D10000" s="40"/>
      <c r="J10000" s="134"/>
    </row>
    <row r="10001" spans="4:10" x14ac:dyDescent="0.3">
      <c r="D10001" s="40"/>
      <c r="J10001" s="134"/>
    </row>
    <row r="10002" spans="4:10" x14ac:dyDescent="0.3">
      <c r="D10002" s="40"/>
      <c r="J10002" s="134"/>
    </row>
    <row r="10003" spans="4:10" x14ac:dyDescent="0.3">
      <c r="D10003" s="40"/>
      <c r="J10003" s="134"/>
    </row>
    <row r="10004" spans="4:10" x14ac:dyDescent="0.3">
      <c r="D10004" s="40"/>
      <c r="J10004" s="134"/>
    </row>
    <row r="10005" spans="4:10" x14ac:dyDescent="0.3">
      <c r="D10005" s="40"/>
      <c r="J10005" s="134"/>
    </row>
    <row r="10006" spans="4:10" x14ac:dyDescent="0.3">
      <c r="D10006" s="40"/>
      <c r="J10006" s="134"/>
    </row>
    <row r="10007" spans="4:10" x14ac:dyDescent="0.3">
      <c r="D10007" s="40"/>
      <c r="J10007" s="134"/>
    </row>
    <row r="10008" spans="4:10" x14ac:dyDescent="0.3">
      <c r="D10008" s="40"/>
      <c r="J10008" s="134"/>
    </row>
    <row r="10009" spans="4:10" x14ac:dyDescent="0.3">
      <c r="D10009" s="40"/>
      <c r="J10009" s="134"/>
    </row>
    <row r="10010" spans="4:10" x14ac:dyDescent="0.3">
      <c r="D10010" s="40"/>
      <c r="J10010" s="134"/>
    </row>
    <row r="10011" spans="4:10" x14ac:dyDescent="0.3">
      <c r="D10011" s="40"/>
      <c r="J10011" s="134"/>
    </row>
    <row r="10012" spans="4:10" x14ac:dyDescent="0.3">
      <c r="D10012" s="40"/>
      <c r="J10012" s="134"/>
    </row>
    <row r="10013" spans="4:10" x14ac:dyDescent="0.3">
      <c r="D10013" s="40"/>
      <c r="J10013" s="134"/>
    </row>
    <row r="10014" spans="4:10" x14ac:dyDescent="0.3">
      <c r="D10014" s="40"/>
      <c r="J10014" s="134"/>
    </row>
    <row r="10015" spans="4:10" x14ac:dyDescent="0.3">
      <c r="D10015" s="40"/>
      <c r="J10015" s="134"/>
    </row>
    <row r="10016" spans="4:10" x14ac:dyDescent="0.3">
      <c r="D10016" s="40"/>
      <c r="J10016" s="134"/>
    </row>
    <row r="10017" spans="4:10" x14ac:dyDescent="0.3">
      <c r="D10017" s="40"/>
      <c r="J10017" s="134"/>
    </row>
    <row r="10018" spans="4:10" x14ac:dyDescent="0.3">
      <c r="D10018" s="40"/>
      <c r="J10018" s="134"/>
    </row>
    <row r="10019" spans="4:10" x14ac:dyDescent="0.3">
      <c r="D10019" s="40"/>
      <c r="J10019" s="134"/>
    </row>
    <row r="10020" spans="4:10" x14ac:dyDescent="0.3">
      <c r="D10020" s="40"/>
      <c r="J10020" s="134"/>
    </row>
    <row r="10021" spans="4:10" x14ac:dyDescent="0.3">
      <c r="D10021" s="40"/>
      <c r="J10021" s="134"/>
    </row>
    <row r="10022" spans="4:10" x14ac:dyDescent="0.3">
      <c r="D10022" s="40"/>
      <c r="J10022" s="134"/>
    </row>
    <row r="10023" spans="4:10" x14ac:dyDescent="0.3">
      <c r="D10023" s="40"/>
      <c r="J10023" s="134"/>
    </row>
    <row r="10024" spans="4:10" x14ac:dyDescent="0.3">
      <c r="D10024" s="40"/>
      <c r="J10024" s="134"/>
    </row>
    <row r="10025" spans="4:10" x14ac:dyDescent="0.3">
      <c r="D10025" s="40"/>
      <c r="J10025" s="134"/>
    </row>
    <row r="10026" spans="4:10" x14ac:dyDescent="0.3">
      <c r="D10026" s="40"/>
      <c r="J10026" s="134"/>
    </row>
    <row r="10027" spans="4:10" x14ac:dyDescent="0.3">
      <c r="D10027" s="40"/>
      <c r="J10027" s="134"/>
    </row>
    <row r="10028" spans="4:10" x14ac:dyDescent="0.3">
      <c r="D10028" s="40"/>
      <c r="J10028" s="134"/>
    </row>
    <row r="10029" spans="4:10" x14ac:dyDescent="0.3">
      <c r="D10029" s="40"/>
      <c r="J10029" s="134"/>
    </row>
    <row r="10030" spans="4:10" x14ac:dyDescent="0.3">
      <c r="D10030" s="40"/>
      <c r="J10030" s="134"/>
    </row>
    <row r="10031" spans="4:10" x14ac:dyDescent="0.3">
      <c r="D10031" s="40"/>
      <c r="J10031" s="134"/>
    </row>
    <row r="10032" spans="4:10" x14ac:dyDescent="0.3">
      <c r="D10032" s="40"/>
      <c r="J10032" s="134"/>
    </row>
    <row r="10033" spans="4:10" x14ac:dyDescent="0.3">
      <c r="D10033" s="40"/>
      <c r="J10033" s="134"/>
    </row>
    <row r="10034" spans="4:10" x14ac:dyDescent="0.3">
      <c r="D10034" s="40"/>
      <c r="J10034" s="134"/>
    </row>
    <row r="10035" spans="4:10" x14ac:dyDescent="0.3">
      <c r="D10035" s="40"/>
      <c r="J10035" s="134"/>
    </row>
    <row r="10036" spans="4:10" x14ac:dyDescent="0.3">
      <c r="D10036" s="40"/>
      <c r="J10036" s="134"/>
    </row>
    <row r="10037" spans="4:10" x14ac:dyDescent="0.3">
      <c r="D10037" s="40"/>
      <c r="J10037" s="134"/>
    </row>
    <row r="10038" spans="4:10" x14ac:dyDescent="0.3">
      <c r="D10038" s="40"/>
      <c r="J10038" s="134"/>
    </row>
    <row r="10039" spans="4:10" x14ac:dyDescent="0.3">
      <c r="D10039" s="40"/>
      <c r="J10039" s="134"/>
    </row>
    <row r="10040" spans="4:10" x14ac:dyDescent="0.3">
      <c r="D10040" s="40"/>
      <c r="J10040" s="134"/>
    </row>
    <row r="10041" spans="4:10" x14ac:dyDescent="0.3">
      <c r="D10041" s="40"/>
      <c r="J10041" s="134"/>
    </row>
    <row r="10042" spans="4:10" x14ac:dyDescent="0.3">
      <c r="D10042" s="40"/>
      <c r="J10042" s="134"/>
    </row>
    <row r="10043" spans="4:10" x14ac:dyDescent="0.3">
      <c r="D10043" s="40"/>
      <c r="J10043" s="134"/>
    </row>
    <row r="10044" spans="4:10" x14ac:dyDescent="0.3">
      <c r="D10044" s="40"/>
      <c r="J10044" s="134"/>
    </row>
    <row r="10045" spans="4:10" x14ac:dyDescent="0.3">
      <c r="D10045" s="40"/>
      <c r="J10045" s="134"/>
    </row>
    <row r="10046" spans="4:10" x14ac:dyDescent="0.3">
      <c r="D10046" s="40"/>
      <c r="J10046" s="134"/>
    </row>
    <row r="10047" spans="4:10" x14ac:dyDescent="0.3">
      <c r="D10047" s="40"/>
      <c r="J10047" s="134"/>
    </row>
    <row r="10048" spans="4:10" x14ac:dyDescent="0.3">
      <c r="D10048" s="40"/>
      <c r="J10048" s="134"/>
    </row>
    <row r="10049" spans="4:10" x14ac:dyDescent="0.3">
      <c r="D10049" s="40"/>
      <c r="J10049" s="134"/>
    </row>
    <row r="10050" spans="4:10" x14ac:dyDescent="0.3">
      <c r="D10050" s="40"/>
      <c r="J10050" s="134"/>
    </row>
    <row r="10051" spans="4:10" x14ac:dyDescent="0.3">
      <c r="D10051" s="40"/>
      <c r="J10051" s="134"/>
    </row>
    <row r="10052" spans="4:10" x14ac:dyDescent="0.3">
      <c r="D10052" s="40"/>
      <c r="J10052" s="134"/>
    </row>
    <row r="10053" spans="4:10" x14ac:dyDescent="0.3">
      <c r="D10053" s="40"/>
      <c r="J10053" s="134"/>
    </row>
    <row r="10054" spans="4:10" x14ac:dyDescent="0.3">
      <c r="D10054" s="40"/>
      <c r="J10054" s="134"/>
    </row>
    <row r="10055" spans="4:10" x14ac:dyDescent="0.3">
      <c r="D10055" s="40"/>
      <c r="J10055" s="134"/>
    </row>
    <row r="10056" spans="4:10" x14ac:dyDescent="0.3">
      <c r="D10056" s="40"/>
      <c r="J10056" s="134"/>
    </row>
    <row r="10057" spans="4:10" x14ac:dyDescent="0.3">
      <c r="D10057" s="40"/>
      <c r="J10057" s="134"/>
    </row>
    <row r="10058" spans="4:10" x14ac:dyDescent="0.3">
      <c r="D10058" s="40"/>
      <c r="J10058" s="134"/>
    </row>
    <row r="10059" spans="4:10" x14ac:dyDescent="0.3">
      <c r="D10059" s="40"/>
      <c r="J10059" s="134"/>
    </row>
    <row r="10060" spans="4:10" x14ac:dyDescent="0.3">
      <c r="D10060" s="40"/>
      <c r="J10060" s="134"/>
    </row>
    <row r="10061" spans="4:10" x14ac:dyDescent="0.3">
      <c r="D10061" s="40"/>
      <c r="J10061" s="134"/>
    </row>
    <row r="10062" spans="4:10" x14ac:dyDescent="0.3">
      <c r="D10062" s="40"/>
      <c r="J10062" s="134"/>
    </row>
    <row r="10063" spans="4:10" x14ac:dyDescent="0.3">
      <c r="D10063" s="40"/>
      <c r="J10063" s="134"/>
    </row>
    <row r="10064" spans="4:10" x14ac:dyDescent="0.3">
      <c r="D10064" s="40"/>
      <c r="J10064" s="134"/>
    </row>
    <row r="10065" spans="4:10" x14ac:dyDescent="0.3">
      <c r="D10065" s="40"/>
      <c r="J10065" s="134"/>
    </row>
    <row r="10066" spans="4:10" x14ac:dyDescent="0.3">
      <c r="D10066" s="40"/>
      <c r="J10066" s="134"/>
    </row>
    <row r="10067" spans="4:10" x14ac:dyDescent="0.3">
      <c r="D10067" s="40"/>
      <c r="J10067" s="134"/>
    </row>
    <row r="10068" spans="4:10" x14ac:dyDescent="0.3">
      <c r="D10068" s="40"/>
      <c r="J10068" s="134"/>
    </row>
    <row r="10069" spans="4:10" x14ac:dyDescent="0.3">
      <c r="D10069" s="40"/>
      <c r="J10069" s="134"/>
    </row>
    <row r="10070" spans="4:10" x14ac:dyDescent="0.3">
      <c r="D10070" s="40"/>
      <c r="J10070" s="134"/>
    </row>
    <row r="10071" spans="4:10" x14ac:dyDescent="0.3">
      <c r="D10071" s="40"/>
      <c r="J10071" s="134"/>
    </row>
    <row r="10072" spans="4:10" x14ac:dyDescent="0.3">
      <c r="D10072" s="40"/>
      <c r="J10072" s="134"/>
    </row>
    <row r="10073" spans="4:10" x14ac:dyDescent="0.3">
      <c r="D10073" s="40"/>
      <c r="J10073" s="134"/>
    </row>
    <row r="10074" spans="4:10" x14ac:dyDescent="0.3">
      <c r="D10074" s="40"/>
      <c r="J10074" s="134"/>
    </row>
    <row r="10075" spans="4:10" x14ac:dyDescent="0.3">
      <c r="D10075" s="40"/>
      <c r="J10075" s="134"/>
    </row>
    <row r="10076" spans="4:10" x14ac:dyDescent="0.3">
      <c r="D10076" s="40"/>
      <c r="J10076" s="134"/>
    </row>
    <row r="10077" spans="4:10" x14ac:dyDescent="0.3">
      <c r="D10077" s="40"/>
      <c r="J10077" s="134"/>
    </row>
    <row r="10078" spans="4:10" x14ac:dyDescent="0.3">
      <c r="D10078" s="40"/>
      <c r="J10078" s="134"/>
    </row>
    <row r="10079" spans="4:10" x14ac:dyDescent="0.3">
      <c r="D10079" s="40"/>
      <c r="J10079" s="134"/>
    </row>
    <row r="10080" spans="4:10" x14ac:dyDescent="0.3">
      <c r="D10080" s="40"/>
      <c r="J10080" s="134"/>
    </row>
    <row r="10081" spans="4:10" x14ac:dyDescent="0.3">
      <c r="D10081" s="40"/>
      <c r="J10081" s="134"/>
    </row>
    <row r="10082" spans="4:10" x14ac:dyDescent="0.3">
      <c r="D10082" s="40"/>
      <c r="J10082" s="134"/>
    </row>
    <row r="10083" spans="4:10" x14ac:dyDescent="0.3">
      <c r="D10083" s="40"/>
      <c r="J10083" s="134"/>
    </row>
    <row r="10084" spans="4:10" x14ac:dyDescent="0.3">
      <c r="D10084" s="40"/>
      <c r="J10084" s="134"/>
    </row>
    <row r="10085" spans="4:10" x14ac:dyDescent="0.3">
      <c r="D10085" s="40"/>
      <c r="J10085" s="134"/>
    </row>
    <row r="10086" spans="4:10" x14ac:dyDescent="0.3">
      <c r="D10086" s="40"/>
      <c r="J10086" s="134"/>
    </row>
    <row r="10087" spans="4:10" x14ac:dyDescent="0.3">
      <c r="D10087" s="40"/>
      <c r="J10087" s="134"/>
    </row>
    <row r="10088" spans="4:10" x14ac:dyDescent="0.3">
      <c r="D10088" s="40"/>
      <c r="J10088" s="134"/>
    </row>
    <row r="10089" spans="4:10" x14ac:dyDescent="0.3">
      <c r="D10089" s="40"/>
      <c r="J10089" s="134"/>
    </row>
    <row r="10090" spans="4:10" x14ac:dyDescent="0.3">
      <c r="D10090" s="40"/>
      <c r="J10090" s="134"/>
    </row>
    <row r="10091" spans="4:10" x14ac:dyDescent="0.3">
      <c r="D10091" s="40"/>
      <c r="J10091" s="134"/>
    </row>
    <row r="10092" spans="4:10" x14ac:dyDescent="0.3">
      <c r="D10092" s="40"/>
      <c r="J10092" s="134"/>
    </row>
    <row r="10093" spans="4:10" x14ac:dyDescent="0.3">
      <c r="D10093" s="40"/>
      <c r="J10093" s="134"/>
    </row>
    <row r="10094" spans="4:10" x14ac:dyDescent="0.3">
      <c r="D10094" s="40"/>
      <c r="J10094" s="134"/>
    </row>
    <row r="10095" spans="4:10" x14ac:dyDescent="0.3">
      <c r="D10095" s="40"/>
      <c r="J10095" s="134"/>
    </row>
    <row r="10096" spans="4:10" x14ac:dyDescent="0.3">
      <c r="D10096" s="40"/>
      <c r="J10096" s="134"/>
    </row>
    <row r="10097" spans="4:10" x14ac:dyDescent="0.3">
      <c r="D10097" s="40"/>
      <c r="J10097" s="134"/>
    </row>
    <row r="10098" spans="4:10" x14ac:dyDescent="0.3">
      <c r="D10098" s="40"/>
      <c r="J10098" s="134"/>
    </row>
    <row r="10099" spans="4:10" x14ac:dyDescent="0.3">
      <c r="D10099" s="40"/>
      <c r="J10099" s="134"/>
    </row>
    <row r="10100" spans="4:10" x14ac:dyDescent="0.3">
      <c r="D10100" s="40"/>
      <c r="J10100" s="134"/>
    </row>
    <row r="10101" spans="4:10" x14ac:dyDescent="0.3">
      <c r="D10101" s="40"/>
      <c r="J10101" s="134"/>
    </row>
    <row r="10102" spans="4:10" x14ac:dyDescent="0.3">
      <c r="D10102" s="40"/>
      <c r="J10102" s="134"/>
    </row>
    <row r="10103" spans="4:10" x14ac:dyDescent="0.3">
      <c r="D10103" s="40"/>
      <c r="J10103" s="134"/>
    </row>
    <row r="10104" spans="4:10" x14ac:dyDescent="0.3">
      <c r="D10104" s="40"/>
      <c r="J10104" s="134"/>
    </row>
    <row r="10105" spans="4:10" x14ac:dyDescent="0.3">
      <c r="D10105" s="40"/>
      <c r="J10105" s="134"/>
    </row>
    <row r="10106" spans="4:10" x14ac:dyDescent="0.3">
      <c r="D10106" s="40"/>
      <c r="J10106" s="134"/>
    </row>
    <row r="10107" spans="4:10" x14ac:dyDescent="0.3">
      <c r="D10107" s="40"/>
      <c r="J10107" s="134"/>
    </row>
    <row r="10108" spans="4:10" x14ac:dyDescent="0.3">
      <c r="D10108" s="40"/>
      <c r="J10108" s="134"/>
    </row>
    <row r="10109" spans="4:10" x14ac:dyDescent="0.3">
      <c r="D10109" s="40"/>
      <c r="J10109" s="134"/>
    </row>
    <row r="10110" spans="4:10" x14ac:dyDescent="0.3">
      <c r="D10110" s="40"/>
      <c r="J10110" s="134"/>
    </row>
    <row r="10111" spans="4:10" x14ac:dyDescent="0.3">
      <c r="D10111" s="40"/>
      <c r="J10111" s="134"/>
    </row>
    <row r="10112" spans="4:10" x14ac:dyDescent="0.3">
      <c r="D10112" s="40"/>
      <c r="J10112" s="134"/>
    </row>
    <row r="10113" spans="4:10" x14ac:dyDescent="0.3">
      <c r="D10113" s="40"/>
      <c r="J10113" s="134"/>
    </row>
    <row r="10114" spans="4:10" x14ac:dyDescent="0.3">
      <c r="D10114" s="40"/>
      <c r="J10114" s="134"/>
    </row>
    <row r="10115" spans="4:10" x14ac:dyDescent="0.3">
      <c r="D10115" s="40"/>
      <c r="J10115" s="134"/>
    </row>
    <row r="10116" spans="4:10" x14ac:dyDescent="0.3">
      <c r="D10116" s="40"/>
      <c r="J10116" s="134"/>
    </row>
    <row r="10117" spans="4:10" x14ac:dyDescent="0.3">
      <c r="D10117" s="40"/>
      <c r="J10117" s="134"/>
    </row>
    <row r="10118" spans="4:10" x14ac:dyDescent="0.3">
      <c r="D10118" s="40"/>
      <c r="J10118" s="134"/>
    </row>
    <row r="10119" spans="4:10" x14ac:dyDescent="0.3">
      <c r="D10119" s="40"/>
      <c r="J10119" s="134"/>
    </row>
    <row r="10120" spans="4:10" x14ac:dyDescent="0.3">
      <c r="D10120" s="40"/>
      <c r="J10120" s="134"/>
    </row>
    <row r="10121" spans="4:10" x14ac:dyDescent="0.3">
      <c r="D10121" s="40"/>
      <c r="J10121" s="134"/>
    </row>
    <row r="10122" spans="4:10" x14ac:dyDescent="0.3">
      <c r="D10122" s="40"/>
      <c r="J10122" s="134"/>
    </row>
    <row r="10123" spans="4:10" x14ac:dyDescent="0.3">
      <c r="D10123" s="40"/>
      <c r="J10123" s="134"/>
    </row>
    <row r="10124" spans="4:10" x14ac:dyDescent="0.3">
      <c r="D10124" s="40"/>
      <c r="J10124" s="134"/>
    </row>
    <row r="10125" spans="4:10" x14ac:dyDescent="0.3">
      <c r="D10125" s="40"/>
      <c r="J10125" s="134"/>
    </row>
    <row r="10126" spans="4:10" x14ac:dyDescent="0.3">
      <c r="D10126" s="40"/>
      <c r="J10126" s="134"/>
    </row>
    <row r="10127" spans="4:10" x14ac:dyDescent="0.3">
      <c r="D10127" s="40"/>
      <c r="J10127" s="134"/>
    </row>
    <row r="10128" spans="4:10" x14ac:dyDescent="0.3">
      <c r="D10128" s="40"/>
      <c r="J10128" s="134"/>
    </row>
    <row r="10129" spans="4:10" x14ac:dyDescent="0.3">
      <c r="D10129" s="40"/>
      <c r="J10129" s="134"/>
    </row>
    <row r="10130" spans="4:10" x14ac:dyDescent="0.3">
      <c r="D10130" s="40"/>
      <c r="J10130" s="134"/>
    </row>
    <row r="10131" spans="4:10" x14ac:dyDescent="0.3">
      <c r="D10131" s="40"/>
      <c r="J10131" s="134"/>
    </row>
    <row r="10132" spans="4:10" x14ac:dyDescent="0.3">
      <c r="D10132" s="40"/>
      <c r="J10132" s="134"/>
    </row>
    <row r="10133" spans="4:10" x14ac:dyDescent="0.3">
      <c r="D10133" s="40"/>
      <c r="J10133" s="134"/>
    </row>
    <row r="10134" spans="4:10" x14ac:dyDescent="0.3">
      <c r="D10134" s="40"/>
      <c r="J10134" s="134"/>
    </row>
    <row r="10135" spans="4:10" x14ac:dyDescent="0.3">
      <c r="D10135" s="40"/>
      <c r="J10135" s="134"/>
    </row>
    <row r="10136" spans="4:10" x14ac:dyDescent="0.3">
      <c r="D10136" s="40"/>
      <c r="J10136" s="134"/>
    </row>
    <row r="10137" spans="4:10" x14ac:dyDescent="0.3">
      <c r="D10137" s="40"/>
      <c r="J10137" s="134"/>
    </row>
    <row r="10138" spans="4:10" x14ac:dyDescent="0.3">
      <c r="D10138" s="40"/>
      <c r="J10138" s="134"/>
    </row>
    <row r="10139" spans="4:10" x14ac:dyDescent="0.3">
      <c r="D10139" s="40"/>
      <c r="J10139" s="134"/>
    </row>
    <row r="10140" spans="4:10" x14ac:dyDescent="0.3">
      <c r="D10140" s="40"/>
      <c r="J10140" s="134"/>
    </row>
    <row r="10141" spans="4:10" x14ac:dyDescent="0.3">
      <c r="D10141" s="40"/>
      <c r="J10141" s="134"/>
    </row>
    <row r="10142" spans="4:10" x14ac:dyDescent="0.3">
      <c r="D10142" s="40"/>
      <c r="J10142" s="134"/>
    </row>
    <row r="10143" spans="4:10" x14ac:dyDescent="0.3">
      <c r="D10143" s="40"/>
      <c r="J10143" s="134"/>
    </row>
    <row r="10144" spans="4:10" x14ac:dyDescent="0.3">
      <c r="D10144" s="40"/>
      <c r="J10144" s="134"/>
    </row>
    <row r="10145" spans="4:10" x14ac:dyDescent="0.3">
      <c r="D10145" s="40"/>
      <c r="J10145" s="134"/>
    </row>
    <row r="10146" spans="4:10" x14ac:dyDescent="0.3">
      <c r="D10146" s="40"/>
      <c r="J10146" s="134"/>
    </row>
    <row r="10147" spans="4:10" x14ac:dyDescent="0.3">
      <c r="D10147" s="40"/>
      <c r="J10147" s="134"/>
    </row>
    <row r="10148" spans="4:10" x14ac:dyDescent="0.3">
      <c r="D10148" s="40"/>
      <c r="J10148" s="134"/>
    </row>
    <row r="10149" spans="4:10" x14ac:dyDescent="0.3">
      <c r="D10149" s="40"/>
      <c r="J10149" s="134"/>
    </row>
    <row r="10150" spans="4:10" x14ac:dyDescent="0.3">
      <c r="D10150" s="40"/>
      <c r="J10150" s="134"/>
    </row>
    <row r="10151" spans="4:10" x14ac:dyDescent="0.3">
      <c r="D10151" s="40"/>
      <c r="J10151" s="134"/>
    </row>
    <row r="10152" spans="4:10" x14ac:dyDescent="0.3">
      <c r="D10152" s="40"/>
      <c r="J10152" s="134"/>
    </row>
    <row r="10153" spans="4:10" x14ac:dyDescent="0.3">
      <c r="D10153" s="40"/>
      <c r="J10153" s="134"/>
    </row>
    <row r="10154" spans="4:10" x14ac:dyDescent="0.3">
      <c r="D10154" s="40"/>
      <c r="J10154" s="134"/>
    </row>
    <row r="10155" spans="4:10" x14ac:dyDescent="0.3">
      <c r="D10155" s="40"/>
      <c r="J10155" s="134"/>
    </row>
    <row r="10156" spans="4:10" x14ac:dyDescent="0.3">
      <c r="D10156" s="40"/>
      <c r="J10156" s="134"/>
    </row>
    <row r="10157" spans="4:10" x14ac:dyDescent="0.3">
      <c r="D10157" s="40"/>
      <c r="J10157" s="134"/>
    </row>
    <row r="10158" spans="4:10" x14ac:dyDescent="0.3">
      <c r="D10158" s="40"/>
      <c r="J10158" s="134"/>
    </row>
    <row r="10159" spans="4:10" x14ac:dyDescent="0.3">
      <c r="D10159" s="40"/>
      <c r="J10159" s="134"/>
    </row>
    <row r="10160" spans="4:10" x14ac:dyDescent="0.3">
      <c r="D10160" s="40"/>
      <c r="J10160" s="134"/>
    </row>
    <row r="10161" spans="4:10" x14ac:dyDescent="0.3">
      <c r="D10161" s="40"/>
      <c r="J10161" s="134"/>
    </row>
    <row r="10162" spans="4:10" x14ac:dyDescent="0.3">
      <c r="D10162" s="40"/>
      <c r="J10162" s="134"/>
    </row>
    <row r="10163" spans="4:10" x14ac:dyDescent="0.3">
      <c r="D10163" s="40"/>
      <c r="J10163" s="134"/>
    </row>
    <row r="10164" spans="4:10" x14ac:dyDescent="0.3">
      <c r="D10164" s="40"/>
      <c r="J10164" s="134"/>
    </row>
    <row r="10165" spans="4:10" x14ac:dyDescent="0.3">
      <c r="D10165" s="40"/>
      <c r="J10165" s="134"/>
    </row>
    <row r="10166" spans="4:10" x14ac:dyDescent="0.3">
      <c r="D10166" s="40"/>
      <c r="J10166" s="134"/>
    </row>
    <row r="10167" spans="4:10" x14ac:dyDescent="0.3">
      <c r="D10167" s="40"/>
      <c r="J10167" s="134"/>
    </row>
    <row r="10168" spans="4:10" x14ac:dyDescent="0.3">
      <c r="D10168" s="40"/>
      <c r="J10168" s="134"/>
    </row>
    <row r="10169" spans="4:10" x14ac:dyDescent="0.3">
      <c r="D10169" s="40"/>
      <c r="J10169" s="134"/>
    </row>
    <row r="10170" spans="4:10" x14ac:dyDescent="0.3">
      <c r="D10170" s="40"/>
      <c r="J10170" s="134"/>
    </row>
    <row r="10171" spans="4:10" x14ac:dyDescent="0.3">
      <c r="D10171" s="40"/>
      <c r="J10171" s="134"/>
    </row>
    <row r="10172" spans="4:10" x14ac:dyDescent="0.3">
      <c r="D10172" s="40"/>
      <c r="J10172" s="134"/>
    </row>
    <row r="10173" spans="4:10" x14ac:dyDescent="0.3">
      <c r="D10173" s="40"/>
      <c r="J10173" s="134"/>
    </row>
    <row r="10174" spans="4:10" x14ac:dyDescent="0.3">
      <c r="D10174" s="40"/>
      <c r="J10174" s="134"/>
    </row>
    <row r="10175" spans="4:10" x14ac:dyDescent="0.3">
      <c r="D10175" s="40"/>
      <c r="J10175" s="134"/>
    </row>
    <row r="10176" spans="4:10" x14ac:dyDescent="0.3">
      <c r="D10176" s="40"/>
      <c r="J10176" s="134"/>
    </row>
    <row r="10177" spans="4:10" x14ac:dyDescent="0.3">
      <c r="D10177" s="40"/>
      <c r="J10177" s="134"/>
    </row>
    <row r="10178" spans="4:10" x14ac:dyDescent="0.3">
      <c r="D10178" s="40"/>
      <c r="J10178" s="134"/>
    </row>
    <row r="10179" spans="4:10" x14ac:dyDescent="0.3">
      <c r="D10179" s="40"/>
      <c r="J10179" s="134"/>
    </row>
    <row r="10180" spans="4:10" x14ac:dyDescent="0.3">
      <c r="D10180" s="40"/>
      <c r="J10180" s="134"/>
    </row>
    <row r="10181" spans="4:10" x14ac:dyDescent="0.3">
      <c r="D10181" s="40"/>
      <c r="J10181" s="134"/>
    </row>
    <row r="10182" spans="4:10" x14ac:dyDescent="0.3">
      <c r="D10182" s="40"/>
      <c r="J10182" s="134"/>
    </row>
    <row r="10183" spans="4:10" x14ac:dyDescent="0.3">
      <c r="D10183" s="40"/>
      <c r="J10183" s="134"/>
    </row>
    <row r="10184" spans="4:10" x14ac:dyDescent="0.3">
      <c r="D10184" s="40"/>
      <c r="J10184" s="134"/>
    </row>
    <row r="10185" spans="4:10" x14ac:dyDescent="0.3">
      <c r="D10185" s="40"/>
      <c r="J10185" s="134"/>
    </row>
    <row r="10186" spans="4:10" x14ac:dyDescent="0.3">
      <c r="D10186" s="40"/>
      <c r="J10186" s="134"/>
    </row>
    <row r="10187" spans="4:10" x14ac:dyDescent="0.3">
      <c r="D10187" s="40"/>
      <c r="J10187" s="134"/>
    </row>
    <row r="10188" spans="4:10" x14ac:dyDescent="0.3">
      <c r="D10188" s="40"/>
      <c r="J10188" s="134"/>
    </row>
    <row r="10189" spans="4:10" x14ac:dyDescent="0.3">
      <c r="D10189" s="40"/>
      <c r="J10189" s="134"/>
    </row>
    <row r="10190" spans="4:10" x14ac:dyDescent="0.3">
      <c r="D10190" s="40"/>
      <c r="J10190" s="134"/>
    </row>
    <row r="10191" spans="4:10" x14ac:dyDescent="0.3">
      <c r="D10191" s="40"/>
      <c r="J10191" s="134"/>
    </row>
    <row r="10192" spans="4:10" x14ac:dyDescent="0.3">
      <c r="D10192" s="40"/>
      <c r="J10192" s="134"/>
    </row>
    <row r="10193" spans="4:10" x14ac:dyDescent="0.3">
      <c r="D10193" s="40"/>
      <c r="J10193" s="134"/>
    </row>
    <row r="10194" spans="4:10" x14ac:dyDescent="0.3">
      <c r="D10194" s="40"/>
      <c r="J10194" s="134"/>
    </row>
    <row r="10195" spans="4:10" x14ac:dyDescent="0.3">
      <c r="D10195" s="40"/>
      <c r="J10195" s="134"/>
    </row>
    <row r="10196" spans="4:10" x14ac:dyDescent="0.3">
      <c r="D10196" s="40"/>
      <c r="J10196" s="134"/>
    </row>
    <row r="10197" spans="4:10" x14ac:dyDescent="0.3">
      <c r="D10197" s="40"/>
      <c r="J10197" s="134"/>
    </row>
    <row r="10198" spans="4:10" x14ac:dyDescent="0.3">
      <c r="D10198" s="40"/>
      <c r="J10198" s="134"/>
    </row>
    <row r="10199" spans="4:10" x14ac:dyDescent="0.3">
      <c r="D10199" s="40"/>
      <c r="J10199" s="134"/>
    </row>
    <row r="10200" spans="4:10" x14ac:dyDescent="0.3">
      <c r="D10200" s="40"/>
      <c r="J10200" s="134"/>
    </row>
    <row r="10201" spans="4:10" x14ac:dyDescent="0.3">
      <c r="D10201" s="40"/>
      <c r="J10201" s="134"/>
    </row>
    <row r="10202" spans="4:10" x14ac:dyDescent="0.3">
      <c r="D10202" s="40"/>
      <c r="J10202" s="134"/>
    </row>
    <row r="10203" spans="4:10" x14ac:dyDescent="0.3">
      <c r="D10203" s="40"/>
      <c r="J10203" s="134"/>
    </row>
    <row r="10204" spans="4:10" x14ac:dyDescent="0.3">
      <c r="D10204" s="40"/>
      <c r="J10204" s="134"/>
    </row>
    <row r="10205" spans="4:10" x14ac:dyDescent="0.3">
      <c r="D10205" s="40"/>
      <c r="J10205" s="134"/>
    </row>
    <row r="10206" spans="4:10" x14ac:dyDescent="0.3">
      <c r="D10206" s="40"/>
      <c r="J10206" s="134"/>
    </row>
    <row r="10207" spans="4:10" x14ac:dyDescent="0.3">
      <c r="D10207" s="40"/>
      <c r="J10207" s="134"/>
    </row>
    <row r="10208" spans="4:10" x14ac:dyDescent="0.3">
      <c r="D10208" s="40"/>
      <c r="J10208" s="134"/>
    </row>
    <row r="10209" spans="4:10" x14ac:dyDescent="0.3">
      <c r="D10209" s="40"/>
      <c r="J10209" s="134"/>
    </row>
    <row r="10210" spans="4:10" x14ac:dyDescent="0.3">
      <c r="D10210" s="40"/>
      <c r="J10210" s="134"/>
    </row>
    <row r="10211" spans="4:10" x14ac:dyDescent="0.3">
      <c r="D10211" s="40"/>
      <c r="J10211" s="134"/>
    </row>
    <row r="10212" spans="4:10" x14ac:dyDescent="0.3">
      <c r="D10212" s="40"/>
      <c r="J10212" s="134"/>
    </row>
    <row r="10213" spans="4:10" x14ac:dyDescent="0.3">
      <c r="D10213" s="40"/>
      <c r="J10213" s="134"/>
    </row>
    <row r="10214" spans="4:10" x14ac:dyDescent="0.3">
      <c r="D10214" s="40"/>
      <c r="J10214" s="134"/>
    </row>
    <row r="10215" spans="4:10" x14ac:dyDescent="0.3">
      <c r="D10215" s="40"/>
      <c r="J10215" s="134"/>
    </row>
    <row r="10216" spans="4:10" x14ac:dyDescent="0.3">
      <c r="D10216" s="40"/>
      <c r="J10216" s="134"/>
    </row>
    <row r="10217" spans="4:10" x14ac:dyDescent="0.3">
      <c r="D10217" s="40"/>
      <c r="J10217" s="134"/>
    </row>
    <row r="10218" spans="4:10" x14ac:dyDescent="0.3">
      <c r="D10218" s="40"/>
      <c r="J10218" s="134"/>
    </row>
    <row r="10219" spans="4:10" x14ac:dyDescent="0.3">
      <c r="D10219" s="40"/>
      <c r="J10219" s="134"/>
    </row>
    <row r="10220" spans="4:10" x14ac:dyDescent="0.3">
      <c r="D10220" s="40"/>
      <c r="J10220" s="134"/>
    </row>
    <row r="10221" spans="4:10" x14ac:dyDescent="0.3">
      <c r="D10221" s="40"/>
      <c r="J10221" s="134"/>
    </row>
    <row r="10222" spans="4:10" x14ac:dyDescent="0.3">
      <c r="D10222" s="40"/>
      <c r="J10222" s="134"/>
    </row>
    <row r="10223" spans="4:10" x14ac:dyDescent="0.3">
      <c r="D10223" s="40"/>
      <c r="J10223" s="134"/>
    </row>
    <row r="10224" spans="4:10" x14ac:dyDescent="0.3">
      <c r="D10224" s="40"/>
      <c r="J10224" s="134"/>
    </row>
    <row r="10225" spans="4:10" x14ac:dyDescent="0.3">
      <c r="D10225" s="40"/>
      <c r="J10225" s="134"/>
    </row>
    <row r="10226" spans="4:10" x14ac:dyDescent="0.3">
      <c r="D10226" s="40"/>
      <c r="J10226" s="134"/>
    </row>
    <row r="10227" spans="4:10" x14ac:dyDescent="0.3">
      <c r="D10227" s="40"/>
      <c r="J10227" s="134"/>
    </row>
    <row r="10228" spans="4:10" x14ac:dyDescent="0.3">
      <c r="D10228" s="40"/>
      <c r="J10228" s="134"/>
    </row>
    <row r="10229" spans="4:10" x14ac:dyDescent="0.3">
      <c r="D10229" s="40"/>
      <c r="J10229" s="134"/>
    </row>
    <row r="10230" spans="4:10" x14ac:dyDescent="0.3">
      <c r="D10230" s="40"/>
      <c r="J10230" s="134"/>
    </row>
    <row r="10231" spans="4:10" x14ac:dyDescent="0.3">
      <c r="D10231" s="40"/>
      <c r="J10231" s="134"/>
    </row>
    <row r="10232" spans="4:10" x14ac:dyDescent="0.3">
      <c r="D10232" s="40"/>
      <c r="J10232" s="134"/>
    </row>
    <row r="10233" spans="4:10" x14ac:dyDescent="0.3">
      <c r="D10233" s="40"/>
      <c r="J10233" s="134"/>
    </row>
    <row r="10234" spans="4:10" x14ac:dyDescent="0.3">
      <c r="D10234" s="40"/>
      <c r="J10234" s="134"/>
    </row>
    <row r="10235" spans="4:10" x14ac:dyDescent="0.3">
      <c r="D10235" s="40"/>
      <c r="J10235" s="134"/>
    </row>
    <row r="10236" spans="4:10" x14ac:dyDescent="0.3">
      <c r="D10236" s="40"/>
      <c r="J10236" s="134"/>
    </row>
    <row r="10237" spans="4:10" x14ac:dyDescent="0.3">
      <c r="D10237" s="40"/>
      <c r="J10237" s="134"/>
    </row>
    <row r="10238" spans="4:10" x14ac:dyDescent="0.3">
      <c r="D10238" s="40"/>
      <c r="J10238" s="134"/>
    </row>
    <row r="10239" spans="4:10" x14ac:dyDescent="0.3">
      <c r="D10239" s="40"/>
      <c r="J10239" s="134"/>
    </row>
    <row r="10240" spans="4:10" x14ac:dyDescent="0.3">
      <c r="D10240" s="40"/>
      <c r="J10240" s="134"/>
    </row>
    <row r="10241" spans="4:10" x14ac:dyDescent="0.3">
      <c r="D10241" s="40"/>
      <c r="J10241" s="134"/>
    </row>
    <row r="10242" spans="4:10" x14ac:dyDescent="0.3">
      <c r="D10242" s="40"/>
      <c r="J10242" s="134"/>
    </row>
    <row r="10243" spans="4:10" x14ac:dyDescent="0.3">
      <c r="D10243" s="40"/>
      <c r="J10243" s="134"/>
    </row>
    <row r="10244" spans="4:10" x14ac:dyDescent="0.3">
      <c r="D10244" s="40"/>
      <c r="J10244" s="134"/>
    </row>
    <row r="10245" spans="4:10" x14ac:dyDescent="0.3">
      <c r="D10245" s="40"/>
      <c r="J10245" s="134"/>
    </row>
    <row r="10246" spans="4:10" x14ac:dyDescent="0.3">
      <c r="D10246" s="40"/>
      <c r="J10246" s="134"/>
    </row>
    <row r="10247" spans="4:10" x14ac:dyDescent="0.3">
      <c r="D10247" s="40"/>
      <c r="J10247" s="134"/>
    </row>
    <row r="10248" spans="4:10" x14ac:dyDescent="0.3">
      <c r="D10248" s="40"/>
      <c r="J10248" s="134"/>
    </row>
    <row r="10249" spans="4:10" x14ac:dyDescent="0.3">
      <c r="D10249" s="40"/>
      <c r="J10249" s="134"/>
    </row>
    <row r="10250" spans="4:10" x14ac:dyDescent="0.3">
      <c r="D10250" s="40"/>
      <c r="J10250" s="134"/>
    </row>
    <row r="10251" spans="4:10" x14ac:dyDescent="0.3">
      <c r="D10251" s="40"/>
      <c r="J10251" s="134"/>
    </row>
    <row r="10252" spans="4:10" x14ac:dyDescent="0.3">
      <c r="D10252" s="40"/>
      <c r="J10252" s="134"/>
    </row>
    <row r="10253" spans="4:10" x14ac:dyDescent="0.3">
      <c r="D10253" s="40"/>
      <c r="J10253" s="134"/>
    </row>
    <row r="10254" spans="4:10" x14ac:dyDescent="0.3">
      <c r="D10254" s="40"/>
      <c r="J10254" s="134"/>
    </row>
    <row r="10255" spans="4:10" x14ac:dyDescent="0.3">
      <c r="D10255" s="40"/>
      <c r="J10255" s="134"/>
    </row>
    <row r="10256" spans="4:10" x14ac:dyDescent="0.3">
      <c r="D10256" s="40"/>
      <c r="J10256" s="134"/>
    </row>
    <row r="10257" spans="4:10" x14ac:dyDescent="0.3">
      <c r="D10257" s="40"/>
      <c r="J10257" s="134"/>
    </row>
    <row r="10258" spans="4:10" x14ac:dyDescent="0.3">
      <c r="D10258" s="40"/>
      <c r="J10258" s="134"/>
    </row>
    <row r="10259" spans="4:10" x14ac:dyDescent="0.3">
      <c r="D10259" s="40"/>
      <c r="J10259" s="134"/>
    </row>
    <row r="10260" spans="4:10" x14ac:dyDescent="0.3">
      <c r="D10260" s="40"/>
      <c r="J10260" s="134"/>
    </row>
    <row r="10261" spans="4:10" x14ac:dyDescent="0.3">
      <c r="D10261" s="40"/>
      <c r="J10261" s="134"/>
    </row>
    <row r="10262" spans="4:10" x14ac:dyDescent="0.3">
      <c r="D10262" s="40"/>
      <c r="J10262" s="134"/>
    </row>
    <row r="10263" spans="4:10" x14ac:dyDescent="0.3">
      <c r="D10263" s="40"/>
      <c r="J10263" s="134"/>
    </row>
    <row r="10264" spans="4:10" x14ac:dyDescent="0.3">
      <c r="D10264" s="40"/>
      <c r="J10264" s="134"/>
    </row>
    <row r="10265" spans="4:10" x14ac:dyDescent="0.3">
      <c r="D10265" s="40"/>
      <c r="J10265" s="134"/>
    </row>
    <row r="10266" spans="4:10" x14ac:dyDescent="0.3">
      <c r="D10266" s="40"/>
      <c r="J10266" s="134"/>
    </row>
    <row r="10267" spans="4:10" x14ac:dyDescent="0.3">
      <c r="D10267" s="40"/>
      <c r="J10267" s="134"/>
    </row>
    <row r="10268" spans="4:10" x14ac:dyDescent="0.3">
      <c r="D10268" s="40"/>
      <c r="J10268" s="134"/>
    </row>
    <row r="10269" spans="4:10" x14ac:dyDescent="0.3">
      <c r="D10269" s="40"/>
      <c r="J10269" s="134"/>
    </row>
    <row r="10270" spans="4:10" x14ac:dyDescent="0.3">
      <c r="D10270" s="40"/>
      <c r="J10270" s="134"/>
    </row>
    <row r="10271" spans="4:10" x14ac:dyDescent="0.3">
      <c r="D10271" s="40"/>
      <c r="J10271" s="134"/>
    </row>
    <row r="10272" spans="4:10" x14ac:dyDescent="0.3">
      <c r="D10272" s="40"/>
      <c r="J10272" s="134"/>
    </row>
    <row r="10273" spans="4:10" x14ac:dyDescent="0.3">
      <c r="D10273" s="40"/>
      <c r="J10273" s="134"/>
    </row>
    <row r="10274" spans="4:10" x14ac:dyDescent="0.3">
      <c r="D10274" s="40"/>
      <c r="J10274" s="134"/>
    </row>
    <row r="10275" spans="4:10" x14ac:dyDescent="0.3">
      <c r="D10275" s="40"/>
      <c r="J10275" s="134"/>
    </row>
    <row r="10276" spans="4:10" x14ac:dyDescent="0.3">
      <c r="D10276" s="40"/>
      <c r="J10276" s="134"/>
    </row>
    <row r="10277" spans="4:10" x14ac:dyDescent="0.3">
      <c r="D10277" s="40"/>
      <c r="J10277" s="134"/>
    </row>
    <row r="10278" spans="4:10" x14ac:dyDescent="0.3">
      <c r="D10278" s="40"/>
      <c r="J10278" s="134"/>
    </row>
    <row r="10279" spans="4:10" x14ac:dyDescent="0.3">
      <c r="D10279" s="40"/>
      <c r="J10279" s="134"/>
    </row>
    <row r="10280" spans="4:10" x14ac:dyDescent="0.3">
      <c r="D10280" s="40"/>
      <c r="J10280" s="134"/>
    </row>
    <row r="10281" spans="4:10" x14ac:dyDescent="0.3">
      <c r="D10281" s="40"/>
      <c r="J10281" s="134"/>
    </row>
    <row r="10282" spans="4:10" x14ac:dyDescent="0.3">
      <c r="D10282" s="40"/>
      <c r="J10282" s="134"/>
    </row>
    <row r="10283" spans="4:10" x14ac:dyDescent="0.3">
      <c r="D10283" s="40"/>
      <c r="J10283" s="134"/>
    </row>
    <row r="10284" spans="4:10" x14ac:dyDescent="0.3">
      <c r="D10284" s="40"/>
      <c r="J10284" s="134"/>
    </row>
    <row r="10285" spans="4:10" x14ac:dyDescent="0.3">
      <c r="D10285" s="40"/>
      <c r="J10285" s="134"/>
    </row>
    <row r="10286" spans="4:10" x14ac:dyDescent="0.3">
      <c r="D10286" s="40"/>
      <c r="J10286" s="134"/>
    </row>
    <row r="10287" spans="4:10" x14ac:dyDescent="0.3">
      <c r="D10287" s="40"/>
      <c r="J10287" s="134"/>
    </row>
    <row r="10288" spans="4:10" x14ac:dyDescent="0.3">
      <c r="D10288" s="40"/>
      <c r="J10288" s="134"/>
    </row>
    <row r="10289" spans="4:10" x14ac:dyDescent="0.3">
      <c r="D10289" s="40"/>
      <c r="J10289" s="134"/>
    </row>
    <row r="10290" spans="4:10" x14ac:dyDescent="0.3">
      <c r="D10290" s="40"/>
      <c r="J10290" s="134"/>
    </row>
    <row r="10291" spans="4:10" x14ac:dyDescent="0.3">
      <c r="D10291" s="40"/>
      <c r="J10291" s="134"/>
    </row>
    <row r="10292" spans="4:10" x14ac:dyDescent="0.3">
      <c r="D10292" s="40"/>
      <c r="J10292" s="134"/>
    </row>
    <row r="10293" spans="4:10" x14ac:dyDescent="0.3">
      <c r="D10293" s="40"/>
      <c r="J10293" s="134"/>
    </row>
    <row r="10294" spans="4:10" x14ac:dyDescent="0.3">
      <c r="D10294" s="40"/>
      <c r="J10294" s="134"/>
    </row>
    <row r="10295" spans="4:10" x14ac:dyDescent="0.3">
      <c r="D10295" s="40"/>
      <c r="J10295" s="134"/>
    </row>
    <row r="10296" spans="4:10" x14ac:dyDescent="0.3">
      <c r="D10296" s="40"/>
      <c r="J10296" s="134"/>
    </row>
    <row r="10297" spans="4:10" x14ac:dyDescent="0.3">
      <c r="D10297" s="40"/>
      <c r="J10297" s="134"/>
    </row>
    <row r="10298" spans="4:10" x14ac:dyDescent="0.3">
      <c r="D10298" s="40"/>
      <c r="J10298" s="134"/>
    </row>
    <row r="10299" spans="4:10" x14ac:dyDescent="0.3">
      <c r="D10299" s="40"/>
      <c r="J10299" s="134"/>
    </row>
    <row r="10300" spans="4:10" x14ac:dyDescent="0.3">
      <c r="D10300" s="40"/>
      <c r="J10300" s="134"/>
    </row>
    <row r="10301" spans="4:10" x14ac:dyDescent="0.3">
      <c r="D10301" s="40"/>
      <c r="J10301" s="134"/>
    </row>
    <row r="10302" spans="4:10" x14ac:dyDescent="0.3">
      <c r="D10302" s="40"/>
      <c r="J10302" s="134"/>
    </row>
    <row r="10303" spans="4:10" x14ac:dyDescent="0.3">
      <c r="D10303" s="40"/>
      <c r="J10303" s="134"/>
    </row>
    <row r="10304" spans="4:10" x14ac:dyDescent="0.3">
      <c r="D10304" s="40"/>
      <c r="J10304" s="134"/>
    </row>
    <row r="10305" spans="4:10" x14ac:dyDescent="0.3">
      <c r="D10305" s="40"/>
      <c r="J10305" s="134"/>
    </row>
    <row r="10306" spans="4:10" x14ac:dyDescent="0.3">
      <c r="D10306" s="40"/>
      <c r="J10306" s="134"/>
    </row>
    <row r="10307" spans="4:10" x14ac:dyDescent="0.3">
      <c r="D10307" s="40"/>
      <c r="J10307" s="134"/>
    </row>
    <row r="10308" spans="4:10" x14ac:dyDescent="0.3">
      <c r="D10308" s="40"/>
      <c r="J10308" s="134"/>
    </row>
    <row r="10309" spans="4:10" x14ac:dyDescent="0.3">
      <c r="D10309" s="40"/>
      <c r="J10309" s="134"/>
    </row>
    <row r="10310" spans="4:10" x14ac:dyDescent="0.3">
      <c r="D10310" s="40"/>
      <c r="J10310" s="134"/>
    </row>
    <row r="10311" spans="4:10" x14ac:dyDescent="0.3">
      <c r="D10311" s="40"/>
      <c r="J10311" s="134"/>
    </row>
    <row r="10312" spans="4:10" x14ac:dyDescent="0.3">
      <c r="D10312" s="40"/>
      <c r="J10312" s="134"/>
    </row>
    <row r="10313" spans="4:10" x14ac:dyDescent="0.3">
      <c r="D10313" s="40"/>
      <c r="J10313" s="134"/>
    </row>
    <row r="10314" spans="4:10" x14ac:dyDescent="0.3">
      <c r="D10314" s="40"/>
      <c r="J10314" s="134"/>
    </row>
    <row r="10315" spans="4:10" x14ac:dyDescent="0.3">
      <c r="D10315" s="40"/>
      <c r="J10315" s="134"/>
    </row>
    <row r="10316" spans="4:10" x14ac:dyDescent="0.3">
      <c r="D10316" s="40"/>
      <c r="J10316" s="134"/>
    </row>
    <row r="10317" spans="4:10" x14ac:dyDescent="0.3">
      <c r="D10317" s="40"/>
      <c r="J10317" s="134"/>
    </row>
    <row r="10318" spans="4:10" x14ac:dyDescent="0.3">
      <c r="D10318" s="40"/>
      <c r="J10318" s="134"/>
    </row>
    <row r="10319" spans="4:10" x14ac:dyDescent="0.3">
      <c r="D10319" s="40"/>
      <c r="J10319" s="134"/>
    </row>
    <row r="10320" spans="4:10" x14ac:dyDescent="0.3">
      <c r="D10320" s="40"/>
      <c r="J10320" s="134"/>
    </row>
    <row r="10321" spans="4:10" x14ac:dyDescent="0.3">
      <c r="D10321" s="40"/>
      <c r="J10321" s="134"/>
    </row>
    <row r="10322" spans="4:10" x14ac:dyDescent="0.3">
      <c r="D10322" s="40"/>
      <c r="J10322" s="134"/>
    </row>
    <row r="10323" spans="4:10" x14ac:dyDescent="0.3">
      <c r="D10323" s="40"/>
      <c r="J10323" s="134"/>
    </row>
    <row r="10324" spans="4:10" x14ac:dyDescent="0.3">
      <c r="D10324" s="40"/>
      <c r="J10324" s="134"/>
    </row>
    <row r="10325" spans="4:10" x14ac:dyDescent="0.3">
      <c r="D10325" s="40"/>
      <c r="J10325" s="134"/>
    </row>
    <row r="10326" spans="4:10" x14ac:dyDescent="0.3">
      <c r="D10326" s="40"/>
      <c r="J10326" s="134"/>
    </row>
    <row r="10327" spans="4:10" x14ac:dyDescent="0.3">
      <c r="D10327" s="40"/>
      <c r="J10327" s="134"/>
    </row>
    <row r="10328" spans="4:10" x14ac:dyDescent="0.3">
      <c r="D10328" s="40"/>
      <c r="J10328" s="134"/>
    </row>
    <row r="10329" spans="4:10" x14ac:dyDescent="0.3">
      <c r="D10329" s="40"/>
      <c r="J10329" s="134"/>
    </row>
    <row r="10330" spans="4:10" x14ac:dyDescent="0.3">
      <c r="D10330" s="40"/>
      <c r="J10330" s="134"/>
    </row>
    <row r="10331" spans="4:10" x14ac:dyDescent="0.3">
      <c r="D10331" s="40"/>
      <c r="J10331" s="134"/>
    </row>
    <row r="10332" spans="4:10" x14ac:dyDescent="0.3">
      <c r="D10332" s="40"/>
      <c r="J10332" s="134"/>
    </row>
    <row r="10333" spans="4:10" x14ac:dyDescent="0.3">
      <c r="D10333" s="40"/>
      <c r="J10333" s="134"/>
    </row>
    <row r="10334" spans="4:10" x14ac:dyDescent="0.3">
      <c r="D10334" s="40"/>
      <c r="J10334" s="134"/>
    </row>
    <row r="10335" spans="4:10" x14ac:dyDescent="0.3">
      <c r="D10335" s="40"/>
      <c r="J10335" s="134"/>
    </row>
    <row r="10336" spans="4:10" x14ac:dyDescent="0.3">
      <c r="D10336" s="40"/>
      <c r="J10336" s="134"/>
    </row>
    <row r="10337" spans="4:10" x14ac:dyDescent="0.3">
      <c r="D10337" s="40"/>
      <c r="J10337" s="134"/>
    </row>
    <row r="10338" spans="4:10" x14ac:dyDescent="0.3">
      <c r="D10338" s="40"/>
      <c r="J10338" s="134"/>
    </row>
    <row r="10339" spans="4:10" x14ac:dyDescent="0.3">
      <c r="D10339" s="40"/>
      <c r="J10339" s="134"/>
    </row>
    <row r="10340" spans="4:10" x14ac:dyDescent="0.3">
      <c r="D10340" s="40"/>
      <c r="J10340" s="134"/>
    </row>
    <row r="10341" spans="4:10" x14ac:dyDescent="0.3">
      <c r="D10341" s="40"/>
      <c r="J10341" s="134"/>
    </row>
    <row r="10342" spans="4:10" x14ac:dyDescent="0.3">
      <c r="D10342" s="40"/>
      <c r="J10342" s="134"/>
    </row>
    <row r="10343" spans="4:10" x14ac:dyDescent="0.3">
      <c r="D10343" s="40"/>
      <c r="J10343" s="134"/>
    </row>
    <row r="10344" spans="4:10" x14ac:dyDescent="0.3">
      <c r="D10344" s="40"/>
      <c r="J10344" s="134"/>
    </row>
    <row r="10345" spans="4:10" x14ac:dyDescent="0.3">
      <c r="D10345" s="40"/>
      <c r="J10345" s="134"/>
    </row>
    <row r="10346" spans="4:10" x14ac:dyDescent="0.3">
      <c r="D10346" s="40"/>
      <c r="J10346" s="134"/>
    </row>
    <row r="10347" spans="4:10" x14ac:dyDescent="0.3">
      <c r="D10347" s="40"/>
      <c r="J10347" s="134"/>
    </row>
    <row r="10348" spans="4:10" x14ac:dyDescent="0.3">
      <c r="D10348" s="40"/>
      <c r="J10348" s="134"/>
    </row>
    <row r="10349" spans="4:10" x14ac:dyDescent="0.3">
      <c r="D10349" s="40"/>
      <c r="J10349" s="134"/>
    </row>
    <row r="10350" spans="4:10" x14ac:dyDescent="0.3">
      <c r="D10350" s="40"/>
      <c r="J10350" s="134"/>
    </row>
    <row r="10351" spans="4:10" x14ac:dyDescent="0.3">
      <c r="D10351" s="40"/>
      <c r="J10351" s="134"/>
    </row>
    <row r="10352" spans="4:10" x14ac:dyDescent="0.3">
      <c r="D10352" s="40"/>
      <c r="J10352" s="134"/>
    </row>
    <row r="10353" spans="4:10" x14ac:dyDescent="0.3">
      <c r="D10353" s="40"/>
      <c r="J10353" s="134"/>
    </row>
    <row r="10354" spans="4:10" x14ac:dyDescent="0.3">
      <c r="D10354" s="40"/>
      <c r="J10354" s="134"/>
    </row>
    <row r="10355" spans="4:10" x14ac:dyDescent="0.3">
      <c r="D10355" s="40"/>
      <c r="J10355" s="134"/>
    </row>
    <row r="10356" spans="4:10" x14ac:dyDescent="0.3">
      <c r="D10356" s="40"/>
      <c r="J10356" s="134"/>
    </row>
    <row r="10357" spans="4:10" x14ac:dyDescent="0.3">
      <c r="D10357" s="40"/>
      <c r="J10357" s="134"/>
    </row>
    <row r="10358" spans="4:10" x14ac:dyDescent="0.3">
      <c r="D10358" s="40"/>
      <c r="J10358" s="134"/>
    </row>
    <row r="10359" spans="4:10" x14ac:dyDescent="0.3">
      <c r="D10359" s="40"/>
      <c r="J10359" s="134"/>
    </row>
    <row r="10360" spans="4:10" x14ac:dyDescent="0.3">
      <c r="D10360" s="40"/>
      <c r="J10360" s="134"/>
    </row>
    <row r="10361" spans="4:10" x14ac:dyDescent="0.3">
      <c r="D10361" s="40"/>
      <c r="J10361" s="134"/>
    </row>
    <row r="10362" spans="4:10" x14ac:dyDescent="0.3">
      <c r="D10362" s="40"/>
      <c r="J10362" s="134"/>
    </row>
    <row r="10363" spans="4:10" x14ac:dyDescent="0.3">
      <c r="D10363" s="40"/>
      <c r="J10363" s="134"/>
    </row>
    <row r="10364" spans="4:10" x14ac:dyDescent="0.3">
      <c r="D10364" s="40"/>
      <c r="J10364" s="134"/>
    </row>
    <row r="10365" spans="4:10" x14ac:dyDescent="0.3">
      <c r="D10365" s="40"/>
      <c r="J10365" s="134"/>
    </row>
    <row r="10366" spans="4:10" x14ac:dyDescent="0.3">
      <c r="D10366" s="40"/>
      <c r="J10366" s="134"/>
    </row>
    <row r="10367" spans="4:10" x14ac:dyDescent="0.3">
      <c r="D10367" s="40"/>
      <c r="J10367" s="134"/>
    </row>
    <row r="10368" spans="4:10" x14ac:dyDescent="0.3">
      <c r="D10368" s="40"/>
      <c r="J10368" s="134"/>
    </row>
    <row r="10369" spans="4:10" x14ac:dyDescent="0.3">
      <c r="D10369" s="40"/>
      <c r="J10369" s="134"/>
    </row>
    <row r="10370" spans="4:10" x14ac:dyDescent="0.3">
      <c r="D10370" s="40"/>
      <c r="J10370" s="134"/>
    </row>
    <row r="10371" spans="4:10" x14ac:dyDescent="0.3">
      <c r="D10371" s="40"/>
      <c r="J10371" s="134"/>
    </row>
    <row r="10372" spans="4:10" x14ac:dyDescent="0.3">
      <c r="D10372" s="40"/>
      <c r="J10372" s="134"/>
    </row>
    <row r="10373" spans="4:10" x14ac:dyDescent="0.3">
      <c r="D10373" s="40"/>
      <c r="J10373" s="134"/>
    </row>
    <row r="10374" spans="4:10" x14ac:dyDescent="0.3">
      <c r="D10374" s="40"/>
      <c r="J10374" s="134"/>
    </row>
    <row r="10375" spans="4:10" x14ac:dyDescent="0.3">
      <c r="D10375" s="40"/>
      <c r="J10375" s="134"/>
    </row>
    <row r="10376" spans="4:10" x14ac:dyDescent="0.3">
      <c r="D10376" s="40"/>
      <c r="J10376" s="134"/>
    </row>
    <row r="10377" spans="4:10" x14ac:dyDescent="0.3">
      <c r="D10377" s="40"/>
      <c r="J10377" s="134"/>
    </row>
    <row r="10378" spans="4:10" x14ac:dyDescent="0.3">
      <c r="D10378" s="40"/>
      <c r="J10378" s="134"/>
    </row>
    <row r="10379" spans="4:10" x14ac:dyDescent="0.3">
      <c r="D10379" s="40"/>
      <c r="J10379" s="134"/>
    </row>
    <row r="10380" spans="4:10" x14ac:dyDescent="0.3">
      <c r="D10380" s="40"/>
      <c r="J10380" s="134"/>
    </row>
    <row r="10381" spans="4:10" x14ac:dyDescent="0.3">
      <c r="D10381" s="40"/>
      <c r="J10381" s="134"/>
    </row>
    <row r="10382" spans="4:10" x14ac:dyDescent="0.3">
      <c r="D10382" s="40"/>
      <c r="J10382" s="134"/>
    </row>
    <row r="10383" spans="4:10" x14ac:dyDescent="0.3">
      <c r="D10383" s="40"/>
      <c r="J10383" s="134"/>
    </row>
    <row r="10384" spans="4:10" x14ac:dyDescent="0.3">
      <c r="D10384" s="40"/>
      <c r="J10384" s="134"/>
    </row>
    <row r="10385" spans="4:10" x14ac:dyDescent="0.3">
      <c r="D10385" s="40"/>
      <c r="J10385" s="134"/>
    </row>
    <row r="10386" spans="4:10" x14ac:dyDescent="0.3">
      <c r="D10386" s="40"/>
      <c r="J10386" s="134"/>
    </row>
    <row r="10387" spans="4:10" x14ac:dyDescent="0.3">
      <c r="D10387" s="40"/>
      <c r="J10387" s="134"/>
    </row>
    <row r="10388" spans="4:10" x14ac:dyDescent="0.3">
      <c r="D10388" s="40"/>
      <c r="J10388" s="134"/>
    </row>
    <row r="10389" spans="4:10" x14ac:dyDescent="0.3">
      <c r="D10389" s="40"/>
      <c r="J10389" s="134"/>
    </row>
    <row r="10390" spans="4:10" x14ac:dyDescent="0.3">
      <c r="D10390" s="40"/>
      <c r="J10390" s="134"/>
    </row>
    <row r="10391" spans="4:10" x14ac:dyDescent="0.3">
      <c r="D10391" s="40"/>
      <c r="J10391" s="134"/>
    </row>
    <row r="10392" spans="4:10" x14ac:dyDescent="0.3">
      <c r="D10392" s="40"/>
      <c r="J10392" s="134"/>
    </row>
    <row r="10393" spans="4:10" x14ac:dyDescent="0.3">
      <c r="D10393" s="40"/>
      <c r="J10393" s="134"/>
    </row>
    <row r="10394" spans="4:10" x14ac:dyDescent="0.3">
      <c r="D10394" s="40"/>
      <c r="J10394" s="134"/>
    </row>
    <row r="10395" spans="4:10" x14ac:dyDescent="0.3">
      <c r="D10395" s="40"/>
      <c r="J10395" s="134"/>
    </row>
    <row r="10396" spans="4:10" x14ac:dyDescent="0.3">
      <c r="D10396" s="40"/>
      <c r="J10396" s="134"/>
    </row>
    <row r="10397" spans="4:10" x14ac:dyDescent="0.3">
      <c r="D10397" s="40"/>
      <c r="J10397" s="134"/>
    </row>
    <row r="10398" spans="4:10" x14ac:dyDescent="0.3">
      <c r="D10398" s="40"/>
      <c r="J10398" s="134"/>
    </row>
    <row r="10399" spans="4:10" x14ac:dyDescent="0.3">
      <c r="D10399" s="40"/>
      <c r="J10399" s="134"/>
    </row>
    <row r="10400" spans="4:10" x14ac:dyDescent="0.3">
      <c r="D10400" s="40"/>
      <c r="J10400" s="134"/>
    </row>
    <row r="10401" spans="4:10" x14ac:dyDescent="0.3">
      <c r="D10401" s="40"/>
      <c r="J10401" s="134"/>
    </row>
    <row r="10402" spans="4:10" x14ac:dyDescent="0.3">
      <c r="D10402" s="40"/>
      <c r="J10402" s="134"/>
    </row>
    <row r="10403" spans="4:10" x14ac:dyDescent="0.3">
      <c r="D10403" s="40"/>
      <c r="J10403" s="134"/>
    </row>
    <row r="10404" spans="4:10" x14ac:dyDescent="0.3">
      <c r="D10404" s="40"/>
      <c r="J10404" s="134"/>
    </row>
    <row r="10405" spans="4:10" x14ac:dyDescent="0.3">
      <c r="D10405" s="40"/>
      <c r="J10405" s="134"/>
    </row>
    <row r="10406" spans="4:10" x14ac:dyDescent="0.3">
      <c r="D10406" s="40"/>
      <c r="J10406" s="134"/>
    </row>
    <row r="10407" spans="4:10" x14ac:dyDescent="0.3">
      <c r="D10407" s="40"/>
      <c r="J10407" s="134"/>
    </row>
    <row r="10408" spans="4:10" x14ac:dyDescent="0.3">
      <c r="D10408" s="40"/>
      <c r="J10408" s="134"/>
    </row>
    <row r="10409" spans="4:10" x14ac:dyDescent="0.3">
      <c r="D10409" s="40"/>
      <c r="J10409" s="134"/>
    </row>
    <row r="10410" spans="4:10" x14ac:dyDescent="0.3">
      <c r="D10410" s="40"/>
      <c r="J10410" s="134"/>
    </row>
    <row r="10411" spans="4:10" x14ac:dyDescent="0.3">
      <c r="D10411" s="40"/>
      <c r="J10411" s="134"/>
    </row>
    <row r="10412" spans="4:10" x14ac:dyDescent="0.3">
      <c r="D10412" s="40"/>
      <c r="J10412" s="134"/>
    </row>
    <row r="10413" spans="4:10" x14ac:dyDescent="0.3">
      <c r="D10413" s="40"/>
      <c r="J10413" s="134"/>
    </row>
    <row r="10414" spans="4:10" x14ac:dyDescent="0.3">
      <c r="D10414" s="40"/>
      <c r="J10414" s="134"/>
    </row>
    <row r="10415" spans="4:10" x14ac:dyDescent="0.3">
      <c r="D10415" s="40"/>
      <c r="J10415" s="134"/>
    </row>
    <row r="10416" spans="4:10" x14ac:dyDescent="0.3">
      <c r="D10416" s="40"/>
      <c r="J10416" s="134"/>
    </row>
    <row r="10417" spans="4:10" x14ac:dyDescent="0.3">
      <c r="D10417" s="40"/>
      <c r="J10417" s="134"/>
    </row>
    <row r="10418" spans="4:10" x14ac:dyDescent="0.3">
      <c r="D10418" s="40"/>
      <c r="J10418" s="134"/>
    </row>
    <row r="10419" spans="4:10" x14ac:dyDescent="0.3">
      <c r="D10419" s="40"/>
      <c r="J10419" s="134"/>
    </row>
    <row r="10420" spans="4:10" x14ac:dyDescent="0.3">
      <c r="D10420" s="40"/>
      <c r="J10420" s="134"/>
    </row>
    <row r="10421" spans="4:10" x14ac:dyDescent="0.3">
      <c r="D10421" s="40"/>
      <c r="J10421" s="134"/>
    </row>
    <row r="10422" spans="4:10" x14ac:dyDescent="0.3">
      <c r="D10422" s="40"/>
      <c r="J10422" s="134"/>
    </row>
    <row r="10423" spans="4:10" x14ac:dyDescent="0.3">
      <c r="D10423" s="40"/>
      <c r="J10423" s="134"/>
    </row>
    <row r="10424" spans="4:10" x14ac:dyDescent="0.3">
      <c r="D10424" s="40"/>
      <c r="J10424" s="134"/>
    </row>
    <row r="10425" spans="4:10" x14ac:dyDescent="0.3">
      <c r="D10425" s="40"/>
      <c r="J10425" s="134"/>
    </row>
    <row r="10426" spans="4:10" x14ac:dyDescent="0.3">
      <c r="D10426" s="40"/>
      <c r="J10426" s="134"/>
    </row>
    <row r="10427" spans="4:10" x14ac:dyDescent="0.3">
      <c r="D10427" s="40"/>
      <c r="J10427" s="134"/>
    </row>
    <row r="10428" spans="4:10" x14ac:dyDescent="0.3">
      <c r="D10428" s="40"/>
      <c r="J10428" s="134"/>
    </row>
    <row r="10429" spans="4:10" x14ac:dyDescent="0.3">
      <c r="D10429" s="40"/>
      <c r="J10429" s="134"/>
    </row>
    <row r="10430" spans="4:10" x14ac:dyDescent="0.3">
      <c r="D10430" s="40"/>
      <c r="J10430" s="134"/>
    </row>
    <row r="10431" spans="4:10" x14ac:dyDescent="0.3">
      <c r="D10431" s="40"/>
      <c r="J10431" s="134"/>
    </row>
    <row r="10432" spans="4:10" x14ac:dyDescent="0.3">
      <c r="D10432" s="40"/>
      <c r="J10432" s="134"/>
    </row>
    <row r="10433" spans="4:10" x14ac:dyDescent="0.3">
      <c r="D10433" s="40"/>
      <c r="J10433" s="134"/>
    </row>
    <row r="10434" spans="4:10" x14ac:dyDescent="0.3">
      <c r="D10434" s="40"/>
      <c r="J10434" s="134"/>
    </row>
    <row r="10435" spans="4:10" x14ac:dyDescent="0.3">
      <c r="D10435" s="40"/>
      <c r="J10435" s="134"/>
    </row>
    <row r="10436" spans="4:10" x14ac:dyDescent="0.3">
      <c r="D10436" s="40"/>
      <c r="J10436" s="134"/>
    </row>
    <row r="10437" spans="4:10" x14ac:dyDescent="0.3">
      <c r="D10437" s="40"/>
      <c r="J10437" s="134"/>
    </row>
    <row r="10438" spans="4:10" x14ac:dyDescent="0.3">
      <c r="D10438" s="40"/>
      <c r="J10438" s="134"/>
    </row>
    <row r="10439" spans="4:10" x14ac:dyDescent="0.3">
      <c r="D10439" s="40"/>
      <c r="J10439" s="134"/>
    </row>
    <row r="10440" spans="4:10" x14ac:dyDescent="0.3">
      <c r="D10440" s="40"/>
      <c r="J10440" s="134"/>
    </row>
    <row r="10441" spans="4:10" x14ac:dyDescent="0.3">
      <c r="D10441" s="40"/>
      <c r="J10441" s="134"/>
    </row>
    <row r="10442" spans="4:10" x14ac:dyDescent="0.3">
      <c r="D10442" s="40"/>
      <c r="J10442" s="134"/>
    </row>
    <row r="10443" spans="4:10" x14ac:dyDescent="0.3">
      <c r="D10443" s="40"/>
      <c r="J10443" s="134"/>
    </row>
    <row r="10444" spans="4:10" x14ac:dyDescent="0.3">
      <c r="D10444" s="40"/>
      <c r="J10444" s="134"/>
    </row>
    <row r="10445" spans="4:10" x14ac:dyDescent="0.3">
      <c r="D10445" s="40"/>
      <c r="J10445" s="134"/>
    </row>
    <row r="10446" spans="4:10" x14ac:dyDescent="0.3">
      <c r="D10446" s="40"/>
      <c r="J10446" s="134"/>
    </row>
    <row r="10447" spans="4:10" x14ac:dyDescent="0.3">
      <c r="D10447" s="40"/>
      <c r="J10447" s="134"/>
    </row>
    <row r="10448" spans="4:10" x14ac:dyDescent="0.3">
      <c r="D10448" s="40"/>
      <c r="J10448" s="134"/>
    </row>
    <row r="10449" spans="4:10" x14ac:dyDescent="0.3">
      <c r="D10449" s="40"/>
      <c r="J10449" s="134"/>
    </row>
    <row r="10450" spans="4:10" x14ac:dyDescent="0.3">
      <c r="D10450" s="40"/>
      <c r="J10450" s="134"/>
    </row>
    <row r="10451" spans="4:10" x14ac:dyDescent="0.3">
      <c r="D10451" s="40"/>
      <c r="J10451" s="134"/>
    </row>
    <row r="10452" spans="4:10" x14ac:dyDescent="0.3">
      <c r="D10452" s="40"/>
      <c r="J10452" s="134"/>
    </row>
    <row r="10453" spans="4:10" x14ac:dyDescent="0.3">
      <c r="D10453" s="40"/>
      <c r="J10453" s="134"/>
    </row>
    <row r="10454" spans="4:10" x14ac:dyDescent="0.3">
      <c r="D10454" s="40"/>
      <c r="J10454" s="134"/>
    </row>
    <row r="10455" spans="4:10" x14ac:dyDescent="0.3">
      <c r="D10455" s="40"/>
      <c r="J10455" s="134"/>
    </row>
    <row r="10456" spans="4:10" x14ac:dyDescent="0.3">
      <c r="D10456" s="40"/>
      <c r="J10456" s="134"/>
    </row>
    <row r="10457" spans="4:10" x14ac:dyDescent="0.3">
      <c r="D10457" s="40"/>
      <c r="J10457" s="134"/>
    </row>
    <row r="10458" spans="4:10" x14ac:dyDescent="0.3">
      <c r="D10458" s="40"/>
      <c r="J10458" s="134"/>
    </row>
    <row r="10459" spans="4:10" x14ac:dyDescent="0.3">
      <c r="D10459" s="40"/>
      <c r="J10459" s="134"/>
    </row>
    <row r="10460" spans="4:10" x14ac:dyDescent="0.3">
      <c r="D10460" s="40"/>
      <c r="J10460" s="134"/>
    </row>
    <row r="10461" spans="4:10" x14ac:dyDescent="0.3">
      <c r="D10461" s="40"/>
      <c r="J10461" s="134"/>
    </row>
    <row r="10462" spans="4:10" x14ac:dyDescent="0.3">
      <c r="D10462" s="40"/>
      <c r="J10462" s="134"/>
    </row>
    <row r="10463" spans="4:10" x14ac:dyDescent="0.3">
      <c r="D10463" s="40"/>
      <c r="J10463" s="134"/>
    </row>
    <row r="10464" spans="4:10" x14ac:dyDescent="0.3">
      <c r="D10464" s="40"/>
      <c r="J10464" s="134"/>
    </row>
    <row r="10465" spans="4:10" x14ac:dyDescent="0.3">
      <c r="D10465" s="40"/>
      <c r="J10465" s="134"/>
    </row>
    <row r="10466" spans="4:10" x14ac:dyDescent="0.3">
      <c r="D10466" s="40"/>
      <c r="J10466" s="134"/>
    </row>
    <row r="10467" spans="4:10" x14ac:dyDescent="0.3">
      <c r="D10467" s="40"/>
      <c r="J10467" s="134"/>
    </row>
    <row r="10468" spans="4:10" x14ac:dyDescent="0.3">
      <c r="D10468" s="40"/>
      <c r="J10468" s="134"/>
    </row>
    <row r="10469" spans="4:10" x14ac:dyDescent="0.3">
      <c r="D10469" s="40"/>
      <c r="J10469" s="134"/>
    </row>
    <row r="10470" spans="4:10" x14ac:dyDescent="0.3">
      <c r="D10470" s="40"/>
      <c r="J10470" s="134"/>
    </row>
    <row r="10471" spans="4:10" x14ac:dyDescent="0.3">
      <c r="D10471" s="40"/>
      <c r="J10471" s="134"/>
    </row>
    <row r="10472" spans="4:10" x14ac:dyDescent="0.3">
      <c r="D10472" s="40"/>
      <c r="J10472" s="134"/>
    </row>
    <row r="10473" spans="4:10" x14ac:dyDescent="0.3">
      <c r="D10473" s="40"/>
      <c r="J10473" s="134"/>
    </row>
    <row r="10474" spans="4:10" x14ac:dyDescent="0.3">
      <c r="D10474" s="40"/>
      <c r="J10474" s="134"/>
    </row>
    <row r="10475" spans="4:10" x14ac:dyDescent="0.3">
      <c r="D10475" s="40"/>
      <c r="J10475" s="134"/>
    </row>
    <row r="10476" spans="4:10" x14ac:dyDescent="0.3">
      <c r="D10476" s="40"/>
      <c r="J10476" s="134"/>
    </row>
    <row r="10477" spans="4:10" x14ac:dyDescent="0.3">
      <c r="D10477" s="40"/>
      <c r="J10477" s="134"/>
    </row>
  </sheetData>
  <mergeCells count="1">
    <mergeCell ref="C469:H4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Assumptions</vt:lpstr>
      <vt:lpstr>Sensitivity and scenario analy</vt:lpstr>
      <vt:lpstr>Summary Output</vt:lpstr>
      <vt:lpstr>IRR &amp; DSR Calculation</vt:lpstr>
      <vt:lpstr>Annual Sales</vt:lpstr>
      <vt:lpstr>Annual Expenses</vt:lpstr>
      <vt:lpstr>Tax Schedule</vt:lpstr>
      <vt:lpstr>Income Statement</vt:lpstr>
      <vt:lpstr>Cash Flow Statement</vt:lpstr>
      <vt:lpstr>Balance Sheet</vt:lpstr>
      <vt:lpstr>Imp Fin Parameters</vt:lpstr>
      <vt:lpstr>Notes</vt:lpstr>
      <vt:lpstr>Scenario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a4a7c809-61ef-4a0a-9e50-61f83bc0bc08</vt:lpwstr>
  </property>
</Properties>
</file>