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2" sheetId="2" r:id="rId1"/>
    <sheet name="Deposition Curves" sheetId="3" r:id="rId2"/>
    <sheet name="Deposition Curves - Two" sheetId="4" r:id="rId3"/>
    <sheet name="VolumeFractionCalcs" sheetId="5" r:id="rId4"/>
  </sheets>
  <calcPr calcId="145621"/>
</workbook>
</file>

<file path=xl/calcChain.xml><?xml version="1.0" encoding="utf-8"?>
<calcChain xmlns="http://schemas.openxmlformats.org/spreadsheetml/2006/main">
  <c r="H6" i="5" l="1"/>
  <c r="H7" i="5"/>
  <c r="C3" i="5"/>
  <c r="B10" i="2" l="1"/>
  <c r="B8" i="2"/>
  <c r="B6" i="2"/>
  <c r="V7" i="3" l="1"/>
  <c r="U7" i="3" s="1"/>
  <c r="T7" i="3"/>
  <c r="S7" i="3"/>
  <c r="R7" i="3"/>
  <c r="Q7" i="3" s="1"/>
  <c r="P7" i="3"/>
  <c r="O7" i="3" s="1"/>
  <c r="N7" i="3"/>
  <c r="M7" i="3" s="1"/>
  <c r="V10" i="3"/>
  <c r="U10" i="3"/>
  <c r="T10" i="3"/>
  <c r="S10" i="3"/>
  <c r="R10" i="3"/>
  <c r="Q10" i="3"/>
  <c r="P10" i="3"/>
  <c r="O10" i="3"/>
  <c r="N10" i="3"/>
  <c r="M10" i="3" s="1"/>
  <c r="V9" i="3"/>
  <c r="U9" i="3"/>
  <c r="T9" i="3"/>
  <c r="S9" i="3" s="1"/>
  <c r="R9" i="3"/>
  <c r="Q9" i="3"/>
  <c r="P9" i="3"/>
  <c r="O9" i="3"/>
  <c r="N9" i="3"/>
  <c r="M9" i="3" s="1"/>
  <c r="V8" i="3"/>
  <c r="U8" i="3" s="1"/>
  <c r="T8" i="3"/>
  <c r="S8" i="3"/>
  <c r="R8" i="3"/>
  <c r="Q8" i="3"/>
  <c r="P8" i="3"/>
  <c r="O8" i="3"/>
  <c r="N8" i="3"/>
  <c r="M8" i="3" s="1"/>
  <c r="V6" i="3"/>
  <c r="U6" i="3"/>
  <c r="T6" i="3"/>
  <c r="S6" i="3" s="1"/>
  <c r="R6" i="3"/>
  <c r="Q6" i="3" s="1"/>
  <c r="P6" i="3"/>
  <c r="O6" i="3" s="1"/>
  <c r="N6" i="3"/>
  <c r="M6" i="3" s="1"/>
  <c r="E6" i="3"/>
  <c r="D6" i="3" s="1"/>
  <c r="F27" i="3" l="1"/>
  <c r="H25" i="3"/>
  <c r="I22" i="3"/>
  <c r="I15" i="4" l="1"/>
  <c r="J15" i="4"/>
  <c r="K15" i="4" s="1"/>
  <c r="E16" i="4"/>
  <c r="I6" i="3"/>
  <c r="H6" i="3" s="1"/>
  <c r="G6" i="3" s="1"/>
  <c r="I10" i="3"/>
  <c r="H10" i="3" s="1"/>
  <c r="G10" i="3" s="1"/>
  <c r="I9" i="3"/>
  <c r="H9" i="3" s="1"/>
  <c r="G9" i="3" s="1"/>
  <c r="I8" i="3"/>
  <c r="H8" i="3" s="1"/>
  <c r="G8" i="3" s="1"/>
  <c r="I7" i="3"/>
  <c r="H7" i="3" s="1"/>
  <c r="G7" i="3" s="1"/>
  <c r="D15" i="3"/>
  <c r="D14" i="3"/>
  <c r="E10" i="3"/>
  <c r="D10" i="3" s="1"/>
  <c r="C10" i="3" s="1"/>
  <c r="E9" i="3"/>
  <c r="D9" i="3" s="1"/>
  <c r="C9" i="3" s="1"/>
  <c r="E8" i="3"/>
  <c r="D8" i="3" s="1"/>
  <c r="C8" i="3" s="1"/>
  <c r="E7" i="3"/>
  <c r="D7" i="3" s="1"/>
  <c r="C7" i="3" s="1"/>
  <c r="C6" i="3"/>
  <c r="H15" i="4" l="1"/>
</calcChain>
</file>

<file path=xl/sharedStrings.xml><?xml version="1.0" encoding="utf-8"?>
<sst xmlns="http://schemas.openxmlformats.org/spreadsheetml/2006/main" count="45" uniqueCount="42">
  <si>
    <t>Time</t>
  </si>
  <si>
    <t>mg</t>
  </si>
  <si>
    <t>Dose</t>
  </si>
  <si>
    <t>Solution</t>
  </si>
  <si>
    <t>mg/ml</t>
  </si>
  <si>
    <t>ml</t>
  </si>
  <si>
    <t>Volume per Dose</t>
  </si>
  <si>
    <t>Mouthpiece Volume</t>
  </si>
  <si>
    <t>Density (g/cm^3)</t>
  </si>
  <si>
    <t>Flow Rate (cm^3/sec)</t>
  </si>
  <si>
    <t>Oral Deposition</t>
  </si>
  <si>
    <t>High Flow</t>
  </si>
  <si>
    <t>Low Flow</t>
  </si>
  <si>
    <t>L/min</t>
  </si>
  <si>
    <t>cm^3/sec</t>
  </si>
  <si>
    <t>Lungs</t>
  </si>
  <si>
    <t>Fast</t>
  </si>
  <si>
    <t>Slow</t>
  </si>
  <si>
    <t>Oral</t>
  </si>
  <si>
    <t>Expelled</t>
  </si>
  <si>
    <t>Gravity (cm/s^2)</t>
  </si>
  <si>
    <t>Particle Density (g/cm^3)</t>
  </si>
  <si>
    <t>Particle Radius (cm)</t>
  </si>
  <si>
    <t>μm</t>
  </si>
  <si>
    <t>Assume 0 degrees for horizontal tube</t>
  </si>
  <si>
    <t>a</t>
  </si>
  <si>
    <t>c</t>
  </si>
  <si>
    <t>Viscosity Air (g/(cm sec))</t>
  </si>
  <si>
    <t>Radius of Airway (cm)</t>
  </si>
  <si>
    <t>Cunningham SF</t>
  </si>
  <si>
    <t>Mean Free Path, STP (cm)</t>
  </si>
  <si>
    <t>L/sec</t>
  </si>
  <si>
    <t>mL/sec</t>
  </si>
  <si>
    <t>ug</t>
  </si>
  <si>
    <t xml:space="preserve">Albutrol Density = </t>
  </si>
  <si>
    <t>g/L</t>
  </si>
  <si>
    <t>Albuterol Mass</t>
  </si>
  <si>
    <t>L</t>
  </si>
  <si>
    <t>Alveoli Volume Fraction</t>
  </si>
  <si>
    <t>Alveoli Volume</t>
  </si>
  <si>
    <t>ug/L</t>
  </si>
  <si>
    <t>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</si>
</sst>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7725438874993"/>
          <c:y val="3.5585007971181096E-2"/>
          <c:w val="0.68930000399099112"/>
          <c:h val="0.81681350111384532"/>
        </c:manualLayout>
      </c:layout>
      <c:scatterChart>
        <c:scatterStyle val="smoothMarker"/>
        <c:varyColors val="0"/>
        <c:ser>
          <c:idx val="0"/>
          <c:order val="0"/>
          <c:tx>
            <c:v>1.0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Curves'!$M$6:$M$10</c:f>
              <c:numCache>
                <c:formatCode>General</c:formatCode>
                <c:ptCount val="5"/>
                <c:pt idx="0">
                  <c:v>4.0380201022087334E-4</c:v>
                </c:pt>
                <c:pt idx="1">
                  <c:v>3.6504341855247598E-3</c:v>
                </c:pt>
                <c:pt idx="2">
                  <c:v>7.9094763105434382E-2</c:v>
                </c:pt>
                <c:pt idx="3">
                  <c:v>0.18166628164090151</c:v>
                </c:pt>
                <c:pt idx="4">
                  <c:v>0.27896293154633134</c:v>
                </c:pt>
              </c:numCache>
            </c:numRef>
          </c:yVal>
          <c:smooth val="1"/>
        </c:ser>
        <c:ser>
          <c:idx val="1"/>
          <c:order val="1"/>
          <c:tx>
            <c:v>1.5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Curves'!$O$6:$O$10</c:f>
              <c:numCache>
                <c:formatCode>General</c:formatCode>
                <c:ptCount val="5"/>
                <c:pt idx="0">
                  <c:v>1.2254663520108408E-3</c:v>
                </c:pt>
                <c:pt idx="1">
                  <c:v>1.1005673809285681E-2</c:v>
                </c:pt>
                <c:pt idx="2">
                  <c:v>0.2068963334963444</c:v>
                </c:pt>
                <c:pt idx="3">
                  <c:v>0.40272482145020172</c:v>
                </c:pt>
                <c:pt idx="4">
                  <c:v>0.5402533846583083</c:v>
                </c:pt>
              </c:numCache>
            </c:numRef>
          </c:yVal>
          <c:smooth val="1"/>
        </c:ser>
        <c:ser>
          <c:idx val="2"/>
          <c:order val="2"/>
          <c:tx>
            <c:v>3.0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Curves'!$Q$6:$Q$10</c:f>
              <c:numCache>
                <c:formatCode>General</c:formatCode>
                <c:ptCount val="5"/>
                <c:pt idx="0">
                  <c:v>8.1303774592063442E-3</c:v>
                </c:pt>
                <c:pt idx="1">
                  <c:v>6.9199303684934765E-2</c:v>
                </c:pt>
                <c:pt idx="2">
                  <c:v>0.63540772339409624</c:v>
                </c:pt>
                <c:pt idx="3">
                  <c:v>0.81833371835909852</c:v>
                </c:pt>
                <c:pt idx="4">
                  <c:v>0.88701291612341293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1984"/>
        <c:axId val="175003904"/>
      </c:scatterChart>
      <c:valAx>
        <c:axId val="1750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Flow (L/sec)</a:t>
                </a:r>
              </a:p>
            </c:rich>
          </c:tx>
          <c:layout>
            <c:manualLayout>
              <c:xMode val="edge"/>
              <c:yMode val="edge"/>
              <c:x val="0.42772106665491211"/>
              <c:y val="0.916666645635636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03904"/>
        <c:crosses val="autoZero"/>
        <c:crossBetween val="midCat"/>
      </c:valAx>
      <c:valAx>
        <c:axId val="1750039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Oral Deposition Fraction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500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16327107093682"/>
          <c:y val="0.44511418461391694"/>
          <c:w val="0.11001434969778667"/>
          <c:h val="0.173874211052445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7725438874993"/>
          <c:y val="3.5585007971181096E-2"/>
          <c:w val="0.82925274350853384"/>
          <c:h val="0.81681350111384532"/>
        </c:manualLayout>
      </c:layout>
      <c:scatterChart>
        <c:scatterStyle val="smoothMarker"/>
        <c:varyColors val="0"/>
        <c:ser>
          <c:idx val="0"/>
          <c:order val="0"/>
          <c:tx>
            <c:v>1.0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Curves'!$M$6:$M$10</c:f>
              <c:numCache>
                <c:formatCode>General</c:formatCode>
                <c:ptCount val="5"/>
                <c:pt idx="0">
                  <c:v>4.0380201022087334E-4</c:v>
                </c:pt>
                <c:pt idx="1">
                  <c:v>3.6504341855247598E-3</c:v>
                </c:pt>
                <c:pt idx="2">
                  <c:v>7.9094763105434382E-2</c:v>
                </c:pt>
                <c:pt idx="3">
                  <c:v>0.18166628164090151</c:v>
                </c:pt>
                <c:pt idx="4">
                  <c:v>0.27896293154633134</c:v>
                </c:pt>
              </c:numCache>
            </c:numRef>
          </c:yVal>
          <c:smooth val="1"/>
        </c:ser>
        <c:ser>
          <c:idx val="1"/>
          <c:order val="1"/>
          <c:tx>
            <c:v>1.5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Curves'!$O$6:$O$10</c:f>
              <c:numCache>
                <c:formatCode>General</c:formatCode>
                <c:ptCount val="5"/>
                <c:pt idx="0">
                  <c:v>1.2254663520108408E-3</c:v>
                </c:pt>
                <c:pt idx="1">
                  <c:v>1.1005673809285681E-2</c:v>
                </c:pt>
                <c:pt idx="2">
                  <c:v>0.2068963334963444</c:v>
                </c:pt>
                <c:pt idx="3">
                  <c:v>0.40272482145020172</c:v>
                </c:pt>
                <c:pt idx="4">
                  <c:v>0.5402533846583083</c:v>
                </c:pt>
              </c:numCache>
            </c:numRef>
          </c:yVal>
          <c:smooth val="1"/>
        </c:ser>
        <c:ser>
          <c:idx val="2"/>
          <c:order val="2"/>
          <c:tx>
            <c:v>3.0 um</c:v>
          </c:tx>
          <c:marker>
            <c:symbol val="none"/>
          </c:marker>
          <c:xVal>
            <c:numRef>
              <c:f>'Deposition Curves'!$L$6:$L$10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'Deposition Curves'!$Q$6:$Q$10</c:f>
              <c:numCache>
                <c:formatCode>General</c:formatCode>
                <c:ptCount val="5"/>
                <c:pt idx="0">
                  <c:v>8.1303774592063442E-3</c:v>
                </c:pt>
                <c:pt idx="1">
                  <c:v>6.9199303684934765E-2</c:v>
                </c:pt>
                <c:pt idx="2">
                  <c:v>0.63540772339409624</c:v>
                </c:pt>
                <c:pt idx="3">
                  <c:v>0.81833371835909852</c:v>
                </c:pt>
                <c:pt idx="4">
                  <c:v>0.88701291612341293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2944"/>
        <c:axId val="175044864"/>
      </c:scatterChart>
      <c:valAx>
        <c:axId val="1750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Flow (L/sec)</a:t>
                </a:r>
              </a:p>
            </c:rich>
          </c:tx>
          <c:layout>
            <c:manualLayout>
              <c:xMode val="edge"/>
              <c:yMode val="edge"/>
              <c:x val="0.42772106665491211"/>
              <c:y val="0.916666645635636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44864"/>
        <c:crosses val="autoZero"/>
        <c:crossBetween val="midCat"/>
      </c:valAx>
      <c:valAx>
        <c:axId val="175044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Oral Deposition Fraction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504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963841620795089"/>
          <c:y val="7.9729477016322645E-2"/>
          <c:w val="0.11001434969778667"/>
          <c:h val="0.1738742110524457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85726</xdr:colOff>
      <xdr:row>13</xdr:row>
      <xdr:rowOff>171450</xdr:rowOff>
    </xdr:from>
    <xdr:to>
      <xdr:col>22</xdr:col>
      <xdr:colOff>95250</xdr:colOff>
      <xdr:row>34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123825</xdr:colOff>
      <xdr:row>21</xdr:row>
      <xdr:rowOff>161925</xdr:rowOff>
    </xdr:from>
    <xdr:ext cx="1210909" cy="264560"/>
    <xdr:sp macro="" textlink="">
      <xdr:nvSpPr>
        <xdr:cNvPr id="3" name="TextBox 2"/>
        <xdr:cNvSpPr txBox="1"/>
      </xdr:nvSpPr>
      <xdr:spPr>
        <a:xfrm>
          <a:off x="14258925" y="4181475"/>
          <a:ext cx="12109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Droplet Diameter</a:t>
          </a:r>
        </a:p>
      </xdr:txBody>
    </xdr:sp>
    <xdr:clientData/>
  </xdr:oneCellAnchor>
  <xdr:twoCellAnchor>
    <xdr:from>
      <xdr:col>12</xdr:col>
      <xdr:colOff>323850</xdr:colOff>
      <xdr:row>14</xdr:row>
      <xdr:rowOff>114300</xdr:rowOff>
    </xdr:from>
    <xdr:to>
      <xdr:col>13</xdr:col>
      <xdr:colOff>514350</xdr:colOff>
      <xdr:row>31</xdr:row>
      <xdr:rowOff>114300</xdr:rowOff>
    </xdr:to>
    <xdr:sp macro="" textlink="">
      <xdr:nvSpPr>
        <xdr:cNvPr id="4" name="Rectangle 3"/>
        <xdr:cNvSpPr/>
      </xdr:nvSpPr>
      <xdr:spPr>
        <a:xfrm>
          <a:off x="9582150" y="2800350"/>
          <a:ext cx="800100" cy="3238500"/>
        </a:xfrm>
        <a:prstGeom prst="rect">
          <a:avLst/>
        </a:prstGeom>
        <a:solidFill>
          <a:schemeClr val="bg1">
            <a:lumMod val="9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1">
              <a:solidFill>
                <a:sysClr val="windowText" lastClr="000000"/>
              </a:solidFill>
            </a:rPr>
            <a:t>Range of normal breathing</a:t>
          </a:r>
        </a:p>
      </xdr:txBody>
    </xdr:sp>
    <xdr:clientData/>
  </xdr:twoCellAnchor>
  <xdr:twoCellAnchor>
    <xdr:from>
      <xdr:col>15</xdr:col>
      <xdr:colOff>438150</xdr:colOff>
      <xdr:row>14</xdr:row>
      <xdr:rowOff>123825</xdr:rowOff>
    </xdr:from>
    <xdr:to>
      <xdr:col>19</xdr:col>
      <xdr:colOff>400050</xdr:colOff>
      <xdr:row>31</xdr:row>
      <xdr:rowOff>123825</xdr:rowOff>
    </xdr:to>
    <xdr:sp macro="" textlink="">
      <xdr:nvSpPr>
        <xdr:cNvPr id="5" name="Rectangle 4"/>
        <xdr:cNvSpPr/>
      </xdr:nvSpPr>
      <xdr:spPr>
        <a:xfrm>
          <a:off x="11525250" y="2809875"/>
          <a:ext cx="2400300" cy="3238500"/>
        </a:xfrm>
        <a:prstGeom prst="rect">
          <a:avLst/>
        </a:prstGeom>
        <a:solidFill>
          <a:schemeClr val="bg1">
            <a:lumMod val="9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1">
              <a:solidFill>
                <a:sysClr val="windowText" lastClr="000000"/>
              </a:solidFill>
            </a:rPr>
            <a:t>Range of deep breathing</a:t>
          </a:r>
        </a:p>
        <a:p>
          <a:pPr algn="ctr"/>
          <a:endParaRPr lang="en-US" sz="1100" b="1" i="1">
            <a:solidFill>
              <a:sysClr val="windowText" lastClr="000000"/>
            </a:solidFill>
          </a:endParaRPr>
        </a:p>
        <a:p>
          <a:pPr algn="ctr"/>
          <a:endParaRPr lang="en-US" sz="1100" b="1" i="1">
            <a:solidFill>
              <a:sysClr val="windowText" lastClr="000000"/>
            </a:solidFill>
          </a:endParaRPr>
        </a:p>
        <a:p>
          <a:pPr algn="ctr"/>
          <a:endParaRPr lang="en-US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95251</xdr:colOff>
      <xdr:row>35</xdr:row>
      <xdr:rowOff>133350</xdr:rowOff>
    </xdr:from>
    <xdr:to>
      <xdr:col>22</xdr:col>
      <xdr:colOff>104775</xdr:colOff>
      <xdr:row>56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workbookViewId="0">
      <selection activeCell="B8" sqref="B8"/>
    </sheetView>
  </sheetViews>
  <sheetFormatPr defaultRowHeight="15" x14ac:dyDescent="0.25"/>
  <cols>
    <col min="1" max="1" width="17" customWidth="1"/>
    <col min="2" max="2" width="9.85546875" customWidth="1"/>
  </cols>
  <sheetData>
    <row r="4" spans="1:3" x14ac:dyDescent="0.25">
      <c r="A4" t="s">
        <v>2</v>
      </c>
      <c r="B4" s="2">
        <v>0.09</v>
      </c>
      <c r="C4" t="s">
        <v>1</v>
      </c>
    </row>
    <row r="6" spans="1:3" x14ac:dyDescent="0.25">
      <c r="A6" t="s">
        <v>3</v>
      </c>
      <c r="B6">
        <f>2.5/3</f>
        <v>0.83333333333333337</v>
      </c>
      <c r="C6" t="s">
        <v>4</v>
      </c>
    </row>
    <row r="8" spans="1:3" x14ac:dyDescent="0.25">
      <c r="A8" t="s">
        <v>6</v>
      </c>
      <c r="B8">
        <f>B4/B6</f>
        <v>0.10799999999999998</v>
      </c>
      <c r="C8" t="s">
        <v>5</v>
      </c>
    </row>
    <row r="10" spans="1:3" x14ac:dyDescent="0.25">
      <c r="A10" t="s">
        <v>7</v>
      </c>
      <c r="B10">
        <f>3*1*1</f>
        <v>3</v>
      </c>
      <c r="C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opLeftCell="A4" workbookViewId="0">
      <selection activeCell="B38" sqref="B38"/>
    </sheetView>
  </sheetViews>
  <sheetFormatPr defaultRowHeight="15" x14ac:dyDescent="0.25"/>
  <cols>
    <col min="2" max="2" width="22.85546875" customWidth="1"/>
    <col min="3" max="3" width="16" customWidth="1"/>
    <col min="7" max="7" width="17.7109375" customWidth="1"/>
  </cols>
  <sheetData>
    <row r="2" spans="2:22" x14ac:dyDescent="0.25">
      <c r="B2" t="s">
        <v>8</v>
      </c>
      <c r="C2" s="1">
        <v>1</v>
      </c>
    </row>
    <row r="3" spans="2:22" x14ac:dyDescent="0.25">
      <c r="B3" t="s">
        <v>9</v>
      </c>
      <c r="C3" s="1">
        <v>5000</v>
      </c>
    </row>
    <row r="4" spans="2:22" ht="15.75" thickBot="1" x14ac:dyDescent="0.3"/>
    <row r="5" spans="2:22" x14ac:dyDescent="0.25">
      <c r="C5" s="3" t="s">
        <v>10</v>
      </c>
      <c r="G5" s="3" t="s">
        <v>10</v>
      </c>
      <c r="M5" s="11">
        <v>1</v>
      </c>
      <c r="O5" s="11">
        <v>1.5</v>
      </c>
      <c r="Q5" s="11">
        <v>3</v>
      </c>
      <c r="S5" s="11">
        <v>6</v>
      </c>
      <c r="U5" s="11">
        <v>10</v>
      </c>
    </row>
    <row r="6" spans="2:22" x14ac:dyDescent="0.25">
      <c r="B6">
        <v>0.2</v>
      </c>
      <c r="C6">
        <f>1/D6</f>
        <v>1.0430418916984145E-3</v>
      </c>
      <c r="D6">
        <f>1 + (E6^(-1.37))</f>
        <v>958.73426365615273</v>
      </c>
      <c r="E6">
        <f>($C$2*(B6^2)*$C$3)/30000</f>
        <v>6.666666666666668E-3</v>
      </c>
      <c r="G6" t="e">
        <f>1/H6</f>
        <v>#DIV/0!</v>
      </c>
      <c r="H6" t="e">
        <f>1 + (I6^(-1.37))</f>
        <v>#DIV/0!</v>
      </c>
      <c r="I6">
        <f>($C$2*(F6^2)*$C$3)/30000</f>
        <v>0</v>
      </c>
      <c r="L6">
        <v>0.1</v>
      </c>
      <c r="M6" s="9">
        <f>1/(1 + (N6^(-1.37)))</f>
        <v>4.0380201022087334E-4</v>
      </c>
      <c r="N6">
        <f>($C$2*(M$5^2)*($L6*1000))/30000</f>
        <v>3.3333333333333335E-3</v>
      </c>
      <c r="O6" s="9">
        <f>1/(1 + (P6^(-1.37)))</f>
        <v>1.2254663520108408E-3</v>
      </c>
      <c r="P6">
        <f>($C$2*(O$5^2)*($L6*1000))/30000</f>
        <v>7.4999999999999997E-3</v>
      </c>
      <c r="Q6" s="9">
        <f>1/(1 + (R6^(-1.37)))</f>
        <v>8.1303774592063442E-3</v>
      </c>
      <c r="R6">
        <f>($C$2*(Q$5^2)*($L6*1000))/30000</f>
        <v>0.03</v>
      </c>
      <c r="S6" s="9">
        <f>1/(1 + (T6^(-1.37)))</f>
        <v>5.191870885602623E-2</v>
      </c>
      <c r="T6">
        <f>($C$2*(S$5^2)*($L6*1000))/30000</f>
        <v>0.12</v>
      </c>
      <c r="U6" s="9">
        <f>1/(1 + (V6^(-1.37)))</f>
        <v>0.18166628164090151</v>
      </c>
      <c r="V6">
        <f>($C$2*(U$5^2)*($L6*1000))/30000</f>
        <v>0.33333333333333331</v>
      </c>
    </row>
    <row r="7" spans="2:22" x14ac:dyDescent="0.25">
      <c r="B7">
        <v>1.5</v>
      </c>
      <c r="C7">
        <f t="shared" ref="C7:C10" si="0">1/D7</f>
        <v>0.2068963334963444</v>
      </c>
      <c r="D7">
        <f t="shared" ref="D7:D10" si="1">1 + (E7^(-1.37))</f>
        <v>4.833338431382443</v>
      </c>
      <c r="E7">
        <f>($C$2*(B7^2)*$C$3)/30000</f>
        <v>0.375</v>
      </c>
      <c r="G7" t="e">
        <f t="shared" ref="G7:G10" si="2">1/H7</f>
        <v>#DIV/0!</v>
      </c>
      <c r="H7" t="e">
        <f t="shared" ref="H7:H10" si="3">1 + (I7^(-1.37))</f>
        <v>#DIV/0!</v>
      </c>
      <c r="I7">
        <f>($C$2*(F7^2)*$C$3)/30000</f>
        <v>0</v>
      </c>
      <c r="L7">
        <v>0.5</v>
      </c>
      <c r="M7" s="9">
        <f>1/(1 + (N7^(-1.37)))</f>
        <v>3.6504341855247598E-3</v>
      </c>
      <c r="N7">
        <f>($C$2*(M$5^2)*($L7*1000))/30000</f>
        <v>1.6666666666666666E-2</v>
      </c>
      <c r="O7" s="9">
        <f>1/(1 + (P7^(-1.37)))</f>
        <v>1.1005673809285681E-2</v>
      </c>
      <c r="P7">
        <f>($C$2*(O$5^2)*($L7*1000))/30000</f>
        <v>3.7499999999999999E-2</v>
      </c>
      <c r="Q7" s="9">
        <f>1/(1 + (R7^(-1.37)))</f>
        <v>6.9199303684934765E-2</v>
      </c>
      <c r="R7">
        <f>($C$2*(Q$5^2)*($L7*1000))/30000</f>
        <v>0.15</v>
      </c>
      <c r="S7" s="9">
        <f>1/(1 + (T7^(-1.37)))</f>
        <v>0.33184967518889996</v>
      </c>
      <c r="T7">
        <f>($C$2*(S$5^2)*($L7*1000))/30000</f>
        <v>0.6</v>
      </c>
      <c r="U7" s="9">
        <f>1/(1 + (V7^(-1.37)))</f>
        <v>0.66815032481110015</v>
      </c>
      <c r="V7">
        <f>($C$2*(U$5^2)*($L7*1000))/30000</f>
        <v>1.6666666666666667</v>
      </c>
    </row>
    <row r="8" spans="2:22" x14ac:dyDescent="0.25">
      <c r="B8">
        <v>3</v>
      </c>
      <c r="C8">
        <f t="shared" si="0"/>
        <v>0.63540772339409624</v>
      </c>
      <c r="D8">
        <f t="shared" si="1"/>
        <v>1.5737926423972253</v>
      </c>
      <c r="E8">
        <f>($C$2*(B8^2)*$C$3)/30000</f>
        <v>1.5</v>
      </c>
      <c r="G8" t="e">
        <f t="shared" si="2"/>
        <v>#DIV/0!</v>
      </c>
      <c r="H8" t="e">
        <f t="shared" si="3"/>
        <v>#DIV/0!</v>
      </c>
      <c r="I8">
        <f>($C$2*(F8^2)*$C$3)/30000</f>
        <v>0</v>
      </c>
      <c r="L8">
        <v>5</v>
      </c>
      <c r="M8" s="9">
        <f t="shared" ref="M8:M10" si="4">1/(1 + (N8^(-1.37)))</f>
        <v>7.9094763105434382E-2</v>
      </c>
      <c r="N8">
        <f>($C$2*(M$5^2)*($L8*1000))/30000</f>
        <v>0.16666666666666666</v>
      </c>
      <c r="O8" s="9">
        <f t="shared" ref="O8:O10" si="5">1/(1 + (P8^(-1.37)))</f>
        <v>0.2068963334963444</v>
      </c>
      <c r="P8">
        <f>($C$2*(O$5^2)*($L8*1000))/30000</f>
        <v>0.375</v>
      </c>
      <c r="Q8" s="9">
        <f t="shared" ref="Q8:Q10" si="6">1/(1 + (R8^(-1.37)))</f>
        <v>0.63540772339409624</v>
      </c>
      <c r="R8">
        <f>($C$2*(Q$5^2)*($L8*1000))/30000</f>
        <v>1.5</v>
      </c>
      <c r="S8" s="9">
        <f t="shared" ref="S8:S10" si="7">1/(1 + (T8^(-1.37)))</f>
        <v>0.92090523689456572</v>
      </c>
      <c r="T8">
        <f>($C$2*(S$5^2)*($L8*1000))/30000</f>
        <v>6</v>
      </c>
      <c r="U8" s="9">
        <f t="shared" ref="U8:U10" si="8">1/(1 + (V8^(-1.37)))</f>
        <v>0.97925268110400765</v>
      </c>
      <c r="V8">
        <f>($C$2*(U$5^2)*($L8*1000))/30000</f>
        <v>16.666666666666668</v>
      </c>
    </row>
    <row r="9" spans="2:22" x14ac:dyDescent="0.25">
      <c r="B9">
        <v>6</v>
      </c>
      <c r="C9">
        <f t="shared" si="0"/>
        <v>0.92090523689456572</v>
      </c>
      <c r="D9">
        <f t="shared" si="1"/>
        <v>1.0858880587672126</v>
      </c>
      <c r="E9">
        <f>($C$2*(B9^2)*$C$3)/30000</f>
        <v>6</v>
      </c>
      <c r="G9" t="e">
        <f t="shared" si="2"/>
        <v>#DIV/0!</v>
      </c>
      <c r="H9" t="e">
        <f t="shared" si="3"/>
        <v>#DIV/0!</v>
      </c>
      <c r="I9">
        <f>($C$2*(F9^2)*$C$3)/30000</f>
        <v>0</v>
      </c>
      <c r="L9">
        <v>10</v>
      </c>
      <c r="M9" s="9">
        <f t="shared" si="4"/>
        <v>0.18166628164090151</v>
      </c>
      <c r="N9">
        <f>($C$2*(M$5^2)*($L9*1000))/30000</f>
        <v>0.33333333333333331</v>
      </c>
      <c r="O9" s="9">
        <f t="shared" si="5"/>
        <v>0.40272482145020172</v>
      </c>
      <c r="P9">
        <f>($C$2*(O$5^2)*($L9*1000))/30000</f>
        <v>0.75</v>
      </c>
      <c r="Q9" s="9">
        <f t="shared" si="6"/>
        <v>0.81833371835909852</v>
      </c>
      <c r="R9">
        <f>($C$2*(Q$5^2)*($L9*1000))/30000</f>
        <v>3</v>
      </c>
      <c r="S9" s="9">
        <f t="shared" si="7"/>
        <v>0.96783933919912912</v>
      </c>
      <c r="T9">
        <f>($C$2*(S$5^2)*($L9*1000))/30000</f>
        <v>12</v>
      </c>
      <c r="U9" s="9">
        <f t="shared" si="8"/>
        <v>0.9918696225407938</v>
      </c>
      <c r="V9">
        <f>($C$2*(U$5^2)*($L9*1000))/30000</f>
        <v>33.333333333333336</v>
      </c>
    </row>
    <row r="10" spans="2:22" ht="15.75" thickBot="1" x14ac:dyDescent="0.3">
      <c r="B10">
        <v>10</v>
      </c>
      <c r="C10">
        <f t="shared" si="0"/>
        <v>0.97925268110400765</v>
      </c>
      <c r="D10">
        <f t="shared" si="1"/>
        <v>1.0211868900604917</v>
      </c>
      <c r="E10">
        <f>($C$2*(B10^2)*$C$3)/30000</f>
        <v>16.666666666666668</v>
      </c>
      <c r="G10" t="e">
        <f t="shared" si="2"/>
        <v>#DIV/0!</v>
      </c>
      <c r="H10" t="e">
        <f t="shared" si="3"/>
        <v>#DIV/0!</v>
      </c>
      <c r="I10">
        <f>($C$2*(F10^2)*$C$3)/30000</f>
        <v>0</v>
      </c>
      <c r="L10">
        <v>15</v>
      </c>
      <c r="M10" s="10">
        <f t="shared" si="4"/>
        <v>0.27896293154633134</v>
      </c>
      <c r="N10">
        <f>($C$2*(M$5^2)*($L10*1000))/30000</f>
        <v>0.5</v>
      </c>
      <c r="O10" s="10">
        <f t="shared" si="5"/>
        <v>0.5402533846583083</v>
      </c>
      <c r="P10">
        <f>($C$2*(O$5^2)*($L10*1000))/30000</f>
        <v>1.125</v>
      </c>
      <c r="Q10" s="10">
        <f t="shared" si="6"/>
        <v>0.88701291612341293</v>
      </c>
      <c r="R10">
        <f>($C$2*(Q$5^2)*($L10*1000))/30000</f>
        <v>4.5</v>
      </c>
      <c r="S10" s="10">
        <f t="shared" si="7"/>
        <v>0.98128998927791855</v>
      </c>
      <c r="T10">
        <f>($C$2*(S$5^2)*($L10*1000))/30000</f>
        <v>18</v>
      </c>
      <c r="U10" s="10">
        <f t="shared" si="8"/>
        <v>0.99531862721606346</v>
      </c>
      <c r="V10">
        <f>($C$2*(U$5^2)*($L10*1000))/30000</f>
        <v>50</v>
      </c>
    </row>
    <row r="13" spans="2:22" x14ac:dyDescent="0.25">
      <c r="C13" s="3" t="s">
        <v>13</v>
      </c>
      <c r="D13" s="3" t="s">
        <v>14</v>
      </c>
    </row>
    <row r="14" spans="2:22" x14ac:dyDescent="0.25">
      <c r="B14" s="5" t="s">
        <v>12</v>
      </c>
      <c r="C14" s="4">
        <v>30</v>
      </c>
      <c r="D14" s="4">
        <f>C14*1000/60</f>
        <v>500</v>
      </c>
    </row>
    <row r="15" spans="2:22" x14ac:dyDescent="0.25">
      <c r="B15" s="5" t="s">
        <v>11</v>
      </c>
      <c r="C15" s="4">
        <v>60</v>
      </c>
      <c r="D15" s="4">
        <f>C15*1000/60</f>
        <v>1000</v>
      </c>
    </row>
    <row r="21" spans="5:9" x14ac:dyDescent="0.25">
      <c r="H21">
        <v>15</v>
      </c>
      <c r="I21" t="s">
        <v>31</v>
      </c>
    </row>
    <row r="22" spans="5:9" x14ac:dyDescent="0.25">
      <c r="H22">
        <v>0.01</v>
      </c>
      <c r="I22">
        <f>H21*H22</f>
        <v>0.15</v>
      </c>
    </row>
    <row r="24" spans="5:9" x14ac:dyDescent="0.25">
      <c r="H24">
        <v>11814.9503828708</v>
      </c>
      <c r="I24" t="s">
        <v>32</v>
      </c>
    </row>
    <row r="25" spans="5:9" x14ac:dyDescent="0.25">
      <c r="H25">
        <f>H24/1000</f>
        <v>11.8149503828708</v>
      </c>
      <c r="I25" t="s">
        <v>31</v>
      </c>
    </row>
    <row r="27" spans="5:9" x14ac:dyDescent="0.25">
      <c r="E27" s="8">
        <v>1.0572307976899699E-5</v>
      </c>
      <c r="F27" s="8">
        <f>(1-0.385675334782398)*E27</f>
        <v>6.4948295584862908E-6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workbookViewId="0">
      <selection activeCell="E40" sqref="E40"/>
    </sheetView>
  </sheetViews>
  <sheetFormatPr defaultRowHeight="15" x14ac:dyDescent="0.25"/>
  <cols>
    <col min="2" max="2" width="27" customWidth="1"/>
    <col min="3" max="3" width="10" bestFit="1" customWidth="1"/>
    <col min="9" max="9" width="12" bestFit="1" customWidth="1"/>
    <col min="10" max="10" width="15" customWidth="1"/>
    <col min="11" max="11" width="11.7109375" bestFit="1" customWidth="1"/>
  </cols>
  <sheetData>
    <row r="3" spans="1:11" x14ac:dyDescent="0.25">
      <c r="B3" t="s">
        <v>15</v>
      </c>
      <c r="E3" t="s">
        <v>18</v>
      </c>
      <c r="H3" t="s">
        <v>19</v>
      </c>
    </row>
    <row r="4" spans="1:11" x14ac:dyDescent="0.25">
      <c r="B4" t="s">
        <v>16</v>
      </c>
      <c r="C4" t="s">
        <v>17</v>
      </c>
    </row>
    <row r="5" spans="1:11" x14ac:dyDescent="0.25">
      <c r="A5">
        <v>1.5</v>
      </c>
      <c r="B5">
        <v>0.61</v>
      </c>
      <c r="C5">
        <v>0.56999999999999995</v>
      </c>
    </row>
    <row r="6" spans="1:11" x14ac:dyDescent="0.25">
      <c r="A6">
        <v>3</v>
      </c>
      <c r="B6">
        <v>0.5</v>
      </c>
      <c r="C6">
        <v>0.51</v>
      </c>
    </row>
    <row r="7" spans="1:11" x14ac:dyDescent="0.25">
      <c r="A7">
        <v>6</v>
      </c>
      <c r="B7">
        <v>0.21</v>
      </c>
      <c r="C7">
        <v>0.46</v>
      </c>
    </row>
    <row r="14" spans="1:11" ht="15.75" thickBot="1" x14ac:dyDescent="0.3">
      <c r="B14" t="s">
        <v>20</v>
      </c>
      <c r="C14">
        <v>981</v>
      </c>
      <c r="I14" t="s">
        <v>25</v>
      </c>
      <c r="J14" t="s">
        <v>29</v>
      </c>
      <c r="K14" t="s">
        <v>26</v>
      </c>
    </row>
    <row r="15" spans="1:11" x14ac:dyDescent="0.25">
      <c r="B15" t="s">
        <v>21</v>
      </c>
      <c r="C15">
        <v>1</v>
      </c>
      <c r="E15" s="6" t="s">
        <v>23</v>
      </c>
      <c r="H15">
        <f>1-EXP(C20*K15/I15)</f>
        <v>8.8777698958388829E-3</v>
      </c>
      <c r="I15">
        <f>9*PI()*C18*C17</f>
        <v>5.2194420346740815E-5</v>
      </c>
      <c r="J15">
        <f>1+(C19/C16)*(1.257+(0.4*EXP((-0.55)*(2*C16)/C19)))</f>
        <v>11.861344422758583</v>
      </c>
      <c r="K15">
        <f>(-4)*C14*J15*C15*(C16^2)</f>
        <v>-4.6543915514904677E-8</v>
      </c>
    </row>
    <row r="16" spans="1:11" ht="15.75" thickBot="1" x14ac:dyDescent="0.3">
      <c r="B16" t="s">
        <v>22</v>
      </c>
      <c r="C16">
        <v>9.9999999999999995E-7</v>
      </c>
      <c r="E16" s="7">
        <f>C16*10000</f>
        <v>0.01</v>
      </c>
    </row>
    <row r="17" spans="2:3" x14ac:dyDescent="0.25">
      <c r="B17" t="s">
        <v>28</v>
      </c>
      <c r="C17">
        <v>0.01</v>
      </c>
    </row>
    <row r="18" spans="2:3" x14ac:dyDescent="0.25">
      <c r="B18" t="s">
        <v>27</v>
      </c>
      <c r="C18">
        <v>1.8459999999999999E-4</v>
      </c>
    </row>
    <row r="19" spans="2:3" x14ac:dyDescent="0.25">
      <c r="B19" t="s">
        <v>30</v>
      </c>
      <c r="C19">
        <v>6.8000000000000001E-6</v>
      </c>
    </row>
    <row r="20" spans="2:3" x14ac:dyDescent="0.25">
      <c r="B20" t="s">
        <v>0</v>
      </c>
      <c r="C20">
        <v>10</v>
      </c>
    </row>
    <row r="22" spans="2:3" x14ac:dyDescent="0.25">
      <c r="B2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F11" sqref="F11"/>
    </sheetView>
  </sheetViews>
  <sheetFormatPr defaultColWidth="9.28515625" defaultRowHeight="15" x14ac:dyDescent="0.25"/>
  <cols>
    <col min="2" max="2" width="17.5703125" bestFit="1" customWidth="1"/>
    <col min="3" max="3" width="11" bestFit="1" customWidth="1"/>
    <col min="4" max="4" width="4.85546875" bestFit="1" customWidth="1"/>
    <col min="6" max="6" width="14.42578125" bestFit="1" customWidth="1"/>
    <col min="7" max="7" width="14.85546875" bestFit="1" customWidth="1"/>
    <col min="8" max="8" width="22.7109375" bestFit="1" customWidth="1"/>
  </cols>
  <sheetData>
    <row r="2" spans="2:8" x14ac:dyDescent="0.25">
      <c r="B2" t="s">
        <v>34</v>
      </c>
      <c r="C2">
        <v>3213</v>
      </c>
      <c r="D2" t="s">
        <v>35</v>
      </c>
    </row>
    <row r="3" spans="2:8" x14ac:dyDescent="0.25">
      <c r="C3">
        <f>C2*1000000</f>
        <v>3213000000</v>
      </c>
      <c r="D3" t="s">
        <v>40</v>
      </c>
      <c r="G3" t="s">
        <v>41</v>
      </c>
    </row>
    <row r="4" spans="2:8" x14ac:dyDescent="0.25">
      <c r="F4" t="s">
        <v>36</v>
      </c>
      <c r="G4" t="s">
        <v>39</v>
      </c>
      <c r="H4" t="s">
        <v>38</v>
      </c>
    </row>
    <row r="5" spans="2:8" x14ac:dyDescent="0.25">
      <c r="F5" t="s">
        <v>33</v>
      </c>
      <c r="G5" t="s">
        <v>37</v>
      </c>
    </row>
    <row r="6" spans="2:8" x14ac:dyDescent="0.25">
      <c r="F6">
        <v>42.4</v>
      </c>
      <c r="G6">
        <v>2.4</v>
      </c>
      <c r="H6">
        <f>(F6/G6)/($C$3)</f>
        <v>5.498495694574126E-9</v>
      </c>
    </row>
    <row r="7" spans="2:8" x14ac:dyDescent="0.25">
      <c r="F7">
        <v>59</v>
      </c>
      <c r="G7">
        <v>2.4</v>
      </c>
      <c r="H7">
        <f>(F7/G7)/($C$3)</f>
        <v>7.6512086316007897E-9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Deposition Curves</vt:lpstr>
      <vt:lpstr>Deposition Curves - Two</vt:lpstr>
      <vt:lpstr>VolumeFractionCalcs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2016-12-07T19:41:09Z</dcterms:modified>
</cp:coreProperties>
</file>