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44525"/>
</workbook>
</file>

<file path=xl/sharedStrings.xml><?xml version="1.0" encoding="utf-8"?>
<sst xmlns="http://schemas.openxmlformats.org/spreadsheetml/2006/main" count="300" uniqueCount="251">
  <si>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</si>
  <si>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</si>
  <si>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</si>
  <si>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</si>
  <si>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</si>
  <si>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</si>
  <si>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</si>
  <si>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</si>
  <si>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</si>
  <si>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52</t>
    </r>
    <r>
      <rPr>
        <b/>
        <sz val="14"/>
        <color theme="4" tint="-0.499984740745262"/>
        <rFont val="Times New Roman"/>
        <charset val="134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</si>
  <si>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</si>
  <si>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</si>
  <si>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</si>
  <si>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</si>
  <si>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</si>
  <si>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10</t>
    </r>
    <r>
      <rPr>
        <b/>
        <sz val="14"/>
        <color theme="4" tint="-0.499984740745262"/>
        <rFont val="Times New Roman"/>
        <charset val="134"/>
      </rPr>
      <t>TO</t>
    </r>
  </si>
  <si>
    <t>lê vinh</t>
  </si>
  <si>
    <t>TR</t>
  </si>
  <si>
    <t>Trần Đại Nghĩa</t>
  </si>
  <si>
    <t>Trung Bình</t>
  </si>
  <si>
    <r>
      <rPr>
        <b/>
        <sz val="14"/>
        <color rgb="FFC00000"/>
        <rFont val="Times New Roman"/>
        <charset val="134"/>
      </rPr>
      <t>SP</t>
    </r>
    <r>
      <rPr>
        <b/>
        <sz val="14"/>
        <rFont val="Times New Roman"/>
        <charset val="134"/>
      </rPr>
      <t>93</t>
    </r>
    <r>
      <rPr>
        <b/>
        <sz val="14"/>
        <color theme="4" tint="-0.499984740745262"/>
        <rFont val="Times New Roman"/>
        <charset val="134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</si>
  <si>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</si>
  <si>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</si>
  <si>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</si>
  <si>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</si>
  <si>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23</t>
    </r>
    <r>
      <rPr>
        <b/>
        <sz val="14"/>
        <color theme="4" tint="-0.499984740745262"/>
        <rFont val="Times New Roman"/>
        <charset val="134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</si>
  <si>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</si>
  <si>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</si>
  <si>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</si>
  <si>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</si>
  <si>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13</t>
    </r>
    <r>
      <rPr>
        <b/>
        <sz val="14"/>
        <color theme="4" tint="-0.499984740745262"/>
        <rFont val="Times New Roman"/>
        <charset val="134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</si>
  <si>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</si>
  <si>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</si>
  <si>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</si>
  <si>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</si>
  <si>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56</t>
    </r>
    <r>
      <rPr>
        <b/>
        <sz val="14"/>
        <color theme="4" tint="-0.499984740745262"/>
        <rFont val="Times New Roman"/>
        <charset val="134"/>
      </rPr>
      <t>SN</t>
    </r>
  </si>
  <si>
    <t>TH</t>
  </si>
  <si>
    <t>Nguyễn Thượng Hiền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</si>
  <si>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74</t>
    </r>
    <r>
      <rPr>
        <b/>
        <sz val="14"/>
        <color theme="4" tint="-0.499984740745262"/>
        <rFont val="Times New Roman"/>
        <charset val="134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</si>
  <si>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</si>
  <si>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</si>
  <si>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</si>
  <si>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</si>
  <si>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t>lê viên</t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</si>
  <si>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20</t>
    </r>
    <r>
      <rPr>
        <b/>
        <sz val="14"/>
        <color theme="4" tint="-0.499984740745262"/>
        <rFont val="Times New Roman"/>
        <charset val="134"/>
      </rPr>
      <t>TH</t>
    </r>
  </si>
  <si>
    <t>lê văn</t>
  </si>
  <si>
    <t>Bảng tra môn thi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</si>
  <si>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</si>
  <si>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</si>
  <si>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</si>
  <si>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</si>
  <si>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</si>
  <si>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</si>
  <si>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</si>
  <si>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</si>
  <si>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</si>
  <si>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31</t>
    </r>
    <r>
      <rPr>
        <b/>
        <sz val="14"/>
        <color theme="4" tint="-0.499984740745262"/>
        <rFont val="Times New Roman"/>
        <charset val="134"/>
      </rPr>
      <t>SN</t>
    </r>
  </si>
  <si>
    <t>phạm vinh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</si>
  <si>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59</t>
    </r>
    <r>
      <rPr>
        <b/>
        <sz val="14"/>
        <color theme="4" tint="-0.499984740745262"/>
        <rFont val="Times New Roman"/>
        <charset val="134"/>
      </rPr>
      <t>SN</t>
    </r>
  </si>
  <si>
    <t>trần my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</si>
  <si>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15</t>
    </r>
    <r>
      <rPr>
        <b/>
        <sz val="14"/>
        <color theme="4" tint="-0.499984740745262"/>
        <rFont val="Times New Roman"/>
        <charset val="134"/>
      </rPr>
      <t>TO</t>
    </r>
  </si>
  <si>
    <r>
      <rPr>
        <b/>
        <sz val="14"/>
        <color rgb="FFC00000"/>
        <rFont val="Times New Roman"/>
        <charset val="134"/>
      </rPr>
      <t>TH</t>
    </r>
    <r>
      <rPr>
        <b/>
        <sz val="14"/>
        <rFont val="Times New Roman"/>
        <charset val="134"/>
      </rPr>
      <t>90</t>
    </r>
    <r>
      <rPr>
        <b/>
        <sz val="14"/>
        <color theme="4" tint="-0.499984740745262"/>
        <rFont val="Times New Roman"/>
        <charset val="134"/>
      </rPr>
      <t>TO</t>
    </r>
  </si>
  <si>
    <t>lê nguyễn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</si>
  <si>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</si>
  <si>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</si>
  <si>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</si>
  <si>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NK52TH</t>
  </si>
  <si>
    <t>Trần Vinh</t>
  </si>
  <si>
    <t>3. Lập công thức điền dữ liệu cho cột Kết quả, dựa vào Điểm thi và Bảng tra Xếp loại</t>
  </si>
  <si>
    <t>NK73TO</t>
  </si>
  <si>
    <t>Lê Thuý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</si>
  <si>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</si>
  <si>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</si>
  <si>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</si>
  <si>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</si>
  <si>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</si>
  <si>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</si>
  <si>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</si>
  <si>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</si>
  <si>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</si>
  <si>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</si>
  <si>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</si>
  <si>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</si>
  <si>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</si>
  <si>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</si>
  <si>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</si>
  <si>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</si>
  <si>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</si>
  <si>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</si>
  <si>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</si>
  <si>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</si>
  <si>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</si>
  <si>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</si>
  <si>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</si>
  <si>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</si>
  <si>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</si>
  <si>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</si>
  <si>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</si>
  <si>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</si>
  <si>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</si>
  <si>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</si>
  <si>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</si>
  <si>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</si>
  <si>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</si>
  <si>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</si>
  <si>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</si>
  <si>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</si>
  <si>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</si>
  <si>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</si>
  <si>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</si>
  <si>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</si>
  <si>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</si>
  <si>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</si>
  <si>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</si>
  <si>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</si>
  <si>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</si>
  <si>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</si>
  <si>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</si>
  <si>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</si>
  <si>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</si>
  <si>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</si>
  <si>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</si>
  <si>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</si>
  <si>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</si>
  <si>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</si>
  <si>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</si>
  <si>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</si>
  <si>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</si>
  <si>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</si>
  <si>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</si>
  <si>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</si>
  <si>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</si>
  <si>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</si>
  <si>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</si>
  <si>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</si>
  <si>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</si>
  <si>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</si>
  <si>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</si>
  <si>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</si>
  <si>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</si>
  <si>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</si>
  <si>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</si>
  <si>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</si>
  <si>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rPr>
        <sz val="14"/>
        <rFont val="Times New Roman"/>
        <charset val="134"/>
      </rPr>
      <t xml:space="preserve">7.Lương nhân viên = 600 000 + Doanh số mỗi nhân viên *3%  </t>
    </r>
    <r>
      <rPr>
        <i/>
        <sz val="14"/>
        <rFont val="Times New Roman"/>
        <charset val="134"/>
      </rPr>
      <t>(làm tròn hàng ngàn)</t>
    </r>
    <r>
      <rPr>
        <sz val="14"/>
        <rFont val="Times New Roman"/>
        <charset val="134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</si>
  <si>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</si>
  <si>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</si>
  <si>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</si>
  <si>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</si>
  <si>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</si>
  <si>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</si>
  <si>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</si>
  <si>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</si>
  <si>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</si>
  <si>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</si>
  <si>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</si>
  <si>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</si>
  <si>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</si>
  <si>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</si>
  <si>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 xml:space="preserve">Họ và tên 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</si>
  <si>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</si>
  <si>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</si>
  <si>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</si>
  <si>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</si>
  <si>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</si>
  <si>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</si>
  <si>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</si>
  <si>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</si>
  <si>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</si>
  <si>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</si>
  <si>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</si>
  <si>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</si>
  <si>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</si>
  <si>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</si>
  <si>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</si>
  <si>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</si>
  <si>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</si>
  <si>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</si>
  <si>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</si>
  <si>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</si>
  <si>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</si>
  <si>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</si>
  <si>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</si>
  <si>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</si>
  <si>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</si>
  <si>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</si>
  <si>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</si>
  <si>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</si>
  <si>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</si>
  <si>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</si>
  <si>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</si>
  <si>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</si>
  <si>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</si>
  <si>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</si>
  <si>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</si>
  <si>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</si>
  <si>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</si>
  <si>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</si>
  <si>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</si>
  <si>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</si>
  <si>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</si>
  <si>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</si>
  <si>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</si>
  <si>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</si>
  <si>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</si>
  <si>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</si>
  <si>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</si>
  <si>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</si>
  <si>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</si>
  <si>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rPr>
        <sz val="16"/>
        <color theme="1"/>
        <rFont val="Times New Roman"/>
        <charset val="134"/>
      </rPr>
      <t xml:space="preserve">2. Lập công thức cho cột </t>
    </r>
    <r>
      <rPr>
        <b/>
        <sz val="16"/>
        <color theme="1"/>
        <rFont val="Times New Roman"/>
        <charset val="134"/>
      </rPr>
      <t>Result</t>
    </r>
    <r>
      <rPr>
        <sz val="16"/>
        <color theme="1"/>
        <rFont val="Times New Roman"/>
        <charset val="134"/>
      </rPr>
      <t xml:space="preserve"> dựa trên </t>
    </r>
    <r>
      <rPr>
        <b/>
        <sz val="16"/>
        <color theme="1"/>
        <rFont val="Times New Roman"/>
        <charset val="134"/>
      </rPr>
      <t>Average</t>
    </r>
    <r>
      <rPr>
        <sz val="16"/>
        <color theme="1"/>
        <rFont val="Times New Roman"/>
        <charset val="134"/>
      </rPr>
      <t xml:space="preserve"> theo tiêu chí sau: </t>
    </r>
  </si>
  <si>
    <r>
      <rPr>
        <sz val="16"/>
        <color theme="1"/>
        <rFont val="Times New Roman"/>
        <charset val="134"/>
      </rPr>
      <t xml:space="preserve">Nếu avrerage &lt;10 thì Result là </t>
    </r>
    <r>
      <rPr>
        <b/>
        <sz val="16"/>
        <color theme="1"/>
        <rFont val="Times New Roman"/>
        <charset val="134"/>
      </rPr>
      <t>Fail</t>
    </r>
  </si>
  <si>
    <r>
      <rPr>
        <sz val="16"/>
        <color theme="1"/>
        <rFont val="Times New Roman"/>
        <charset val="134"/>
      </rPr>
      <t xml:space="preserve">Nếu Average từ 10 đến dưới 12 thì Result là </t>
    </r>
    <r>
      <rPr>
        <b/>
        <sz val="16"/>
        <color theme="1"/>
        <rFont val="Times New Roman"/>
        <charset val="134"/>
      </rPr>
      <t>Pass</t>
    </r>
  </si>
  <si>
    <r>
      <rPr>
        <sz val="16"/>
        <color theme="1"/>
        <rFont val="Times New Roman"/>
        <charset val="134"/>
      </rPr>
      <t xml:space="preserve">Nếu Average từ 12 đến dưới14 thì Result là </t>
    </r>
    <r>
      <rPr>
        <b/>
        <sz val="16"/>
        <color theme="1"/>
        <rFont val="Times New Roman"/>
        <charset val="134"/>
      </rPr>
      <t>Good</t>
    </r>
  </si>
  <si>
    <r>
      <rPr>
        <sz val="16"/>
        <color theme="1"/>
        <rFont val="Times New Roman"/>
        <charset val="134"/>
      </rPr>
      <t xml:space="preserve">Nếu Average từ 14 đến dưới16 thì Result là </t>
    </r>
    <r>
      <rPr>
        <b/>
        <sz val="16"/>
        <color theme="1"/>
        <rFont val="Times New Roman"/>
        <charset val="134"/>
      </rPr>
      <t>Very Good</t>
    </r>
  </si>
  <si>
    <r>
      <rPr>
        <sz val="16"/>
        <color theme="1"/>
        <rFont val="Times New Roman"/>
        <charset val="134"/>
      </rPr>
      <t xml:space="preserve">Ngược lại, nếu average &gt;=16 thì Result là </t>
    </r>
    <r>
      <rPr>
        <b/>
        <sz val="16"/>
        <color theme="1"/>
        <rFont val="Times New Roman"/>
        <charset val="134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</si>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</sst>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000\-00\-0000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_(* #.##0.00_);_(* \(#.##0.00\);_(* &quot;-&quot;??_);_(@_)"/>
    <numFmt numFmtId="180" formatCode="&quot;$&quot;#,##0.00;\-&quot;$&quot;#,##0.00"/>
    <numFmt numFmtId="181" formatCode="_(* #,##0_);_(* \(#,##0\);_(* &quot;-&quot;??_);_(@_)"/>
  </numFmts>
  <fonts count="58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Arial"/>
      <charset val="134"/>
    </font>
    <font>
      <sz val="16"/>
      <color theme="1"/>
      <name val="Times New Roman"/>
      <charset val="134"/>
    </font>
    <font>
      <sz val="16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u/>
      <sz val="16"/>
      <color theme="1"/>
      <name val="Times New Roman"/>
      <charset val="134"/>
    </font>
    <font>
      <b/>
      <sz val="16"/>
      <color rgb="FF2C2B2B"/>
      <name val="Times New Roman"/>
      <charset val="134"/>
    </font>
    <font>
      <sz val="16"/>
      <color theme="1"/>
      <name val="Arial"/>
      <charset val="134"/>
    </font>
    <font>
      <b/>
      <sz val="20"/>
      <color theme="1"/>
      <name val="Times New Roman"/>
      <charset val="134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b/>
      <u/>
      <sz val="16"/>
      <color theme="1"/>
      <name val="Calibri"/>
      <charset val="134"/>
      <scheme val="minor"/>
    </font>
    <font>
      <sz val="13"/>
      <name val="Times New Roman"/>
      <charset val="134"/>
    </font>
    <font>
      <sz val="14"/>
      <name val="Times New Roman"/>
      <charset val="134"/>
    </font>
    <font>
      <sz val="10"/>
      <name val="Calibri"/>
      <charset val="134"/>
      <scheme val="minor"/>
    </font>
    <font>
      <b/>
      <sz val="16"/>
      <name val="Times New Roman"/>
      <charset val="134"/>
    </font>
    <font>
      <b/>
      <sz val="13"/>
      <name val="Times New Roman"/>
      <charset val="134"/>
    </font>
    <font>
      <i/>
      <u/>
      <sz val="13"/>
      <name val="Times New Roman"/>
      <charset val="134"/>
    </font>
    <font>
      <u/>
      <sz val="14"/>
      <name val="Times New Roman"/>
      <charset val="134"/>
    </font>
    <font>
      <b/>
      <sz val="13"/>
      <name val="Arial"/>
      <charset val="134"/>
    </font>
    <font>
      <i/>
      <sz val="13"/>
      <name val="Times New Roman"/>
      <charset val="134"/>
    </font>
    <font>
      <b/>
      <sz val="14"/>
      <name val="Times New Roman"/>
      <charset val="134"/>
    </font>
    <font>
      <i/>
      <sz val="14"/>
      <name val="Times New Roman"/>
      <charset val="134"/>
    </font>
    <font>
      <b/>
      <sz val="12"/>
      <color theme="1"/>
      <name val="Tahoma"/>
      <charset val="134"/>
    </font>
    <font>
      <i/>
      <sz val="11"/>
      <color theme="1"/>
      <name val="Calibri"/>
      <charset val="134"/>
      <scheme val="minor"/>
    </font>
    <font>
      <b/>
      <i/>
      <sz val="14"/>
      <color rgb="FFFF0000"/>
      <name val="Times New Roman"/>
      <charset val="134"/>
    </font>
    <font>
      <b/>
      <sz val="11"/>
      <color theme="1" tint="0.1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theme="1"/>
      <name val="Tahoma"/>
      <charset val="134"/>
    </font>
    <font>
      <sz val="10"/>
      <name val="Arial"/>
      <charset val="134"/>
    </font>
    <font>
      <b/>
      <sz val="16"/>
      <color theme="1"/>
      <name val="Times New Roman"/>
      <charset val="134"/>
    </font>
    <font>
      <b/>
      <sz val="14"/>
      <color rgb="FFC00000"/>
      <name val="Times New Roman"/>
      <charset val="134"/>
    </font>
    <font>
      <b/>
      <sz val="14"/>
      <color theme="4" tint="-0.499984740745262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theme="4" tint="0.79998168889431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9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5" borderId="38" applyNumberFormat="0" applyAlignment="0" applyProtection="0">
      <alignment vertical="center"/>
    </xf>
    <xf numFmtId="0" fontId="8" fillId="0" borderId="17" applyNumberFormat="0" applyFill="0" applyAlignment="0" applyProtection="0"/>
    <xf numFmtId="0" fontId="0" fillId="16" borderId="37" applyNumberFormat="0" applyFont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/>
    <xf numFmtId="0" fontId="46" fillId="0" borderId="3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27" borderId="40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41" applyNumberFormat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51" fillId="30" borderId="40" applyNumberFormat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0" borderId="0"/>
    <xf numFmtId="0" fontId="39" fillId="3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20" fillId="0" borderId="0"/>
    <xf numFmtId="0" fontId="39" fillId="34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179" fontId="54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32" applyFont="1"/>
    <xf numFmtId="0" fontId="2" fillId="0" borderId="1" xfId="32" applyFont="1" applyBorder="1" applyAlignment="1">
      <alignment horizontal="center"/>
    </xf>
    <xf numFmtId="0" fontId="3" fillId="2" borderId="2" xfId="32" applyFont="1" applyFill="1" applyBorder="1" applyAlignment="1">
      <alignment horizontal="center" vertical="center" wrapText="1"/>
    </xf>
    <xf numFmtId="0" fontId="3" fillId="2" borderId="3" xfId="32" applyFont="1" applyFill="1" applyBorder="1" applyAlignment="1">
      <alignment horizontal="center" vertical="center" wrapText="1"/>
    </xf>
    <xf numFmtId="0" fontId="1" fillId="0" borderId="4" xfId="32" applyFont="1" applyBorder="1"/>
    <xf numFmtId="176" fontId="1" fillId="0" borderId="5" xfId="32" applyNumberFormat="1" applyFont="1" applyBorder="1"/>
    <xf numFmtId="0" fontId="1" fillId="0" borderId="5" xfId="32" applyFont="1" applyBorder="1"/>
    <xf numFmtId="0" fontId="1" fillId="0" borderId="6" xfId="32" applyFont="1" applyBorder="1"/>
    <xf numFmtId="176" fontId="1" fillId="0" borderId="7" xfId="32" applyNumberFormat="1" applyFont="1" applyBorder="1"/>
    <xf numFmtId="0" fontId="1" fillId="0" borderId="7" xfId="32" applyFont="1" applyBorder="1"/>
    <xf numFmtId="0" fontId="1" fillId="0" borderId="2" xfId="32" applyFont="1" applyBorder="1"/>
    <xf numFmtId="9" fontId="3" fillId="0" borderId="3" xfId="32" applyNumberFormat="1" applyFont="1" applyBorder="1"/>
    <xf numFmtId="9" fontId="3" fillId="0" borderId="8" xfId="32" applyNumberFormat="1" applyFont="1" applyBorder="1"/>
    <xf numFmtId="0" fontId="3" fillId="0" borderId="9" xfId="32" applyFont="1" applyBorder="1" applyAlignment="1">
      <alignment horizontal="center" wrapText="1"/>
    </xf>
    <xf numFmtId="0" fontId="4" fillId="2" borderId="10" xfId="32" applyFont="1" applyFill="1" applyBorder="1" applyAlignment="1">
      <alignment horizontal="center"/>
    </xf>
    <xf numFmtId="0" fontId="4" fillId="2" borderId="11" xfId="32" applyFont="1" applyFill="1" applyBorder="1" applyAlignment="1">
      <alignment horizontal="center"/>
    </xf>
    <xf numFmtId="0" fontId="1" fillId="0" borderId="12" xfId="32" applyFont="1" applyBorder="1"/>
    <xf numFmtId="0" fontId="3" fillId="0" borderId="13" xfId="32" applyFont="1" applyBorder="1" applyAlignment="1">
      <alignment horizontal="center"/>
    </xf>
    <xf numFmtId="0" fontId="3" fillId="0" borderId="5" xfId="32" applyFont="1" applyBorder="1" applyAlignment="1">
      <alignment horizontal="center"/>
    </xf>
    <xf numFmtId="0" fontId="3" fillId="0" borderId="14" xfId="32" applyFont="1" applyBorder="1"/>
    <xf numFmtId="0" fontId="1" fillId="0" borderId="15" xfId="32" applyFont="1" applyBorder="1"/>
    <xf numFmtId="0" fontId="3" fillId="2" borderId="8" xfId="32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6" xfId="18" applyFont="1" applyAlignment="1">
      <alignment horizontal="center"/>
    </xf>
    <xf numFmtId="0" fontId="8" fillId="0" borderId="17" xfId="11" applyAlignment="1">
      <alignment horizontal="center"/>
    </xf>
    <xf numFmtId="0" fontId="9" fillId="0" borderId="5" xfId="0" applyFont="1" applyBorder="1"/>
    <xf numFmtId="180" fontId="9" fillId="0" borderId="5" xfId="0" applyNumberFormat="1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18" xfId="0" applyFont="1" applyBorder="1" applyAlignment="1">
      <alignment horizontal="center"/>
    </xf>
    <xf numFmtId="0" fontId="15" fillId="3" borderId="5" xfId="0" applyFont="1" applyFill="1" applyBorder="1" applyAlignment="1">
      <alignment horizontal="center" vertical="center" wrapText="1"/>
    </xf>
    <xf numFmtId="0" fontId="16" fillId="0" borderId="5" xfId="0" applyFont="1" applyBorder="1"/>
    <xf numFmtId="58" fontId="16" fillId="0" borderId="5" xfId="0" applyNumberFormat="1" applyFont="1" applyBorder="1"/>
    <xf numFmtId="0" fontId="16" fillId="4" borderId="5" xfId="0" applyFont="1" applyFill="1" applyBorder="1"/>
    <xf numFmtId="0" fontId="16" fillId="5" borderId="5" xfId="0" applyFont="1" applyFill="1" applyBorder="1"/>
    <xf numFmtId="0" fontId="16" fillId="0" borderId="5" xfId="0" applyNumberFormat="1" applyFont="1" applyBorder="1"/>
    <xf numFmtId="0" fontId="15" fillId="0" borderId="5" xfId="0" applyFont="1" applyBorder="1" applyAlignment="1">
      <alignment horizontal="center" vertical="center"/>
    </xf>
    <xf numFmtId="44" fontId="15" fillId="0" borderId="5" xfId="0" applyNumberFormat="1" applyFont="1" applyBorder="1" applyAlignment="1">
      <alignment horizontal="center" vertical="center"/>
    </xf>
    <xf numFmtId="0" fontId="17" fillId="0" borderId="0" xfId="0" applyFont="1"/>
    <xf numFmtId="58" fontId="13" fillId="0" borderId="0" xfId="0" applyNumberFormat="1" applyFont="1"/>
    <xf numFmtId="0" fontId="0" fillId="6" borderId="0" xfId="0" applyFill="1"/>
    <xf numFmtId="0" fontId="18" fillId="0" borderId="0" xfId="37" applyFont="1"/>
    <xf numFmtId="0" fontId="18" fillId="0" borderId="0" xfId="37" applyFont="1" applyAlignment="1">
      <alignment horizontal="center" vertical="center"/>
    </xf>
    <xf numFmtId="0" fontId="19" fillId="0" borderId="0" xfId="37" applyFont="1"/>
    <xf numFmtId="0" fontId="20" fillId="0" borderId="0" xfId="37"/>
    <xf numFmtId="0" fontId="21" fillId="0" borderId="18" xfId="37" applyFont="1" applyBorder="1" applyAlignment="1">
      <alignment horizontal="center"/>
    </xf>
    <xf numFmtId="0" fontId="22" fillId="7" borderId="2" xfId="37" applyFont="1" applyFill="1" applyBorder="1" applyAlignment="1">
      <alignment horizontal="center" vertical="center" wrapText="1"/>
    </xf>
    <xf numFmtId="0" fontId="18" fillId="0" borderId="5" xfId="37" applyFont="1" applyBorder="1" applyAlignment="1">
      <alignment horizontal="center"/>
    </xf>
    <xf numFmtId="0" fontId="18" fillId="0" borderId="5" xfId="37" applyFont="1" applyBorder="1"/>
    <xf numFmtId="181" fontId="18" fillId="0" borderId="5" xfId="37" applyNumberFormat="1" applyFont="1" applyBorder="1"/>
    <xf numFmtId="0" fontId="23" fillId="0" borderId="0" xfId="37" applyFont="1"/>
    <xf numFmtId="0" fontId="24" fillId="0" borderId="0" xfId="37" applyFont="1"/>
    <xf numFmtId="0" fontId="20" fillId="0" borderId="0" xfId="37" applyAlignment="1">
      <alignment horizontal="left"/>
    </xf>
    <xf numFmtId="0" fontId="22" fillId="0" borderId="19" xfId="37" applyFont="1" applyBorder="1"/>
    <xf numFmtId="181" fontId="22" fillId="0" borderId="20" xfId="51" applyNumberFormat="1" applyFont="1" applyFill="1" applyBorder="1"/>
    <xf numFmtId="0" fontId="22" fillId="7" borderId="3" xfId="37" applyFont="1" applyFill="1" applyBorder="1" applyAlignment="1">
      <alignment horizontal="center" vertical="center" wrapText="1"/>
    </xf>
    <xf numFmtId="0" fontId="22" fillId="7" borderId="21" xfId="37" applyFont="1" applyFill="1" applyBorder="1" applyAlignment="1">
      <alignment horizontal="center" vertical="center"/>
    </xf>
    <xf numFmtId="0" fontId="22" fillId="7" borderId="8" xfId="37" applyFont="1" applyFill="1" applyBorder="1" applyAlignment="1">
      <alignment horizontal="center" vertical="center" wrapText="1"/>
    </xf>
    <xf numFmtId="0" fontId="18" fillId="0" borderId="4" xfId="37" applyFont="1" applyBorder="1"/>
    <xf numFmtId="181" fontId="18" fillId="0" borderId="5" xfId="51" applyNumberFormat="1" applyFont="1" applyFill="1" applyBorder="1"/>
    <xf numFmtId="181" fontId="18" fillId="0" borderId="11" xfId="51" applyNumberFormat="1" applyFont="1" applyFill="1" applyBorder="1"/>
    <xf numFmtId="181" fontId="18" fillId="0" borderId="12" xfId="37" applyNumberFormat="1" applyFont="1" applyBorder="1"/>
    <xf numFmtId="0" fontId="18" fillId="0" borderId="6" xfId="37" applyFont="1" applyBorder="1"/>
    <xf numFmtId="181" fontId="18" fillId="0" borderId="7" xfId="51" applyNumberFormat="1" applyFont="1" applyFill="1" applyBorder="1"/>
    <xf numFmtId="0" fontId="22" fillId="7" borderId="2" xfId="37" applyFont="1" applyFill="1" applyBorder="1" applyAlignment="1">
      <alignment horizontal="center"/>
    </xf>
    <xf numFmtId="0" fontId="22" fillId="7" borderId="3" xfId="37" applyFont="1" applyFill="1" applyBorder="1" applyAlignment="1">
      <alignment horizontal="center"/>
    </xf>
    <xf numFmtId="0" fontId="22" fillId="7" borderId="8" xfId="37" applyFont="1" applyFill="1" applyBorder="1" applyAlignment="1">
      <alignment horizontal="center"/>
    </xf>
    <xf numFmtId="0" fontId="22" fillId="7" borderId="22" xfId="37" applyFont="1" applyFill="1" applyBorder="1" applyAlignment="1">
      <alignment horizontal="center"/>
    </xf>
    <xf numFmtId="0" fontId="22" fillId="7" borderId="23" xfId="37" applyFont="1" applyFill="1" applyBorder="1" applyAlignment="1">
      <alignment horizontal="center"/>
    </xf>
    <xf numFmtId="0" fontId="22" fillId="7" borderId="24" xfId="37" applyFont="1" applyFill="1" applyBorder="1" applyAlignment="1">
      <alignment horizontal="center"/>
    </xf>
    <xf numFmtId="0" fontId="22" fillId="7" borderId="4" xfId="37" applyFont="1" applyFill="1" applyBorder="1" applyAlignment="1">
      <alignment horizontal="center"/>
    </xf>
    <xf numFmtId="0" fontId="22" fillId="7" borderId="5" xfId="37" applyFont="1" applyFill="1" applyBorder="1" applyAlignment="1">
      <alignment horizontal="center"/>
    </xf>
    <xf numFmtId="0" fontId="22" fillId="7" borderId="12" xfId="37" applyFont="1" applyFill="1" applyBorder="1" applyAlignment="1">
      <alignment horizontal="center"/>
    </xf>
    <xf numFmtId="0" fontId="18" fillId="0" borderId="12" xfId="37" applyFont="1" applyBorder="1"/>
    <xf numFmtId="0" fontId="18" fillId="0" borderId="6" xfId="37" applyFont="1" applyBorder="1" applyAlignment="1">
      <alignment horizontal="center" shrinkToFit="1"/>
    </xf>
    <xf numFmtId="0" fontId="18" fillId="0" borderId="7" xfId="37" applyFont="1" applyBorder="1" applyAlignment="1">
      <alignment horizontal="center" shrinkToFit="1"/>
    </xf>
    <xf numFmtId="0" fontId="18" fillId="0" borderId="15" xfId="37" applyFont="1" applyBorder="1" applyAlignment="1">
      <alignment horizontal="center" shrinkToFit="1"/>
    </xf>
    <xf numFmtId="181" fontId="18" fillId="0" borderId="0" xfId="51" applyNumberFormat="1" applyFont="1" applyFill="1" applyBorder="1"/>
    <xf numFmtId="0" fontId="18" fillId="0" borderId="7" xfId="37" applyFont="1" applyBorder="1"/>
    <xf numFmtId="0" fontId="18" fillId="0" borderId="15" xfId="37" applyFont="1" applyBorder="1"/>
    <xf numFmtId="0" fontId="25" fillId="0" borderId="25" xfId="37" applyFont="1" applyBorder="1"/>
    <xf numFmtId="0" fontId="26" fillId="0" borderId="26" xfId="37" applyFont="1" applyBorder="1"/>
    <xf numFmtId="0" fontId="18" fillId="0" borderId="27" xfId="37" applyFont="1" applyBorder="1"/>
    <xf numFmtId="0" fontId="26" fillId="0" borderId="27" xfId="37" applyFont="1" applyBorder="1"/>
    <xf numFmtId="0" fontId="18" fillId="0" borderId="26" xfId="37" applyFont="1" applyBorder="1"/>
    <xf numFmtId="0" fontId="18" fillId="0" borderId="2" xfId="37" applyFont="1" applyBorder="1"/>
    <xf numFmtId="0" fontId="22" fillId="2" borderId="3" xfId="37" applyFont="1" applyFill="1" applyBorder="1" applyAlignment="1">
      <alignment horizontal="center" shrinkToFit="1"/>
    </xf>
    <xf numFmtId="0" fontId="22" fillId="2" borderId="8" xfId="37" applyFont="1" applyFill="1" applyBorder="1" applyAlignment="1">
      <alignment horizontal="center" shrinkToFit="1"/>
    </xf>
    <xf numFmtId="0" fontId="18" fillId="2" borderId="4" xfId="37" applyFont="1" applyFill="1" applyBorder="1"/>
    <xf numFmtId="0" fontId="18" fillId="2" borderId="6" xfId="37" applyFont="1" applyFill="1" applyBorder="1"/>
    <xf numFmtId="0" fontId="19" fillId="0" borderId="0" xfId="37" applyFont="1" applyAlignment="1">
      <alignment horizontal="center" shrinkToFit="1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8" fillId="0" borderId="5" xfId="0" applyFont="1" applyBorder="1"/>
    <xf numFmtId="0" fontId="27" fillId="8" borderId="19" xfId="0" applyFont="1" applyFill="1" applyBorder="1" applyAlignment="1">
      <alignment horizontal="center" vertical="center"/>
    </xf>
    <xf numFmtId="0" fontId="27" fillId="8" borderId="19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 wrapText="1"/>
    </xf>
    <xf numFmtId="0" fontId="27" fillId="8" borderId="28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/>
    </xf>
    <xf numFmtId="0" fontId="27" fillId="10" borderId="19" xfId="0" applyFont="1" applyFill="1" applyBorder="1" applyAlignment="1">
      <alignment horizontal="center"/>
    </xf>
    <xf numFmtId="0" fontId="19" fillId="10" borderId="19" xfId="0" applyFont="1" applyFill="1" applyBorder="1"/>
    <xf numFmtId="58" fontId="19" fillId="10" borderId="19" xfId="0" applyNumberFormat="1" applyFont="1" applyFill="1" applyBorder="1"/>
    <xf numFmtId="0" fontId="30" fillId="0" borderId="5" xfId="0" applyFont="1" applyBorder="1"/>
    <xf numFmtId="0" fontId="19" fillId="10" borderId="28" xfId="0" applyFont="1" applyFill="1" applyBorder="1"/>
    <xf numFmtId="0" fontId="19" fillId="10" borderId="29" xfId="0" applyFont="1" applyFill="1" applyBorder="1"/>
    <xf numFmtId="0" fontId="27" fillId="11" borderId="30" xfId="0" applyFont="1" applyFill="1" applyBorder="1" applyAlignment="1">
      <alignment horizontal="center" vertical="center" wrapText="1"/>
    </xf>
    <xf numFmtId="0" fontId="27" fillId="12" borderId="19" xfId="0" applyFont="1" applyFill="1" applyBorder="1" applyAlignment="1">
      <alignment horizontal="center"/>
    </xf>
    <xf numFmtId="0" fontId="19" fillId="12" borderId="19" xfId="0" applyFont="1" applyFill="1" applyBorder="1"/>
    <xf numFmtId="0" fontId="19" fillId="12" borderId="28" xfId="0" applyFont="1" applyFill="1" applyBorder="1"/>
    <xf numFmtId="58" fontId="27" fillId="0" borderId="4" xfId="0" applyNumberFormat="1" applyFont="1" applyBorder="1" applyAlignment="1">
      <alignment horizontal="center"/>
    </xf>
    <xf numFmtId="49" fontId="27" fillId="0" borderId="4" xfId="0" applyNumberFormat="1" applyFont="1" applyBorder="1" applyAlignment="1">
      <alignment horizontal="center"/>
    </xf>
    <xf numFmtId="49" fontId="27" fillId="0" borderId="6" xfId="0" applyNumberFormat="1" applyFont="1" applyBorder="1" applyAlignment="1">
      <alignment horizontal="center"/>
    </xf>
    <xf numFmtId="0" fontId="29" fillId="9" borderId="31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0" fontId="31" fillId="13" borderId="28" xfId="0" applyFont="1" applyFill="1" applyBorder="1" applyAlignment="1">
      <alignment vertical="center"/>
    </xf>
    <xf numFmtId="0" fontId="27" fillId="2" borderId="6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vertical="center"/>
    </xf>
    <xf numFmtId="0" fontId="32" fillId="12" borderId="0" xfId="0" applyFont="1" applyFill="1" applyBorder="1"/>
    <xf numFmtId="0" fontId="33" fillId="12" borderId="0" xfId="0" applyFont="1" applyFill="1" applyBorder="1"/>
    <xf numFmtId="0" fontId="27" fillId="10" borderId="10" xfId="0" applyFont="1" applyFill="1" applyBorder="1" applyAlignment="1">
      <alignment horizontal="center"/>
    </xf>
    <xf numFmtId="0" fontId="19" fillId="10" borderId="10" xfId="0" applyFont="1" applyFill="1" applyBorder="1"/>
    <xf numFmtId="0" fontId="19" fillId="10" borderId="32" xfId="0" applyFont="1" applyFill="1" applyBorder="1"/>
    <xf numFmtId="0" fontId="0" fillId="12" borderId="0" xfId="0" applyFont="1" applyFill="1" applyBorder="1"/>
    <xf numFmtId="0" fontId="24" fillId="0" borderId="0" xfId="0" applyFont="1"/>
    <xf numFmtId="0" fontId="34" fillId="0" borderId="0" xfId="0" applyFont="1"/>
    <xf numFmtId="0" fontId="29" fillId="9" borderId="8" xfId="0" applyFont="1" applyFill="1" applyBorder="1" applyAlignment="1">
      <alignment horizontal="center"/>
    </xf>
    <xf numFmtId="0" fontId="27" fillId="11" borderId="3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14" borderId="2" xfId="0" applyFont="1" applyFill="1" applyBorder="1" applyAlignment="1">
      <alignment horizontal="center"/>
    </xf>
    <xf numFmtId="0" fontId="27" fillId="14" borderId="8" xfId="0" applyFont="1" applyFill="1" applyBorder="1" applyAlignment="1">
      <alignment horizontal="center"/>
    </xf>
    <xf numFmtId="0" fontId="19" fillId="0" borderId="12" xfId="0" applyFont="1" applyBorder="1"/>
    <xf numFmtId="0" fontId="27" fillId="0" borderId="4" xfId="0" applyFont="1" applyBorder="1"/>
    <xf numFmtId="0" fontId="27" fillId="0" borderId="6" xfId="0" applyFont="1" applyBorder="1"/>
    <xf numFmtId="0" fontId="19" fillId="0" borderId="15" xfId="0" applyFont="1" applyBorder="1"/>
    <xf numFmtId="0" fontId="29" fillId="9" borderId="34" xfId="0" applyFont="1" applyFill="1" applyBorder="1" applyAlignment="1">
      <alignment horizontal="center"/>
    </xf>
    <xf numFmtId="0" fontId="29" fillId="9" borderId="35" xfId="0" applyFont="1" applyFill="1" applyBorder="1" applyAlignment="1">
      <alignment horizontal="center"/>
    </xf>
    <xf numFmtId="0" fontId="27" fillId="15" borderId="5" xfId="0" applyFont="1" applyFill="1" applyBorder="1" applyAlignment="1">
      <alignment horizontal="center"/>
    </xf>
    <xf numFmtId="0" fontId="27" fillId="15" borderId="12" xfId="0" applyFont="1" applyFill="1" applyBorder="1" applyAlignment="1">
      <alignment horizontal="center"/>
    </xf>
    <xf numFmtId="0" fontId="19" fillId="0" borderId="7" xfId="0" applyFont="1" applyBorder="1"/>
    <xf numFmtId="0" fontId="35" fillId="12" borderId="0" xfId="0" applyFont="1" applyFill="1" applyBorder="1"/>
    <xf numFmtId="0" fontId="0" fillId="12" borderId="0" xfId="0" applyFill="1" applyBorder="1"/>
    <xf numFmtId="0" fontId="27" fillId="8" borderId="5" xfId="0" applyFont="1" applyFill="1" applyBorder="1" applyAlignment="1">
      <alignment horizontal="center" vertical="center" wrapText="1"/>
    </xf>
    <xf numFmtId="58" fontId="19" fillId="10" borderId="5" xfId="0" applyNumberFormat="1" applyFont="1" applyFill="1" applyBorder="1"/>
    <xf numFmtId="2" fontId="19" fillId="10" borderId="5" xfId="0" applyNumberFormat="1" applyFont="1" applyFill="1" applyBorder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zoomScale="85" zoomScaleNormal="85" topLeftCell="B1" workbookViewId="0">
      <selection activeCell="N11" sqref="N11"/>
    </sheetView>
  </sheetViews>
  <sheetFormatPr defaultColWidth="9" defaultRowHeight="14.4"/>
  <cols>
    <col min="1" max="1" width="14" customWidth="1"/>
    <col min="2" max="2" width="18.287037037037" customWidth="1"/>
    <col min="3" max="3" width="24.2222222222222" customWidth="1"/>
    <col min="4" max="4" width="14" customWidth="1"/>
    <col min="5" max="5" width="12.5740740740741" customWidth="1"/>
    <col min="6" max="6" width="11.4259259259259" customWidth="1"/>
    <col min="8" max="8" width="16.287037037037" customWidth="1"/>
    <col min="9" max="9" width="24.4259259259259" customWidth="1"/>
    <col min="10" max="10" width="10.712962962963" customWidth="1"/>
    <col min="11" max="11" width="12.8518518518519" customWidth="1"/>
    <col min="12" max="12" width="15.8518518518519" customWidth="1"/>
  </cols>
  <sheetData>
    <row r="1" ht="18" spans="1:10">
      <c r="A1" s="96" t="s">
        <v>0</v>
      </c>
      <c r="B1" s="96"/>
      <c r="C1" s="96"/>
      <c r="D1" s="96"/>
      <c r="E1" s="96"/>
      <c r="F1" s="96"/>
      <c r="G1" s="97"/>
      <c r="H1" s="98"/>
      <c r="I1" s="98"/>
      <c r="J1" s="97"/>
    </row>
    <row r="2" ht="18.75" spans="1:10">
      <c r="A2" s="98"/>
      <c r="B2" s="98"/>
      <c r="C2" s="98"/>
      <c r="D2" s="99"/>
      <c r="E2" s="98"/>
      <c r="F2" s="98"/>
      <c r="G2" s="97"/>
      <c r="J2" s="98"/>
    </row>
    <row r="3" ht="18.75" spans="1:12">
      <c r="A3" s="100" t="s">
        <v>1</v>
      </c>
      <c r="B3" s="100" t="s">
        <v>2</v>
      </c>
      <c r="C3" s="101" t="s">
        <v>3</v>
      </c>
      <c r="D3" s="102" t="s">
        <v>4</v>
      </c>
      <c r="E3" s="103" t="s">
        <v>5</v>
      </c>
      <c r="F3" s="104" t="s">
        <v>6</v>
      </c>
      <c r="G3" s="98"/>
      <c r="H3" s="105" t="s">
        <v>7</v>
      </c>
      <c r="I3" s="132"/>
      <c r="K3" s="105" t="s">
        <v>8</v>
      </c>
      <c r="L3" s="132"/>
    </row>
    <row r="4" ht="18" spans="1:12">
      <c r="A4" s="106" t="s">
        <v>9</v>
      </c>
      <c r="B4" s="107" t="s">
        <v>10</v>
      </c>
      <c r="C4" s="108" t="str">
        <f>VLOOKUP(A4,$H$5:$I$10,2,TRUE)</f>
        <v>Năng Khiếu</v>
      </c>
      <c r="D4" s="109" t="str">
        <f>HLOOKUP(RIGHT(A4,2),$H$13:$K$14,2,0)</f>
        <v>Tin Học</v>
      </c>
      <c r="E4" s="110">
        <v>8.09</v>
      </c>
      <c r="F4" s="111" t="str">
        <f>IF(E4&gt;=9.5,"xuất sắc",IF(AND(E4&gt;=8,E4&lt;9.5),"giỏi",IF(AND(E4&gt;=6.5,E4&lt;8),"khá","Trung bình")))</f>
        <v>giỏi</v>
      </c>
      <c r="G4" s="98"/>
      <c r="H4" s="112" t="s">
        <v>11</v>
      </c>
      <c r="I4" s="133" t="s">
        <v>12</v>
      </c>
      <c r="J4" s="134"/>
      <c r="K4" s="135" t="s">
        <v>13</v>
      </c>
      <c r="L4" s="136" t="s">
        <v>14</v>
      </c>
    </row>
    <row r="5" ht="18" spans="1:12">
      <c r="A5" s="113" t="s">
        <v>15</v>
      </c>
      <c r="B5" s="114" t="s">
        <v>16</v>
      </c>
      <c r="C5" s="108" t="str">
        <f t="shared" ref="C5:C18" si="0">VLOOKUP(A5,$H$5:$I$10,2,TRUE)</f>
        <v>Năng Khiếu</v>
      </c>
      <c r="D5" s="109" t="str">
        <f t="shared" ref="D5:D18" si="1">HLOOKUP(RIGHT(A5,2),$H$13:$K$14,2,0)</f>
        <v>Toán</v>
      </c>
      <c r="E5" s="115">
        <v>6.1</v>
      </c>
      <c r="F5" s="111" t="str">
        <f t="shared" ref="F5:F18" si="2">IF(E5&gt;=9.5,"xuất sắc",IF(AND(E5&gt;=8,E5&lt;9.5),"giỏi",IF(AND(E5&gt;=6.5,E5&lt;8),"khá","Trung bình")))</f>
        <v>Trung bình</v>
      </c>
      <c r="G5" s="98"/>
      <c r="H5" s="116" t="s">
        <v>17</v>
      </c>
      <c r="I5" s="137" t="s">
        <v>18</v>
      </c>
      <c r="J5" s="98"/>
      <c r="K5" s="138">
        <v>5</v>
      </c>
      <c r="L5" s="137" t="s">
        <v>19</v>
      </c>
    </row>
    <row r="6" ht="18" spans="1:12">
      <c r="A6" s="106" t="s">
        <v>20</v>
      </c>
      <c r="B6" s="107" t="s">
        <v>21</v>
      </c>
      <c r="C6" s="108" t="str">
        <f t="shared" si="0"/>
        <v>Năng Khiếu</v>
      </c>
      <c r="D6" s="109" t="str">
        <f t="shared" si="1"/>
        <v>Sinh ngữ</v>
      </c>
      <c r="E6" s="110">
        <v>6.87</v>
      </c>
      <c r="F6" s="111" t="str">
        <f t="shared" si="2"/>
        <v>khá</v>
      </c>
      <c r="G6" s="98"/>
      <c r="H6" s="117" t="s">
        <v>22</v>
      </c>
      <c r="I6" s="137" t="s">
        <v>23</v>
      </c>
      <c r="J6" s="98"/>
      <c r="K6" s="138">
        <v>6.5</v>
      </c>
      <c r="L6" s="137" t="s">
        <v>24</v>
      </c>
    </row>
    <row r="7" ht="18" spans="1:12">
      <c r="A7" s="113" t="s">
        <v>25</v>
      </c>
      <c r="B7" s="114" t="s">
        <v>26</v>
      </c>
      <c r="C7" s="108" t="str">
        <f t="shared" si="0"/>
        <v>Sư Phạm</v>
      </c>
      <c r="D7" s="109" t="str">
        <f t="shared" si="1"/>
        <v>Sinh ngữ</v>
      </c>
      <c r="E7" s="115">
        <v>7.04</v>
      </c>
      <c r="F7" s="111" t="str">
        <f t="shared" si="2"/>
        <v>khá</v>
      </c>
      <c r="G7" s="98"/>
      <c r="H7" s="117" t="s">
        <v>27</v>
      </c>
      <c r="I7" s="137" t="s">
        <v>28</v>
      </c>
      <c r="J7" s="98"/>
      <c r="K7" s="138">
        <v>8</v>
      </c>
      <c r="L7" s="137" t="s">
        <v>29</v>
      </c>
    </row>
    <row r="8" ht="18.75" spans="1:12">
      <c r="A8" s="106" t="s">
        <v>30</v>
      </c>
      <c r="B8" s="107" t="s">
        <v>31</v>
      </c>
      <c r="C8" s="108" t="str">
        <f t="shared" si="0"/>
        <v>Gia Định</v>
      </c>
      <c r="D8" s="109" t="str">
        <f t="shared" si="1"/>
        <v>Tin Học</v>
      </c>
      <c r="E8" s="110">
        <v>7.52</v>
      </c>
      <c r="F8" s="111" t="str">
        <f t="shared" si="2"/>
        <v>khá</v>
      </c>
      <c r="G8" s="98"/>
      <c r="H8" s="117" t="s">
        <v>32</v>
      </c>
      <c r="I8" s="137" t="s">
        <v>33</v>
      </c>
      <c r="J8" s="98"/>
      <c r="K8" s="139">
        <v>9.5</v>
      </c>
      <c r="L8" s="140" t="s">
        <v>34</v>
      </c>
    </row>
    <row r="9" ht="18" spans="1:10">
      <c r="A9" s="113" t="s">
        <v>35</v>
      </c>
      <c r="B9" s="114" t="s">
        <v>26</v>
      </c>
      <c r="C9" s="108" t="str">
        <f t="shared" si="0"/>
        <v>Gia Định</v>
      </c>
      <c r="D9" s="109" t="str">
        <f t="shared" si="1"/>
        <v>Sinh ngữ</v>
      </c>
      <c r="E9" s="115">
        <v>7.11</v>
      </c>
      <c r="F9" s="111" t="str">
        <f t="shared" si="2"/>
        <v>khá</v>
      </c>
      <c r="G9" s="98"/>
      <c r="H9" s="117" t="s">
        <v>36</v>
      </c>
      <c r="I9" s="137" t="s">
        <v>37</v>
      </c>
      <c r="J9" s="98"/>
    </row>
    <row r="10" ht="18.75" spans="1:10">
      <c r="A10" s="106" t="s">
        <v>38</v>
      </c>
      <c r="B10" s="107" t="s">
        <v>39</v>
      </c>
      <c r="C10" s="108" t="str">
        <f t="shared" si="0"/>
        <v>Gia Định</v>
      </c>
      <c r="D10" s="109" t="str">
        <f t="shared" si="1"/>
        <v>Tin Học</v>
      </c>
      <c r="E10" s="110">
        <v>7.89</v>
      </c>
      <c r="F10" s="111" t="str">
        <f t="shared" si="2"/>
        <v>khá</v>
      </c>
      <c r="G10" s="98"/>
      <c r="H10" s="118" t="s">
        <v>40</v>
      </c>
      <c r="I10" s="140" t="s">
        <v>41</v>
      </c>
      <c r="J10" s="98"/>
    </row>
    <row r="11" ht="18.75" spans="1:12">
      <c r="A11" s="113" t="s">
        <v>42</v>
      </c>
      <c r="B11" s="114" t="s">
        <v>43</v>
      </c>
      <c r="C11" s="108" t="str">
        <f t="shared" si="0"/>
        <v>Sư Phạm</v>
      </c>
      <c r="D11" s="109" t="str">
        <f t="shared" si="1"/>
        <v>Toán</v>
      </c>
      <c r="E11" s="115">
        <v>6.1</v>
      </c>
      <c r="F11" s="111" t="str">
        <f t="shared" si="2"/>
        <v>Trung bình</v>
      </c>
      <c r="G11" s="98"/>
      <c r="H11" s="98"/>
      <c r="I11" s="98"/>
      <c r="J11" s="98"/>
      <c r="K11" s="98"/>
      <c r="L11" s="98"/>
    </row>
    <row r="12" ht="18" spans="1:11">
      <c r="A12" s="106" t="s">
        <v>44</v>
      </c>
      <c r="B12" s="107" t="s">
        <v>45</v>
      </c>
      <c r="C12" s="108" t="str">
        <f t="shared" si="0"/>
        <v>Gia Định</v>
      </c>
      <c r="D12" s="109" t="str">
        <f t="shared" si="1"/>
        <v>Tin Học</v>
      </c>
      <c r="E12" s="110">
        <v>6.87</v>
      </c>
      <c r="F12" s="111" t="str">
        <f t="shared" si="2"/>
        <v>khá</v>
      </c>
      <c r="G12" s="98"/>
      <c r="H12" s="119" t="s">
        <v>46</v>
      </c>
      <c r="I12" s="141"/>
      <c r="J12" s="141"/>
      <c r="K12" s="142"/>
    </row>
    <row r="13" ht="18" spans="1:11">
      <c r="A13" s="113" t="s">
        <v>47</v>
      </c>
      <c r="B13" s="114" t="s">
        <v>48</v>
      </c>
      <c r="C13" s="108" t="str">
        <f t="shared" si="0"/>
        <v>Năng Khiếu</v>
      </c>
      <c r="D13" s="109" t="str">
        <f t="shared" si="1"/>
        <v>Toán</v>
      </c>
      <c r="E13" s="115">
        <v>8.2</v>
      </c>
      <c r="F13" s="111" t="str">
        <f t="shared" si="2"/>
        <v>giỏi</v>
      </c>
      <c r="G13" s="98"/>
      <c r="H13" s="120" t="s">
        <v>49</v>
      </c>
      <c r="I13" s="143" t="s">
        <v>50</v>
      </c>
      <c r="J13" s="143" t="s">
        <v>51</v>
      </c>
      <c r="K13" s="144" t="s">
        <v>36</v>
      </c>
    </row>
    <row r="14" ht="18.75" spans="1:11">
      <c r="A14" s="106" t="s">
        <v>47</v>
      </c>
      <c r="B14" s="107" t="s">
        <v>21</v>
      </c>
      <c r="C14" s="108" t="str">
        <f t="shared" si="0"/>
        <v>Năng Khiếu</v>
      </c>
      <c r="D14" s="109" t="str">
        <f t="shared" si="1"/>
        <v>Toán</v>
      </c>
      <c r="E14" s="121">
        <v>9.86</v>
      </c>
      <c r="F14" s="111" t="str">
        <f t="shared" si="2"/>
        <v>xuất sắc</v>
      </c>
      <c r="G14" s="98"/>
      <c r="H14" s="122" t="s">
        <v>52</v>
      </c>
      <c r="I14" s="145" t="s">
        <v>53</v>
      </c>
      <c r="J14" s="145" t="s">
        <v>54</v>
      </c>
      <c r="K14" s="140" t="s">
        <v>55</v>
      </c>
    </row>
    <row r="15" ht="18" spans="1:7">
      <c r="A15" s="113" t="s">
        <v>56</v>
      </c>
      <c r="B15" s="114" t="s">
        <v>57</v>
      </c>
      <c r="C15" s="108" t="str">
        <f t="shared" si="0"/>
        <v>Năng Khiếu</v>
      </c>
      <c r="D15" s="109" t="str">
        <f t="shared" si="1"/>
        <v>Sinh ngữ</v>
      </c>
      <c r="E15" s="123">
        <v>9.66</v>
      </c>
      <c r="F15" s="111" t="str">
        <f t="shared" si="2"/>
        <v>xuất sắc</v>
      </c>
      <c r="G15" s="98"/>
    </row>
    <row r="16" ht="18" spans="1:14">
      <c r="A16" s="106" t="s">
        <v>58</v>
      </c>
      <c r="B16" s="107" t="s">
        <v>59</v>
      </c>
      <c r="C16" s="108" t="str">
        <f t="shared" si="0"/>
        <v>Gia Định</v>
      </c>
      <c r="D16" s="109" t="str">
        <f t="shared" si="1"/>
        <v>Sinh ngữ</v>
      </c>
      <c r="E16" s="121">
        <v>9.87</v>
      </c>
      <c r="F16" s="111" t="str">
        <f t="shared" si="2"/>
        <v>xuất sắc</v>
      </c>
      <c r="G16" s="98"/>
      <c r="H16" s="124"/>
      <c r="I16" s="146"/>
      <c r="J16" s="146"/>
      <c r="K16" s="146"/>
      <c r="L16" s="146"/>
      <c r="M16" s="146"/>
      <c r="N16" s="146"/>
    </row>
    <row r="17" ht="18" spans="1:14">
      <c r="A17" s="113" t="s">
        <v>60</v>
      </c>
      <c r="B17" s="114" t="s">
        <v>31</v>
      </c>
      <c r="C17" s="108" t="str">
        <f t="shared" si="0"/>
        <v>Sư Phạm</v>
      </c>
      <c r="D17" s="109" t="str">
        <f t="shared" si="1"/>
        <v>Toán</v>
      </c>
      <c r="E17" s="115">
        <v>5.68</v>
      </c>
      <c r="F17" s="111" t="str">
        <f t="shared" si="2"/>
        <v>Trung bình</v>
      </c>
      <c r="G17" s="98"/>
      <c r="H17" s="125"/>
      <c r="I17" s="147"/>
      <c r="J17" s="146"/>
      <c r="K17" s="146"/>
      <c r="L17" s="146"/>
      <c r="M17" s="146"/>
      <c r="N17" s="146"/>
    </row>
    <row r="18" ht="18" spans="1:14">
      <c r="A18" s="126" t="s">
        <v>61</v>
      </c>
      <c r="B18" s="127" t="s">
        <v>62</v>
      </c>
      <c r="C18" s="108" t="str">
        <f t="shared" si="0"/>
        <v>Sư Phạm</v>
      </c>
      <c r="D18" s="109" t="str">
        <f t="shared" si="1"/>
        <v>Toán</v>
      </c>
      <c r="E18" s="128">
        <v>7.92</v>
      </c>
      <c r="F18" s="111" t="str">
        <f t="shared" si="2"/>
        <v>khá</v>
      </c>
      <c r="G18" s="98"/>
      <c r="H18" s="129"/>
      <c r="I18" s="146"/>
      <c r="J18" s="146"/>
      <c r="K18" s="146"/>
      <c r="L18" s="146"/>
      <c r="M18" s="146"/>
      <c r="N18" s="146"/>
    </row>
    <row r="19" ht="18" spans="1:7">
      <c r="A19" s="130" t="s">
        <v>63</v>
      </c>
      <c r="B19" s="98"/>
      <c r="C19" s="98"/>
      <c r="D19" s="98"/>
      <c r="E19" s="98"/>
      <c r="F19" s="98"/>
      <c r="G19" s="97"/>
    </row>
    <row r="20" ht="52.2" spans="1:16">
      <c r="A20" s="131" t="s">
        <v>64</v>
      </c>
      <c r="B20" s="131"/>
      <c r="C20" s="131"/>
      <c r="D20" s="131"/>
      <c r="E20" s="131"/>
      <c r="F20" s="98"/>
      <c r="G20" s="97"/>
      <c r="H20" s="98"/>
      <c r="K20" s="148" t="s">
        <v>1</v>
      </c>
      <c r="L20" s="148" t="s">
        <v>2</v>
      </c>
      <c r="M20" s="148" t="s">
        <v>3</v>
      </c>
      <c r="N20" s="148" t="s">
        <v>4</v>
      </c>
      <c r="O20" s="148" t="s">
        <v>5</v>
      </c>
      <c r="P20" s="148" t="s">
        <v>6</v>
      </c>
    </row>
    <row r="21" ht="21" spans="1:16">
      <c r="A21" s="131" t="s">
        <v>65</v>
      </c>
      <c r="B21" s="131"/>
      <c r="D21" s="131"/>
      <c r="E21" s="131"/>
      <c r="G21" s="97"/>
      <c r="K21" s="149" t="s">
        <v>66</v>
      </c>
      <c r="L21" s="149" t="s">
        <v>67</v>
      </c>
      <c r="M21" s="149" t="s">
        <v>33</v>
      </c>
      <c r="N21" s="149" t="s">
        <v>55</v>
      </c>
      <c r="O21" s="150">
        <v>8.09</v>
      </c>
      <c r="P21" s="149" t="s">
        <v>29</v>
      </c>
    </row>
    <row r="22" ht="21" spans="1:16">
      <c r="A22" s="131" t="s">
        <v>68</v>
      </c>
      <c r="B22" s="131"/>
      <c r="C22" s="131"/>
      <c r="D22" s="131"/>
      <c r="E22" s="131"/>
      <c r="F22" s="98"/>
      <c r="G22" s="97"/>
      <c r="K22" s="149" t="s">
        <v>69</v>
      </c>
      <c r="L22" s="149" t="s">
        <v>70</v>
      </c>
      <c r="M22" s="149" t="s">
        <v>33</v>
      </c>
      <c r="N22" s="149" t="s">
        <v>53</v>
      </c>
      <c r="O22" s="150">
        <v>8.2</v>
      </c>
      <c r="P22" s="149" t="s">
        <v>29</v>
      </c>
    </row>
    <row r="23" ht="21" spans="1:7">
      <c r="A23" s="131" t="s">
        <v>71</v>
      </c>
      <c r="B23" s="131"/>
      <c r="C23" s="131"/>
      <c r="D23" s="131"/>
      <c r="E23" s="131"/>
      <c r="F23" s="98"/>
      <c r="G23" s="97"/>
    </row>
    <row r="24" ht="21" spans="1:7">
      <c r="A24" s="131" t="s">
        <v>72</v>
      </c>
      <c r="B24" s="131"/>
      <c r="C24" s="131"/>
      <c r="D24" s="131"/>
      <c r="E24" s="131"/>
      <c r="F24" s="98"/>
      <c r="G24" s="97"/>
    </row>
    <row r="25" ht="21" spans="1:7">
      <c r="A25" s="131" t="s">
        <v>73</v>
      </c>
      <c r="B25" s="131"/>
      <c r="C25" s="131"/>
      <c r="D25" s="131"/>
      <c r="E25" s="131"/>
      <c r="F25" s="98"/>
      <c r="G25" s="97"/>
    </row>
    <row r="26" ht="21" spans="1:7">
      <c r="A26" s="131" t="s">
        <v>74</v>
      </c>
      <c r="B26" s="131"/>
      <c r="C26" s="131"/>
      <c r="D26" s="131"/>
      <c r="E26" s="131"/>
      <c r="F26" s="98"/>
      <c r="G26" s="97"/>
    </row>
    <row r="27" ht="21" spans="1:12">
      <c r="A27" s="131"/>
      <c r="B27" s="131"/>
      <c r="C27" s="131"/>
      <c r="D27" s="131"/>
      <c r="E27" s="131"/>
      <c r="F27" s="98"/>
      <c r="G27" s="97"/>
      <c r="L27" s="98"/>
    </row>
    <row r="28" ht="21" spans="1:12">
      <c r="A28" s="131"/>
      <c r="B28" s="131"/>
      <c r="C28" s="131"/>
      <c r="D28" s="131"/>
      <c r="E28" s="131"/>
      <c r="F28" s="98"/>
      <c r="G28" s="97"/>
      <c r="L28" s="98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opLeftCell="C1" workbookViewId="0">
      <selection activeCell="M13" sqref="M13"/>
    </sheetView>
  </sheetViews>
  <sheetFormatPr defaultColWidth="9" defaultRowHeight="13.8"/>
  <cols>
    <col min="1" max="1" width="13" style="49" customWidth="1"/>
    <col min="2" max="3" width="14.5740740740741" style="49" customWidth="1"/>
    <col min="4" max="4" width="19.4259259259259" style="49" customWidth="1"/>
    <col min="5" max="5" width="14.5740740740741" style="49" customWidth="1"/>
    <col min="6" max="6" width="17.8518518518519" style="49" customWidth="1"/>
    <col min="7" max="7" width="16.1388888888889" style="49" customWidth="1"/>
    <col min="8" max="8" width="11" style="49" customWidth="1"/>
    <col min="9" max="9" width="20.4259259259259" style="49" customWidth="1"/>
    <col min="10" max="10" width="14.4259259259259" style="49" customWidth="1"/>
    <col min="11" max="11" width="17.4259259259259" style="49" customWidth="1"/>
    <col min="12" max="12" width="16.1388888888889" style="49" customWidth="1"/>
    <col min="13" max="13" width="12.712962962963" style="49" customWidth="1"/>
    <col min="14" max="14" width="16.8518518518519" style="49" customWidth="1"/>
    <col min="15" max="15" width="20.5740740740741" style="49" customWidth="1"/>
    <col min="16" max="16" width="17.4259259259259" style="49" customWidth="1"/>
    <col min="17" max="17" width="4.13888888888889" style="49" customWidth="1"/>
    <col min="18" max="18" width="20.712962962963" style="49" customWidth="1"/>
    <col min="19" max="19" width="15.8518518518519" style="49" customWidth="1"/>
    <col min="20" max="20" width="16.1388888888889" style="49" customWidth="1"/>
    <col min="21" max="21" width="13.8518518518519" style="49" customWidth="1"/>
    <col min="22" max="16384" width="9.13888888888889" style="49"/>
  </cols>
  <sheetData>
    <row r="1" s="46" customFormat="1" ht="21.15" spans="1:12">
      <c r="A1" s="50" t="s">
        <v>75</v>
      </c>
      <c r="B1" s="50"/>
      <c r="C1" s="50"/>
      <c r="D1" s="50"/>
      <c r="E1" s="50"/>
      <c r="F1" s="50"/>
      <c r="G1" s="50"/>
      <c r="I1" s="46" t="s">
        <v>76</v>
      </c>
      <c r="K1" s="58" t="s">
        <v>77</v>
      </c>
      <c r="L1" s="59">
        <v>21070</v>
      </c>
    </row>
    <row r="2" s="47" customFormat="1" ht="33.6" spans="1:14">
      <c r="A2" s="51" t="s">
        <v>78</v>
      </c>
      <c r="B2" s="51" t="s">
        <v>79</v>
      </c>
      <c r="C2" s="51" t="s">
        <v>80</v>
      </c>
      <c r="D2" s="51" t="s">
        <v>81</v>
      </c>
      <c r="E2" s="51" t="s">
        <v>82</v>
      </c>
      <c r="F2" s="51" t="s">
        <v>83</v>
      </c>
      <c r="G2" s="51" t="s">
        <v>84</v>
      </c>
      <c r="H2" s="46"/>
      <c r="I2" s="51" t="s">
        <v>85</v>
      </c>
      <c r="J2" s="60" t="s">
        <v>86</v>
      </c>
      <c r="K2" s="60" t="s">
        <v>87</v>
      </c>
      <c r="L2" s="61" t="s">
        <v>88</v>
      </c>
      <c r="M2" s="60" t="s">
        <v>89</v>
      </c>
      <c r="N2" s="62" t="s">
        <v>90</v>
      </c>
    </row>
    <row r="3" s="46" customFormat="1" ht="16.8" spans="1:14">
      <c r="A3" s="52" t="s">
        <v>91</v>
      </c>
      <c r="B3" s="53" t="str">
        <f>VLOOKUP(LEFT(A3,2),$I$10:$K$14,2,0)</f>
        <v>Laptop</v>
      </c>
      <c r="C3" s="53" t="str">
        <f>HLOOKUP(MID(A3,3,2),$M$9:$O$10,2,0)</f>
        <v>Sony</v>
      </c>
      <c r="D3" s="53" t="str">
        <f>VLOOKUP(VALUE(RIGHT(A3,2)),$I$3:$N$6,2,0)</f>
        <v>Thúy Hằng</v>
      </c>
      <c r="E3" s="53">
        <v>13</v>
      </c>
      <c r="F3" s="54">
        <f>VLOOKUP(LEFT(A3,2),$I$10:$K$14,3,0)*22748</f>
        <v>21951820</v>
      </c>
      <c r="G3" s="54">
        <f>F3*E3</f>
        <v>285373660</v>
      </c>
      <c r="I3" s="63">
        <v>11</v>
      </c>
      <c r="J3" s="64" t="s">
        <v>92</v>
      </c>
      <c r="K3" s="65">
        <f>SUM(G3:G20)</f>
        <v>4311064472</v>
      </c>
      <c r="L3" s="65">
        <f>600000+K3*3%</f>
        <v>129931934.16</v>
      </c>
      <c r="M3" s="53">
        <f>IF(L3&gt;4000000,(L3-4000000)*10%,"Không nộp thuế")</f>
        <v>12593193.416</v>
      </c>
      <c r="N3" s="66">
        <f>L3-M3</f>
        <v>117338740.744</v>
      </c>
    </row>
    <row r="4" s="46" customFormat="1" ht="16.8" spans="1:14">
      <c r="A4" s="52" t="s">
        <v>93</v>
      </c>
      <c r="B4" s="53" t="str">
        <f t="shared" ref="B4:B20" si="0">VLOOKUP(LEFT(A4,2),$I$10:$K$14,2,0)</f>
        <v>Laptop</v>
      </c>
      <c r="C4" s="53" t="str">
        <f t="shared" ref="C4:C20" si="1">HLOOKUP(MID(A4,3,2),$M$9:$O$10,2,0)</f>
        <v>Toshiba</v>
      </c>
      <c r="D4" s="53" t="str">
        <f t="shared" ref="D4:D20" si="2">VLOOKUP(VALUE(RIGHT(A4,2)),$I$3:$N$6,2,0)</f>
        <v>Thanh Long</v>
      </c>
      <c r="E4" s="53">
        <v>25</v>
      </c>
      <c r="F4" s="54">
        <f t="shared" ref="F4:F20" si="3">VLOOKUP(LEFT(A4,2),$I$10:$K$14,3,0)*22748</f>
        <v>21951820</v>
      </c>
      <c r="G4" s="54">
        <f t="shared" ref="G4:G20" si="4">F4*E4</f>
        <v>548795500</v>
      </c>
      <c r="I4" s="63">
        <v>22</v>
      </c>
      <c r="J4" s="64" t="s">
        <v>94</v>
      </c>
      <c r="K4" s="65">
        <f>SUM(G4:G21)</f>
        <v>4025690812</v>
      </c>
      <c r="L4" s="65">
        <f>600000+K4*3%</f>
        <v>121370724.36</v>
      </c>
      <c r="M4" s="53">
        <f>IF(L4&gt;4000000,(L4-4000000)*10%,"Không nộp thuế")</f>
        <v>11737072.436</v>
      </c>
      <c r="N4" s="66">
        <f>L4-M4</f>
        <v>109633651.924</v>
      </c>
    </row>
    <row r="5" s="46" customFormat="1" ht="16.8" spans="1:14">
      <c r="A5" s="52" t="s">
        <v>95</v>
      </c>
      <c r="B5" s="53" t="str">
        <f t="shared" si="0"/>
        <v>Laptop</v>
      </c>
      <c r="C5" s="53" t="str">
        <f t="shared" si="1"/>
        <v>Sony</v>
      </c>
      <c r="D5" s="53" t="str">
        <f t="shared" si="2"/>
        <v>Lan Anh</v>
      </c>
      <c r="E5" s="53">
        <v>31</v>
      </c>
      <c r="F5" s="54">
        <f t="shared" si="3"/>
        <v>21951820</v>
      </c>
      <c r="G5" s="54">
        <f t="shared" si="4"/>
        <v>680506420</v>
      </c>
      <c r="I5" s="63">
        <v>33</v>
      </c>
      <c r="J5" s="64" t="s">
        <v>96</v>
      </c>
      <c r="K5" s="65">
        <f>SUM(G5:G22)</f>
        <v>3476895312</v>
      </c>
      <c r="L5" s="65">
        <f>600000+K5*3%</f>
        <v>104906859.36</v>
      </c>
      <c r="M5" s="53">
        <f>IF(L5&gt;4000000,(L5-4000000)*10%,"Không nộp thuế")</f>
        <v>10090685.936</v>
      </c>
      <c r="N5" s="66">
        <f>L5-M5</f>
        <v>94816173.424</v>
      </c>
    </row>
    <row r="6" s="46" customFormat="1" ht="17.55" spans="1:14">
      <c r="A6" s="52" t="s">
        <v>97</v>
      </c>
      <c r="B6" s="53" t="str">
        <f t="shared" si="0"/>
        <v>Laptop</v>
      </c>
      <c r="C6" s="53" t="str">
        <f t="shared" si="1"/>
        <v>Sony</v>
      </c>
      <c r="D6" s="53" t="str">
        <f t="shared" si="2"/>
        <v>Hải Quân</v>
      </c>
      <c r="E6" s="53">
        <v>33</v>
      </c>
      <c r="F6" s="54">
        <f t="shared" si="3"/>
        <v>21951820</v>
      </c>
      <c r="G6" s="54">
        <f t="shared" si="4"/>
        <v>724410060</v>
      </c>
      <c r="I6" s="67">
        <v>44</v>
      </c>
      <c r="J6" s="68" t="s">
        <v>98</v>
      </c>
      <c r="K6" s="65">
        <f>SUM(G6:G23)</f>
        <v>2796388892</v>
      </c>
      <c r="L6" s="65">
        <f>600000+K6*3%</f>
        <v>84491666.76</v>
      </c>
      <c r="M6" s="53">
        <f>IF(L6&gt;4000000,(L6-4000000)*10%,"Không nộp thuế")</f>
        <v>8049166.676</v>
      </c>
      <c r="N6" s="66">
        <f>L6-M6</f>
        <v>76442500.084</v>
      </c>
    </row>
    <row r="7" s="46" customFormat="1" ht="17.55" spans="1:7">
      <c r="A7" s="52" t="s">
        <v>95</v>
      </c>
      <c r="B7" s="53" t="str">
        <f t="shared" si="0"/>
        <v>Laptop</v>
      </c>
      <c r="C7" s="53" t="str">
        <f t="shared" si="1"/>
        <v>Sony</v>
      </c>
      <c r="D7" s="53" t="str">
        <f t="shared" si="2"/>
        <v>Lan Anh</v>
      </c>
      <c r="E7" s="53">
        <v>19</v>
      </c>
      <c r="F7" s="54">
        <f t="shared" si="3"/>
        <v>21951820</v>
      </c>
      <c r="G7" s="54">
        <f t="shared" si="4"/>
        <v>417084580</v>
      </c>
    </row>
    <row r="8" s="46" customFormat="1" ht="16.8" spans="1:15">
      <c r="A8" s="52" t="s">
        <v>99</v>
      </c>
      <c r="B8" s="53" t="str">
        <f t="shared" si="0"/>
        <v>Máy ảnh</v>
      </c>
      <c r="C8" s="53" t="str">
        <f t="shared" si="1"/>
        <v>Toshiba</v>
      </c>
      <c r="D8" s="53" t="str">
        <f t="shared" si="2"/>
        <v>Lan Anh</v>
      </c>
      <c r="E8" s="53">
        <v>14</v>
      </c>
      <c r="F8" s="54">
        <f t="shared" si="3"/>
        <v>7302108</v>
      </c>
      <c r="G8" s="54">
        <f t="shared" si="4"/>
        <v>102229512</v>
      </c>
      <c r="I8" s="69" t="s">
        <v>100</v>
      </c>
      <c r="J8" s="70"/>
      <c r="K8" s="71"/>
      <c r="M8" s="72" t="s">
        <v>101</v>
      </c>
      <c r="N8" s="73"/>
      <c r="O8" s="74"/>
    </row>
    <row r="9" s="46" customFormat="1" ht="16.8" spans="1:15">
      <c r="A9" s="52" t="s">
        <v>102</v>
      </c>
      <c r="B9" s="53" t="str">
        <f t="shared" si="0"/>
        <v>Máy ảnh</v>
      </c>
      <c r="C9" s="53" t="str">
        <f t="shared" si="1"/>
        <v>Panasonic</v>
      </c>
      <c r="D9" s="53" t="str">
        <f t="shared" si="2"/>
        <v>Thanh Long</v>
      </c>
      <c r="E9" s="53">
        <v>31</v>
      </c>
      <c r="F9" s="54">
        <f t="shared" si="3"/>
        <v>7302108</v>
      </c>
      <c r="G9" s="54">
        <f t="shared" si="4"/>
        <v>226365348</v>
      </c>
      <c r="I9" s="75" t="s">
        <v>103</v>
      </c>
      <c r="J9" s="76" t="s">
        <v>104</v>
      </c>
      <c r="K9" s="77" t="s">
        <v>105</v>
      </c>
      <c r="M9" s="75" t="s">
        <v>106</v>
      </c>
      <c r="N9" s="76" t="s">
        <v>107</v>
      </c>
      <c r="O9" s="77" t="s">
        <v>108</v>
      </c>
    </row>
    <row r="10" s="46" customFormat="1" ht="17.55" spans="1:15">
      <c r="A10" s="52" t="s">
        <v>109</v>
      </c>
      <c r="B10" s="53" t="str">
        <f t="shared" si="0"/>
        <v>Máy ảnh</v>
      </c>
      <c r="C10" s="53" t="str">
        <f t="shared" si="1"/>
        <v>Sony</v>
      </c>
      <c r="D10" s="53" t="str">
        <f t="shared" si="2"/>
        <v>Hải Quân</v>
      </c>
      <c r="E10" s="53">
        <v>24</v>
      </c>
      <c r="F10" s="54">
        <f t="shared" si="3"/>
        <v>7302108</v>
      </c>
      <c r="G10" s="54">
        <f t="shared" si="4"/>
        <v>175250592</v>
      </c>
      <c r="I10" s="63" t="s">
        <v>110</v>
      </c>
      <c r="J10" s="53" t="s">
        <v>111</v>
      </c>
      <c r="K10" s="78">
        <v>115</v>
      </c>
      <c r="M10" s="79" t="s">
        <v>112</v>
      </c>
      <c r="N10" s="80" t="s">
        <v>113</v>
      </c>
      <c r="O10" s="81" t="s">
        <v>114</v>
      </c>
    </row>
    <row r="11" s="46" customFormat="1" ht="16.8" spans="1:13">
      <c r="A11" s="52" t="s">
        <v>115</v>
      </c>
      <c r="B11" s="53" t="str">
        <f t="shared" si="0"/>
        <v>Máy giặt</v>
      </c>
      <c r="C11" s="53" t="str">
        <f t="shared" si="1"/>
        <v>Toshiba</v>
      </c>
      <c r="D11" s="53" t="str">
        <f t="shared" si="2"/>
        <v>Thúy Hằng</v>
      </c>
      <c r="E11" s="53">
        <v>11</v>
      </c>
      <c r="F11" s="54">
        <f t="shared" si="3"/>
        <v>11601480</v>
      </c>
      <c r="G11" s="54">
        <f t="shared" si="4"/>
        <v>127616280</v>
      </c>
      <c r="I11" s="63" t="s">
        <v>116</v>
      </c>
      <c r="J11" s="53" t="s">
        <v>117</v>
      </c>
      <c r="K11" s="78">
        <v>321</v>
      </c>
      <c r="M11" s="82"/>
    </row>
    <row r="12" s="46" customFormat="1" ht="16.8" spans="1:13">
      <c r="A12" s="52" t="s">
        <v>118</v>
      </c>
      <c r="B12" s="53" t="str">
        <f t="shared" si="0"/>
        <v>Máy giặt</v>
      </c>
      <c r="C12" s="53" t="str">
        <f t="shared" si="1"/>
        <v>Panasonic</v>
      </c>
      <c r="D12" s="53" t="str">
        <f t="shared" si="2"/>
        <v>Lan Anh</v>
      </c>
      <c r="E12" s="53">
        <v>21</v>
      </c>
      <c r="F12" s="54">
        <f t="shared" si="3"/>
        <v>11601480</v>
      </c>
      <c r="G12" s="54">
        <f t="shared" si="4"/>
        <v>243631080</v>
      </c>
      <c r="I12" s="63" t="s">
        <v>119</v>
      </c>
      <c r="J12" s="53" t="s">
        <v>120</v>
      </c>
      <c r="K12" s="78">
        <v>185</v>
      </c>
      <c r="M12" s="82"/>
    </row>
    <row r="13" s="46" customFormat="1" ht="16.8" spans="1:11">
      <c r="A13" s="52" t="s">
        <v>115</v>
      </c>
      <c r="B13" s="53" t="str">
        <f t="shared" si="0"/>
        <v>Máy giặt</v>
      </c>
      <c r="C13" s="53" t="str">
        <f t="shared" si="1"/>
        <v>Toshiba</v>
      </c>
      <c r="D13" s="53" t="str">
        <f t="shared" si="2"/>
        <v>Thúy Hằng</v>
      </c>
      <c r="E13" s="53">
        <v>19</v>
      </c>
      <c r="F13" s="54">
        <f t="shared" si="3"/>
        <v>11601480</v>
      </c>
      <c r="G13" s="54">
        <f t="shared" si="4"/>
        <v>220428120</v>
      </c>
      <c r="I13" s="63" t="s">
        <v>121</v>
      </c>
      <c r="J13" s="53" t="s">
        <v>122</v>
      </c>
      <c r="K13" s="78">
        <v>965</v>
      </c>
    </row>
    <row r="14" s="46" customFormat="1" ht="17.55" spans="1:11">
      <c r="A14" s="52" t="s">
        <v>123</v>
      </c>
      <c r="B14" s="53" t="str">
        <f t="shared" si="0"/>
        <v>Máy lạnh</v>
      </c>
      <c r="C14" s="53" t="str">
        <f t="shared" si="1"/>
        <v>Toshiba</v>
      </c>
      <c r="D14" s="53" t="str">
        <f t="shared" si="2"/>
        <v>Hải Quân</v>
      </c>
      <c r="E14" s="53">
        <v>39</v>
      </c>
      <c r="F14" s="54">
        <f t="shared" si="3"/>
        <v>4208380</v>
      </c>
      <c r="G14" s="54">
        <f t="shared" si="4"/>
        <v>164126820</v>
      </c>
      <c r="I14" s="67" t="s">
        <v>124</v>
      </c>
      <c r="J14" s="83" t="s">
        <v>125</v>
      </c>
      <c r="K14" s="84">
        <v>510</v>
      </c>
    </row>
    <row r="15" s="46" customFormat="1" ht="17.55" spans="1:7">
      <c r="A15" s="52" t="s">
        <v>126</v>
      </c>
      <c r="B15" s="53" t="str">
        <f t="shared" si="0"/>
        <v>Máy lạnh</v>
      </c>
      <c r="C15" s="53" t="str">
        <f t="shared" si="1"/>
        <v>Panasonic</v>
      </c>
      <c r="D15" s="53" t="str">
        <f t="shared" si="2"/>
        <v>Lan Anh</v>
      </c>
      <c r="E15" s="53">
        <v>33</v>
      </c>
      <c r="F15" s="54">
        <f t="shared" si="3"/>
        <v>4208380</v>
      </c>
      <c r="G15" s="54">
        <f t="shared" si="4"/>
        <v>138876540</v>
      </c>
    </row>
    <row r="16" s="46" customFormat="1" ht="17.55" spans="1:15">
      <c r="A16" s="52" t="s">
        <v>127</v>
      </c>
      <c r="B16" s="53" t="str">
        <f t="shared" si="0"/>
        <v>Tivi</v>
      </c>
      <c r="C16" s="53" t="str">
        <f t="shared" si="1"/>
        <v>Sony</v>
      </c>
      <c r="D16" s="53" t="str">
        <f t="shared" si="2"/>
        <v>Thúy Hằng</v>
      </c>
      <c r="E16" s="53">
        <v>37</v>
      </c>
      <c r="F16" s="54">
        <f t="shared" si="3"/>
        <v>2616020</v>
      </c>
      <c r="G16" s="54">
        <f t="shared" si="4"/>
        <v>96792740</v>
      </c>
      <c r="I16" s="85" t="s">
        <v>128</v>
      </c>
      <c r="J16" s="86" t="s">
        <v>129</v>
      </c>
      <c r="L16" s="85" t="s">
        <v>130</v>
      </c>
      <c r="M16" s="87"/>
      <c r="N16" s="88" t="s">
        <v>131</v>
      </c>
      <c r="O16" s="89"/>
    </row>
    <row r="17" s="46" customFormat="1" ht="16.8" spans="1:15">
      <c r="A17" s="52" t="s">
        <v>127</v>
      </c>
      <c r="B17" s="53" t="str">
        <f t="shared" si="0"/>
        <v>Tivi</v>
      </c>
      <c r="C17" s="53" t="str">
        <f t="shared" si="1"/>
        <v>Sony</v>
      </c>
      <c r="D17" s="53" t="str">
        <f t="shared" si="2"/>
        <v>Thúy Hằng</v>
      </c>
      <c r="E17" s="53">
        <v>21</v>
      </c>
      <c r="F17" s="54">
        <f t="shared" si="3"/>
        <v>2616020</v>
      </c>
      <c r="G17" s="54">
        <f t="shared" si="4"/>
        <v>54936420</v>
      </c>
      <c r="I17" s="75" t="s">
        <v>104</v>
      </c>
      <c r="J17" s="77" t="s">
        <v>132</v>
      </c>
      <c r="L17" s="90"/>
      <c r="M17" s="91" t="s">
        <v>112</v>
      </c>
      <c r="N17" s="91" t="s">
        <v>113</v>
      </c>
      <c r="O17" s="92" t="s">
        <v>114</v>
      </c>
    </row>
    <row r="18" s="46" customFormat="1" ht="16.8" spans="1:15">
      <c r="A18" s="52" t="s">
        <v>133</v>
      </c>
      <c r="B18" s="53" t="str">
        <f t="shared" si="0"/>
        <v>Tivi</v>
      </c>
      <c r="C18" s="53" t="str">
        <f t="shared" si="1"/>
        <v>Panasonic</v>
      </c>
      <c r="D18" s="53" t="str">
        <f t="shared" si="2"/>
        <v>Thanh Long</v>
      </c>
      <c r="E18" s="53">
        <v>5</v>
      </c>
      <c r="F18" s="54">
        <f t="shared" si="3"/>
        <v>2616020</v>
      </c>
      <c r="G18" s="54">
        <f t="shared" si="4"/>
        <v>13080100</v>
      </c>
      <c r="I18" s="63" t="s">
        <v>111</v>
      </c>
      <c r="J18" s="78"/>
      <c r="L18" s="93" t="s">
        <v>111</v>
      </c>
      <c r="M18" s="53">
        <f>SUMIFS($E$3:$E$20,$B$3:$B$20,"tivi",$C$3:$C$20,"sony")</f>
        <v>79</v>
      </c>
      <c r="N18" s="53">
        <f>SUMIFS($E$3:$E$20,$B$3:$B$20,"Tivi",$C$3:$C$20,"Toshiba")</f>
        <v>14</v>
      </c>
      <c r="O18" s="53">
        <f>SUMIFS($E$3:$E$20,$B$3:$B$20,"Tivi",$C$3:$C$20,"Panasonic")</f>
        <v>5</v>
      </c>
    </row>
    <row r="19" s="46" customFormat="1" ht="16.8" spans="1:15">
      <c r="A19" s="52" t="s">
        <v>134</v>
      </c>
      <c r="B19" s="53" t="str">
        <f t="shared" si="0"/>
        <v>Tivi</v>
      </c>
      <c r="C19" s="53" t="str">
        <f t="shared" si="1"/>
        <v>Toshiba</v>
      </c>
      <c r="D19" s="53" t="str">
        <f t="shared" si="2"/>
        <v>Hải Quân</v>
      </c>
      <c r="E19" s="53">
        <v>14</v>
      </c>
      <c r="F19" s="54">
        <f t="shared" si="3"/>
        <v>2616020</v>
      </c>
      <c r="G19" s="54">
        <f t="shared" si="4"/>
        <v>36624280</v>
      </c>
      <c r="I19" s="63" t="s">
        <v>117</v>
      </c>
      <c r="J19" s="78"/>
      <c r="L19" s="93" t="s">
        <v>117</v>
      </c>
      <c r="M19" s="53">
        <f>SUMIFS($E$3:$E$20,$B$3:$B$20,"Máy ảnh",$C$3:$C$20,"Sony")</f>
        <v>24</v>
      </c>
      <c r="N19" s="53">
        <f>SUMIFS($E$3:$E$20,$B$3:$B$20,"Máy ảnh",$C$3:$C$20,"Toshiba")</f>
        <v>14</v>
      </c>
      <c r="O19" s="53">
        <f>SUMIFS($E$3:$E$20,$B$3:$B$20,"Máy ảnh",$C$3:$C$20,"Panasonic")</f>
        <v>31</v>
      </c>
    </row>
    <row r="20" s="46" customFormat="1" ht="16.8" spans="1:15">
      <c r="A20" s="52" t="s">
        <v>135</v>
      </c>
      <c r="B20" s="53" t="str">
        <f t="shared" si="0"/>
        <v>Tivi</v>
      </c>
      <c r="C20" s="53" t="str">
        <f t="shared" si="1"/>
        <v>Sony</v>
      </c>
      <c r="D20" s="53" t="str">
        <f t="shared" si="2"/>
        <v>Hải Quân</v>
      </c>
      <c r="E20" s="53">
        <v>21</v>
      </c>
      <c r="F20" s="54">
        <f t="shared" si="3"/>
        <v>2616020</v>
      </c>
      <c r="G20" s="54">
        <f t="shared" si="4"/>
        <v>54936420</v>
      </c>
      <c r="I20" s="63" t="s">
        <v>120</v>
      </c>
      <c r="J20" s="78"/>
      <c r="L20" s="93" t="s">
        <v>120</v>
      </c>
      <c r="M20" s="53">
        <f>SUMIFS($E$3:$E$20,$B$3:$B$20,"Máy lạnh",$C$3:$C$20,"Sony")</f>
        <v>0</v>
      </c>
      <c r="N20" s="53">
        <f>SUMIFS($E$3:$E$20,$B$3:$B$20,"Máy lạnh",$C$3:$C$20,"Toshiba")</f>
        <v>39</v>
      </c>
      <c r="O20" s="53">
        <f>SUMIFS($E$3:$E$20,$B$3:$B$20,"Máy lạnh",$C$3:$C$20,"Panasonic")</f>
        <v>33</v>
      </c>
    </row>
    <row r="21" s="46" customFormat="1" ht="16.8" spans="9:15">
      <c r="I21" s="63" t="s">
        <v>122</v>
      </c>
      <c r="J21" s="78"/>
      <c r="L21" s="93" t="s">
        <v>122</v>
      </c>
      <c r="M21" s="53">
        <f>SUMIFS($E$3:$E$20,$B$3:$B$20,"Laptop",$C$3:$C$20,"Sony")</f>
        <v>96</v>
      </c>
      <c r="N21" s="53">
        <f>SUMIFS($E$3:$E$20,$B$3:$B$20,"Laptop",$C$3:$C$20,"Toshiba")</f>
        <v>25</v>
      </c>
      <c r="O21" s="53">
        <f>SUMIFS($E$3:$E$20,$B$3:$B$20,"Laptop",$C$3:$C$20,"Panasonic")</f>
        <v>0</v>
      </c>
    </row>
    <row r="22" s="46" customFormat="1" ht="17.55" spans="1:15">
      <c r="A22" s="55" t="s">
        <v>136</v>
      </c>
      <c r="I22" s="67" t="s">
        <v>125</v>
      </c>
      <c r="J22" s="84"/>
      <c r="L22" s="94" t="s">
        <v>125</v>
      </c>
      <c r="M22" s="53">
        <f>SUMIFS($E$3:$E$20,$B$3:$B$20,"Máy giặt",$C$3:$C$20,"Sony")</f>
        <v>0</v>
      </c>
      <c r="N22" s="53">
        <f>SUMIFS($E$3:$E$20,$B$3:$B$20,"Máy giặt",$C$3:$C$20,"Toshiba")</f>
        <v>30</v>
      </c>
      <c r="O22" s="53">
        <f>SUMIFS($E$3:$E$20,$B$3:$B$20,"Máy giặt",$C$3:$C$20,"Panasonic")</f>
        <v>21</v>
      </c>
    </row>
    <row r="23" s="48" customFormat="1" ht="18" spans="1:1">
      <c r="A23" s="48" t="s">
        <v>137</v>
      </c>
    </row>
    <row r="24" s="48" customFormat="1" ht="18" spans="1:1">
      <c r="A24" s="48" t="s">
        <v>138</v>
      </c>
    </row>
    <row r="25" s="48" customFormat="1" ht="18" spans="1:1">
      <c r="A25" s="48" t="s">
        <v>139</v>
      </c>
    </row>
    <row r="26" s="48" customFormat="1" ht="18" spans="1:11">
      <c r="A26" s="48" t="s">
        <v>140</v>
      </c>
      <c r="K26" s="46"/>
    </row>
    <row r="27" s="48" customFormat="1" ht="18" spans="1:11">
      <c r="A27" s="48" t="s">
        <v>141</v>
      </c>
      <c r="J27" s="95"/>
      <c r="K27" s="46"/>
    </row>
    <row r="28" s="48" customFormat="1" ht="18" spans="1:11">
      <c r="A28" s="48" t="s">
        <v>142</v>
      </c>
      <c r="F28" s="56"/>
      <c r="I28" s="49"/>
      <c r="J28" s="49"/>
      <c r="K28" s="46"/>
    </row>
    <row r="29" s="48" customFormat="1" ht="18" spans="1:11">
      <c r="A29" s="48" t="s">
        <v>143</v>
      </c>
      <c r="I29" s="49"/>
      <c r="J29" s="49"/>
      <c r="K29" s="46"/>
    </row>
    <row r="30" s="48" customFormat="1" ht="18" spans="1:11">
      <c r="A30" s="48" t="s">
        <v>144</v>
      </c>
      <c r="I30" s="49"/>
      <c r="J30" s="49"/>
      <c r="K30" s="46"/>
    </row>
    <row r="31" s="48" customFormat="1" ht="18" spans="1:10">
      <c r="A31" s="48" t="s">
        <v>145</v>
      </c>
      <c r="I31" s="49"/>
      <c r="J31" s="49"/>
    </row>
    <row r="32" s="48" customFormat="1" ht="18" spans="1:10">
      <c r="A32" s="48" t="s">
        <v>146</v>
      </c>
      <c r="I32" s="49"/>
      <c r="J32" s="49"/>
    </row>
    <row r="33" s="48" customFormat="1" ht="18" spans="1:10">
      <c r="A33" s="48" t="s">
        <v>147</v>
      </c>
      <c r="I33" s="49"/>
      <c r="J33" s="49"/>
    </row>
    <row r="40" spans="4:4">
      <c r="D40" s="57"/>
    </row>
    <row r="41" spans="4:4">
      <c r="D41" s="57"/>
    </row>
    <row r="42" spans="4:4">
      <c r="D42" s="57"/>
    </row>
    <row r="43" spans="4:4">
      <c r="D43" s="57"/>
    </row>
  </sheetData>
  <mergeCells count="3">
    <mergeCell ref="A1:G1"/>
    <mergeCell ref="I8:K8"/>
    <mergeCell ref="M8:O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zoomScale="85" zoomScaleNormal="85" workbookViewId="0">
      <selection activeCell="M19" sqref="M19"/>
    </sheetView>
  </sheetViews>
  <sheetFormatPr defaultColWidth="9" defaultRowHeight="14.4"/>
  <cols>
    <col min="1" max="1" width="12.7777777777778"/>
    <col min="2" max="2" width="30.4259259259259" customWidth="1"/>
    <col min="3" max="3" width="18.4259259259259" customWidth="1"/>
    <col min="4" max="4" width="12" customWidth="1"/>
    <col min="5" max="5" width="14" customWidth="1"/>
    <col min="6" max="6" width="11.1388888888889" customWidth="1"/>
    <col min="7" max="7" width="17" customWidth="1"/>
    <col min="8" max="8" width="11.712962962963" customWidth="1"/>
    <col min="9" max="9" width="12.1388888888889" customWidth="1"/>
    <col min="10" max="10" width="12.8518518518519" customWidth="1"/>
    <col min="12" max="12" width="16.0740740740741" customWidth="1"/>
  </cols>
  <sheetData>
    <row r="1" ht="24.6" spans="1:10">
      <c r="A1" s="34" t="s">
        <v>148</v>
      </c>
      <c r="B1" s="34"/>
      <c r="C1" s="34"/>
      <c r="D1" s="34"/>
      <c r="E1" s="34"/>
      <c r="F1" s="34"/>
      <c r="G1" s="34"/>
      <c r="H1" s="34"/>
      <c r="I1" s="34"/>
      <c r="J1" s="34"/>
    </row>
    <row r="2" ht="37.2" spans="1:12">
      <c r="A2" s="35" t="s">
        <v>149</v>
      </c>
      <c r="B2" s="35" t="s">
        <v>150</v>
      </c>
      <c r="C2" s="35" t="s">
        <v>151</v>
      </c>
      <c r="D2" s="35" t="s">
        <v>152</v>
      </c>
      <c r="E2" s="35" t="s">
        <v>153</v>
      </c>
      <c r="F2" s="35" t="s">
        <v>154</v>
      </c>
      <c r="G2" s="35" t="s">
        <v>155</v>
      </c>
      <c r="H2" s="35" t="s">
        <v>156</v>
      </c>
      <c r="I2" s="35" t="s">
        <v>19</v>
      </c>
      <c r="J2" s="35" t="s">
        <v>157</v>
      </c>
      <c r="L2" s="45" t="s">
        <v>158</v>
      </c>
    </row>
    <row r="3" ht="19.2" spans="1:12">
      <c r="A3" s="36">
        <v>1</v>
      </c>
      <c r="B3" s="36" t="s">
        <v>159</v>
      </c>
      <c r="C3" s="37">
        <v>32781</v>
      </c>
      <c r="D3" s="36">
        <f ca="1">YEAR(TODAY())-YEAR(C3)</f>
        <v>32</v>
      </c>
      <c r="E3" s="38">
        <v>4</v>
      </c>
      <c r="F3" s="36">
        <v>5</v>
      </c>
      <c r="G3" s="39">
        <v>3</v>
      </c>
      <c r="H3" s="40">
        <f>SUM(E3:G3)</f>
        <v>12</v>
      </c>
      <c r="I3" s="40">
        <f>(E3*2+F3*2+G3)/5</f>
        <v>4.2</v>
      </c>
      <c r="J3" s="36" t="str">
        <f>IF(E3&gt;=5,"Đậu","Rớt")</f>
        <v>Rớt</v>
      </c>
      <c r="L3" t="str">
        <f>PROPER(B3)</f>
        <v>Nguyễn Văn Tâm</v>
      </c>
    </row>
    <row r="4" ht="19.2" spans="1:12">
      <c r="A4" s="36">
        <v>2</v>
      </c>
      <c r="B4" s="36" t="s">
        <v>160</v>
      </c>
      <c r="C4" s="37">
        <v>32803</v>
      </c>
      <c r="D4" s="36">
        <f ca="1" t="shared" ref="D4:D17" si="0">YEAR(TODAY())-YEAR(C4)</f>
        <v>32</v>
      </c>
      <c r="E4" s="36">
        <v>5</v>
      </c>
      <c r="F4" s="39">
        <v>2</v>
      </c>
      <c r="G4" s="36">
        <v>8</v>
      </c>
      <c r="H4" s="40">
        <f t="shared" ref="H4:H17" si="1">SUM(E4:G4)</f>
        <v>15</v>
      </c>
      <c r="I4" s="40">
        <f t="shared" ref="I4:I17" si="2">(E4*2+F4*2+G4)/5</f>
        <v>4.4</v>
      </c>
      <c r="J4" s="36" t="str">
        <f t="shared" ref="J4:J17" si="3">IF(E4&gt;=5,"Đậu","Rớt")</f>
        <v>Đậu</v>
      </c>
      <c r="L4" t="str">
        <f t="shared" ref="L4:L17" si="4">PROPER(B4)</f>
        <v>Nguyễn Thị Hằng</v>
      </c>
    </row>
    <row r="5" ht="19.2" spans="1:12">
      <c r="A5" s="36">
        <v>3</v>
      </c>
      <c r="B5" s="36" t="s">
        <v>161</v>
      </c>
      <c r="C5" s="37">
        <v>33856</v>
      </c>
      <c r="D5" s="36">
        <f ca="1" t="shared" si="0"/>
        <v>29</v>
      </c>
      <c r="E5" s="36">
        <v>6</v>
      </c>
      <c r="F5" s="36">
        <v>6</v>
      </c>
      <c r="G5" s="36">
        <v>6</v>
      </c>
      <c r="H5" s="40">
        <f t="shared" si="1"/>
        <v>18</v>
      </c>
      <c r="I5" s="40">
        <f t="shared" si="2"/>
        <v>6</v>
      </c>
      <c r="J5" s="36" t="str">
        <f t="shared" si="3"/>
        <v>Đậu</v>
      </c>
      <c r="L5" t="str">
        <f t="shared" si="4"/>
        <v>Ngô Thị Nga</v>
      </c>
    </row>
    <row r="6" ht="19.2" spans="1:12">
      <c r="A6" s="36">
        <v>4</v>
      </c>
      <c r="B6" s="36" t="s">
        <v>162</v>
      </c>
      <c r="C6" s="37">
        <v>35061</v>
      </c>
      <c r="D6" s="36">
        <f ca="1" t="shared" si="0"/>
        <v>26</v>
      </c>
      <c r="E6" s="38">
        <v>2</v>
      </c>
      <c r="F6" s="36">
        <v>5</v>
      </c>
      <c r="G6" s="36">
        <v>5</v>
      </c>
      <c r="H6" s="40">
        <f t="shared" si="1"/>
        <v>12</v>
      </c>
      <c r="I6" s="40">
        <f t="shared" si="2"/>
        <v>3.8</v>
      </c>
      <c r="J6" s="36" t="str">
        <f t="shared" si="3"/>
        <v>Rớt</v>
      </c>
      <c r="L6" t="str">
        <f t="shared" si="4"/>
        <v>Trần Thiên Thu</v>
      </c>
    </row>
    <row r="7" ht="19.2" spans="1:12">
      <c r="A7" s="36">
        <v>5</v>
      </c>
      <c r="B7" s="36" t="s">
        <v>163</v>
      </c>
      <c r="C7" s="37">
        <v>32383</v>
      </c>
      <c r="D7" s="36">
        <f ca="1" t="shared" si="0"/>
        <v>33</v>
      </c>
      <c r="E7" s="36">
        <v>7</v>
      </c>
      <c r="F7" s="36">
        <v>5</v>
      </c>
      <c r="G7" s="36">
        <v>7</v>
      </c>
      <c r="H7" s="40">
        <f t="shared" si="1"/>
        <v>19</v>
      </c>
      <c r="I7" s="40">
        <f t="shared" si="2"/>
        <v>6.2</v>
      </c>
      <c r="J7" s="36" t="str">
        <f t="shared" si="3"/>
        <v>Đậu</v>
      </c>
      <c r="L7" t="str">
        <f t="shared" si="4"/>
        <v>Lâm Hoàng Cát</v>
      </c>
    </row>
    <row r="8" ht="19.2" spans="1:12">
      <c r="A8" s="36">
        <v>6</v>
      </c>
      <c r="B8" s="36" t="s">
        <v>164</v>
      </c>
      <c r="C8" s="37">
        <v>33176</v>
      </c>
      <c r="D8" s="36">
        <f ca="1" t="shared" si="0"/>
        <v>31</v>
      </c>
      <c r="E8" s="36">
        <v>8</v>
      </c>
      <c r="F8" s="36">
        <v>5</v>
      </c>
      <c r="G8" s="36">
        <v>7</v>
      </c>
      <c r="H8" s="40">
        <f t="shared" si="1"/>
        <v>20</v>
      </c>
      <c r="I8" s="40">
        <f t="shared" si="2"/>
        <v>6.6</v>
      </c>
      <c r="J8" s="36" t="str">
        <f t="shared" si="3"/>
        <v>Đậu</v>
      </c>
      <c r="L8" t="str">
        <f t="shared" si="4"/>
        <v>Lê Hoài Sơn</v>
      </c>
    </row>
    <row r="9" ht="19.2" spans="1:12">
      <c r="A9" s="36">
        <v>7</v>
      </c>
      <c r="B9" s="36" t="s">
        <v>165</v>
      </c>
      <c r="C9" s="37">
        <v>36102</v>
      </c>
      <c r="D9" s="36">
        <f ca="1" t="shared" si="0"/>
        <v>23</v>
      </c>
      <c r="E9" s="36">
        <v>9</v>
      </c>
      <c r="F9" s="36">
        <v>5</v>
      </c>
      <c r="G9" s="36">
        <v>8</v>
      </c>
      <c r="H9" s="40">
        <f t="shared" si="1"/>
        <v>22</v>
      </c>
      <c r="I9" s="40">
        <f t="shared" si="2"/>
        <v>7.2</v>
      </c>
      <c r="J9" s="36" t="str">
        <f t="shared" si="3"/>
        <v>Đậu</v>
      </c>
      <c r="L9" t="str">
        <f t="shared" si="4"/>
        <v>Lý Lâm</v>
      </c>
    </row>
    <row r="10" ht="19.2" spans="1:12">
      <c r="A10" s="36">
        <v>8</v>
      </c>
      <c r="B10" s="36" t="s">
        <v>166</v>
      </c>
      <c r="C10" s="37">
        <v>33140</v>
      </c>
      <c r="D10" s="36">
        <f ca="1" t="shared" si="0"/>
        <v>31</v>
      </c>
      <c r="E10" s="38">
        <v>4</v>
      </c>
      <c r="F10" s="36">
        <v>5</v>
      </c>
      <c r="G10" s="36">
        <v>6</v>
      </c>
      <c r="H10" s="40">
        <f t="shared" si="1"/>
        <v>15</v>
      </c>
      <c r="I10" s="40">
        <f t="shared" si="2"/>
        <v>4.8</v>
      </c>
      <c r="J10" s="36" t="str">
        <f t="shared" si="3"/>
        <v>Rớt</v>
      </c>
      <c r="L10" t="str">
        <f t="shared" si="4"/>
        <v>Trần Văn Trung</v>
      </c>
    </row>
    <row r="11" ht="19.2" spans="1:12">
      <c r="A11" s="36">
        <v>9</v>
      </c>
      <c r="B11" s="36" t="s">
        <v>167</v>
      </c>
      <c r="C11" s="37">
        <v>35045</v>
      </c>
      <c r="D11" s="36">
        <f ca="1" t="shared" si="0"/>
        <v>26</v>
      </c>
      <c r="E11" s="36">
        <v>6</v>
      </c>
      <c r="F11" s="36">
        <v>5</v>
      </c>
      <c r="G11" s="36">
        <v>5</v>
      </c>
      <c r="H11" s="40">
        <f t="shared" si="1"/>
        <v>16</v>
      </c>
      <c r="I11" s="40">
        <f t="shared" si="2"/>
        <v>5.4</v>
      </c>
      <c r="J11" s="36" t="str">
        <f t="shared" si="3"/>
        <v>Đậu</v>
      </c>
      <c r="L11" t="str">
        <f t="shared" si="4"/>
        <v>Nguyễn Văn Tráng</v>
      </c>
    </row>
    <row r="12" ht="19.2" spans="1:12">
      <c r="A12" s="36">
        <v>10</v>
      </c>
      <c r="B12" s="36" t="s">
        <v>168</v>
      </c>
      <c r="C12" s="37">
        <v>32446</v>
      </c>
      <c r="D12" s="36">
        <f ca="1" t="shared" si="0"/>
        <v>33</v>
      </c>
      <c r="E12" s="36">
        <v>8</v>
      </c>
      <c r="F12" s="39">
        <v>4</v>
      </c>
      <c r="G12" s="36">
        <v>6</v>
      </c>
      <c r="H12" s="40">
        <f t="shared" si="1"/>
        <v>18</v>
      </c>
      <c r="I12" s="40">
        <f t="shared" si="2"/>
        <v>6</v>
      </c>
      <c r="J12" s="36" t="str">
        <f t="shared" si="3"/>
        <v>Đậu</v>
      </c>
      <c r="L12" t="str">
        <f t="shared" si="4"/>
        <v>Lý Thu Nga</v>
      </c>
    </row>
    <row r="13" ht="19.2" spans="1:12">
      <c r="A13" s="36">
        <v>11</v>
      </c>
      <c r="B13" s="36" t="s">
        <v>169</v>
      </c>
      <c r="C13" s="37">
        <v>33137</v>
      </c>
      <c r="D13" s="36">
        <f ca="1" t="shared" si="0"/>
        <v>31</v>
      </c>
      <c r="E13" s="38">
        <v>4</v>
      </c>
      <c r="F13" s="39">
        <v>4</v>
      </c>
      <c r="G13" s="36">
        <v>6</v>
      </c>
      <c r="H13" s="40">
        <f t="shared" si="1"/>
        <v>14</v>
      </c>
      <c r="I13" s="40">
        <f t="shared" si="2"/>
        <v>4.4</v>
      </c>
      <c r="J13" s="36" t="str">
        <f t="shared" si="3"/>
        <v>Rớt</v>
      </c>
      <c r="L13" t="str">
        <f t="shared" si="4"/>
        <v>Nguyễn Văn Hùng</v>
      </c>
    </row>
    <row r="14" ht="19.2" spans="1:12">
      <c r="A14" s="36">
        <v>12</v>
      </c>
      <c r="B14" s="36" t="s">
        <v>170</v>
      </c>
      <c r="C14" s="37">
        <v>33480</v>
      </c>
      <c r="D14" s="36">
        <f ca="1" t="shared" si="0"/>
        <v>30</v>
      </c>
      <c r="E14" s="36">
        <v>7</v>
      </c>
      <c r="F14" s="36">
        <v>7</v>
      </c>
      <c r="G14" s="36">
        <v>6</v>
      </c>
      <c r="H14" s="40">
        <f t="shared" si="1"/>
        <v>20</v>
      </c>
      <c r="I14" s="40">
        <f t="shared" si="2"/>
        <v>6.8</v>
      </c>
      <c r="J14" s="36" t="str">
        <f t="shared" si="3"/>
        <v>Đậu</v>
      </c>
      <c r="L14" t="str">
        <f t="shared" si="4"/>
        <v>Trần Thi Phượng</v>
      </c>
    </row>
    <row r="15" ht="19.2" spans="1:12">
      <c r="A15" s="36">
        <v>13</v>
      </c>
      <c r="B15" s="36" t="s">
        <v>171</v>
      </c>
      <c r="C15" s="37">
        <v>34974</v>
      </c>
      <c r="D15" s="36">
        <f ca="1" t="shared" si="0"/>
        <v>26</v>
      </c>
      <c r="E15" s="36">
        <v>8</v>
      </c>
      <c r="F15" s="36">
        <v>8</v>
      </c>
      <c r="G15" s="36">
        <v>5</v>
      </c>
      <c r="H15" s="40">
        <f t="shared" si="1"/>
        <v>21</v>
      </c>
      <c r="I15" s="40">
        <f t="shared" si="2"/>
        <v>7.4</v>
      </c>
      <c r="J15" s="36" t="str">
        <f t="shared" si="3"/>
        <v>Đậu</v>
      </c>
      <c r="L15" t="str">
        <f t="shared" si="4"/>
        <v>Võ Công Thành</v>
      </c>
    </row>
    <row r="16" ht="19.2" spans="1:12">
      <c r="A16" s="36">
        <v>14</v>
      </c>
      <c r="B16" s="36" t="s">
        <v>172</v>
      </c>
      <c r="C16" s="37">
        <v>33126</v>
      </c>
      <c r="D16" s="36">
        <f ca="1" t="shared" si="0"/>
        <v>31</v>
      </c>
      <c r="E16" s="38">
        <v>3</v>
      </c>
      <c r="F16" s="36">
        <v>9</v>
      </c>
      <c r="G16" s="36">
        <v>8</v>
      </c>
      <c r="H16" s="40">
        <f t="shared" si="1"/>
        <v>20</v>
      </c>
      <c r="I16" s="40">
        <f t="shared" si="2"/>
        <v>6.4</v>
      </c>
      <c r="J16" s="36" t="str">
        <f t="shared" si="3"/>
        <v>Rớt</v>
      </c>
      <c r="L16" t="str">
        <f t="shared" si="4"/>
        <v>Lê Văn Minh</v>
      </c>
    </row>
    <row r="17" ht="19.2" spans="1:12">
      <c r="A17" s="36">
        <v>15</v>
      </c>
      <c r="B17" s="36" t="s">
        <v>173</v>
      </c>
      <c r="C17" s="37">
        <v>32983</v>
      </c>
      <c r="D17" s="36">
        <f ca="1" t="shared" si="0"/>
        <v>31</v>
      </c>
      <c r="E17" s="36">
        <v>5</v>
      </c>
      <c r="F17" s="36">
        <v>8</v>
      </c>
      <c r="G17" s="36">
        <v>9</v>
      </c>
      <c r="H17" s="40">
        <f t="shared" si="1"/>
        <v>22</v>
      </c>
      <c r="I17" s="40">
        <f t="shared" si="2"/>
        <v>7</v>
      </c>
      <c r="J17" s="36" t="str">
        <f t="shared" si="3"/>
        <v>Đậu</v>
      </c>
      <c r="L17" t="str">
        <f t="shared" si="4"/>
        <v>Doãn Hòa</v>
      </c>
    </row>
    <row r="18" ht="19.2" spans="1:10">
      <c r="A18" s="41" t="s">
        <v>174</v>
      </c>
      <c r="B18" s="41"/>
      <c r="D18" s="42"/>
      <c r="E18" s="36"/>
      <c r="F18" s="36"/>
      <c r="G18" s="36"/>
      <c r="H18" s="36"/>
      <c r="I18" s="36"/>
      <c r="J18" s="36"/>
    </row>
    <row r="19" ht="19.2" spans="1:10">
      <c r="A19" s="41" t="s">
        <v>175</v>
      </c>
      <c r="B19" s="41"/>
      <c r="C19" s="41"/>
      <c r="D19" s="41"/>
      <c r="E19" s="36"/>
      <c r="F19" s="36"/>
      <c r="G19" s="36"/>
      <c r="H19" s="36"/>
      <c r="I19" s="36"/>
      <c r="J19" s="36"/>
    </row>
    <row r="20" ht="19.2" spans="1:10">
      <c r="A20" s="41" t="s">
        <v>176</v>
      </c>
      <c r="B20" s="41"/>
      <c r="C20" s="41"/>
      <c r="D20" s="41"/>
      <c r="E20" s="36"/>
      <c r="F20" s="36"/>
      <c r="G20" s="36"/>
      <c r="H20" s="36"/>
      <c r="I20" s="36"/>
      <c r="J20" s="36"/>
    </row>
    <row r="21" ht="19.2" spans="1:10">
      <c r="A21" s="41" t="s">
        <v>177</v>
      </c>
      <c r="B21" s="41"/>
      <c r="C21" s="41"/>
      <c r="D21" s="41"/>
      <c r="E21" s="36"/>
      <c r="F21" s="36"/>
      <c r="G21" s="36"/>
      <c r="H21" s="36"/>
      <c r="I21" s="36"/>
      <c r="J21" s="36"/>
    </row>
    <row r="23" ht="21" spans="1:1">
      <c r="A23" s="43" t="s">
        <v>63</v>
      </c>
    </row>
    <row r="24" s="33" customFormat="1" ht="20.4" spans="1:1">
      <c r="A24" s="33" t="s">
        <v>178</v>
      </c>
    </row>
    <row r="25" s="33" customFormat="1" ht="20.4" spans="1:3">
      <c r="A25" s="33" t="s">
        <v>179</v>
      </c>
      <c r="C25" s="44"/>
    </row>
    <row r="26" s="33" customFormat="1" ht="20.4" spans="1:1">
      <c r="A26" s="33" t="s">
        <v>180</v>
      </c>
    </row>
    <row r="27" s="33" customFormat="1" ht="20.4" spans="1:1">
      <c r="A27" s="33" t="s">
        <v>181</v>
      </c>
    </row>
    <row r="28" s="33" customFormat="1" ht="20.4" spans="1:1">
      <c r="A28" s="33" t="s">
        <v>182</v>
      </c>
    </row>
    <row r="29" s="33" customFormat="1" ht="20.4" spans="1:1">
      <c r="A29" s="33" t="s">
        <v>183</v>
      </c>
    </row>
    <row r="30" s="33" customFormat="1" ht="20.4" spans="1:1">
      <c r="A30" s="33" t="s">
        <v>184</v>
      </c>
    </row>
    <row r="31" s="33" customFormat="1" ht="20.4" spans="1:1">
      <c r="A31" s="33" t="s">
        <v>185</v>
      </c>
    </row>
    <row r="32" ht="20.4" spans="1:1">
      <c r="A32" s="33" t="s">
        <v>186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opLeftCell="A9" workbookViewId="0">
      <selection activeCell="F3" sqref="F3"/>
    </sheetView>
  </sheetViews>
  <sheetFormatPr defaultColWidth="9" defaultRowHeight="14.4"/>
  <cols>
    <col min="1" max="1" width="9.85185185185185" customWidth="1"/>
    <col min="2" max="2" width="11.8518518518519" customWidth="1"/>
    <col min="3" max="3" width="13.1388888888889" customWidth="1"/>
    <col min="4" max="4" width="14.5740740740741" customWidth="1"/>
    <col min="5" max="5" width="16.287037037037" customWidth="1"/>
    <col min="6" max="6" width="19.1388888888889" customWidth="1"/>
    <col min="7" max="7" width="20.4259259259259" customWidth="1"/>
    <col min="8" max="8" width="13.8518518518519" customWidth="1"/>
    <col min="9" max="9" width="28" customWidth="1"/>
  </cols>
  <sheetData>
    <row r="1" ht="24.15" spans="1:9">
      <c r="A1" s="25" t="s">
        <v>187</v>
      </c>
      <c r="B1" s="25"/>
      <c r="C1" s="25"/>
      <c r="D1" s="25"/>
      <c r="E1" s="25"/>
      <c r="F1" s="25"/>
      <c r="G1" s="25"/>
      <c r="H1" s="25"/>
      <c r="I1" s="25"/>
    </row>
    <row r="2" ht="18.9" spans="1:9">
      <c r="A2" s="26" t="s">
        <v>188</v>
      </c>
      <c r="B2" s="26" t="s">
        <v>189</v>
      </c>
      <c r="C2" s="26" t="s">
        <v>190</v>
      </c>
      <c r="D2" s="26" t="s">
        <v>191</v>
      </c>
      <c r="E2" s="26" t="s">
        <v>192</v>
      </c>
      <c r="F2" s="26" t="s">
        <v>193</v>
      </c>
      <c r="G2" s="26" t="s">
        <v>194</v>
      </c>
      <c r="H2" s="26" t="s">
        <v>195</v>
      </c>
      <c r="I2" s="26" t="s">
        <v>196</v>
      </c>
    </row>
    <row r="3" ht="18.75" spans="1:9">
      <c r="A3" s="27"/>
      <c r="B3" s="27" t="s">
        <v>197</v>
      </c>
      <c r="C3" s="27">
        <v>8</v>
      </c>
      <c r="D3" s="27">
        <v>15</v>
      </c>
      <c r="E3" s="27">
        <v>9</v>
      </c>
      <c r="F3" s="28">
        <f>AVERAGE(C3:E3)</f>
        <v>10.6666666666667</v>
      </c>
      <c r="G3" s="27" t="str">
        <f>IF(F3&lt;10,"Fail",IF(AND(F3&gt;=10,F3&lt;12),"Pass",IF(AND(F3&gt;=12,F3&lt;14),"Good",IF(AND(F3&gt;=14,F3&lt;16),"Very Good","Excellent"))))</f>
        <v>Pass</v>
      </c>
      <c r="H3" s="27">
        <f>RANK(F3,$F$3:$F$13,0)</f>
        <v>8</v>
      </c>
      <c r="I3" s="27" t="str">
        <f>IF(AND(F3&gt;12,AND(E3&gt;=10,AND(D3&gt;=10,C3&gt;=10))),"Khóa học miễn phí 1 tháng","Không")</f>
        <v>Không</v>
      </c>
    </row>
    <row r="4" ht="18" spans="1:9">
      <c r="A4" s="27"/>
      <c r="B4" s="27" t="s">
        <v>198</v>
      </c>
      <c r="C4" s="27">
        <v>4</v>
      </c>
      <c r="D4" s="27">
        <v>15</v>
      </c>
      <c r="E4" s="27">
        <v>16</v>
      </c>
      <c r="F4" s="28">
        <f t="shared" ref="F4:F13" si="0">AVERAGE(C4:E4)</f>
        <v>11.6666666666667</v>
      </c>
      <c r="G4" s="27" t="str">
        <f t="shared" ref="G4:G13" si="1">IF(F4&lt;10,"Fail",IF(AND(F4&gt;=10,F4&lt;12),"Pass",IF(AND(F4&gt;=12,F4&lt;14),"Good",IF(AND(F4&gt;=14,F4&lt;16),"Very Good","Excellent"))))</f>
        <v>Pass</v>
      </c>
      <c r="H4" s="27">
        <f t="shared" ref="H4:H13" si="2">RANK(F4,$F$3:$F$13,0)</f>
        <v>5</v>
      </c>
      <c r="I4" s="27" t="str">
        <f t="shared" ref="I4:I13" si="3">IF(AND(F4&gt;12,AND(E4&gt;=10,AND(D4&gt;=10,C4&gt;=10))),"Khóa học miễn phí 1 tháng","Không")</f>
        <v>Không</v>
      </c>
    </row>
    <row r="5" ht="18" spans="1:9">
      <c r="A5" s="27"/>
      <c r="B5" s="27" t="s">
        <v>199</v>
      </c>
      <c r="C5" s="27">
        <v>11</v>
      </c>
      <c r="D5" s="27">
        <v>6</v>
      </c>
      <c r="E5" s="27">
        <v>8</v>
      </c>
      <c r="F5" s="28">
        <f t="shared" si="0"/>
        <v>8.33333333333333</v>
      </c>
      <c r="G5" s="27" t="str">
        <f t="shared" si="1"/>
        <v>Fail</v>
      </c>
      <c r="H5" s="27">
        <f t="shared" si="2"/>
        <v>10</v>
      </c>
      <c r="I5" s="27" t="str">
        <f t="shared" si="3"/>
        <v>Không</v>
      </c>
    </row>
    <row r="6" ht="18" spans="1:9">
      <c r="A6" s="27"/>
      <c r="B6" s="27" t="s">
        <v>200</v>
      </c>
      <c r="C6" s="27">
        <v>17</v>
      </c>
      <c r="D6" s="27">
        <v>16</v>
      </c>
      <c r="E6" s="27">
        <v>3</v>
      </c>
      <c r="F6" s="28">
        <f t="shared" si="0"/>
        <v>12</v>
      </c>
      <c r="G6" s="27" t="str">
        <f t="shared" si="1"/>
        <v>Good</v>
      </c>
      <c r="H6" s="27">
        <f t="shared" si="2"/>
        <v>4</v>
      </c>
      <c r="I6" s="27" t="str">
        <f t="shared" si="3"/>
        <v>Không</v>
      </c>
    </row>
    <row r="7" ht="18" spans="1:9">
      <c r="A7" s="27"/>
      <c r="B7" s="27" t="s">
        <v>201</v>
      </c>
      <c r="C7" s="27">
        <v>17</v>
      </c>
      <c r="D7" s="27">
        <v>18</v>
      </c>
      <c r="E7" s="27">
        <v>10</v>
      </c>
      <c r="F7" s="28">
        <f t="shared" si="0"/>
        <v>15</v>
      </c>
      <c r="G7" s="27" t="str">
        <f t="shared" si="1"/>
        <v>Very Good</v>
      </c>
      <c r="H7" s="27">
        <f t="shared" si="2"/>
        <v>2</v>
      </c>
      <c r="I7" s="27" t="str">
        <f t="shared" si="3"/>
        <v>Khóa học miễn phí 1 tháng</v>
      </c>
    </row>
    <row r="8" ht="18" spans="1:9">
      <c r="A8" s="27"/>
      <c r="B8" s="27" t="s">
        <v>202</v>
      </c>
      <c r="C8" s="27">
        <v>6</v>
      </c>
      <c r="D8" s="27">
        <v>5</v>
      </c>
      <c r="E8" s="27">
        <v>13</v>
      </c>
      <c r="F8" s="28">
        <f t="shared" si="0"/>
        <v>8</v>
      </c>
      <c r="G8" s="27" t="str">
        <f t="shared" si="1"/>
        <v>Fail</v>
      </c>
      <c r="H8" s="27">
        <f t="shared" si="2"/>
        <v>11</v>
      </c>
      <c r="I8" s="27" t="str">
        <f t="shared" si="3"/>
        <v>Không</v>
      </c>
    </row>
    <row r="9" ht="18" spans="1:9">
      <c r="A9" s="27"/>
      <c r="B9" s="27" t="s">
        <v>203</v>
      </c>
      <c r="C9" s="27">
        <v>18</v>
      </c>
      <c r="D9" s="27">
        <v>19</v>
      </c>
      <c r="E9" s="27">
        <v>15</v>
      </c>
      <c r="F9" s="28">
        <f t="shared" si="0"/>
        <v>17.3333333333333</v>
      </c>
      <c r="G9" s="27" t="str">
        <f t="shared" si="1"/>
        <v>Excellent</v>
      </c>
      <c r="H9" s="27">
        <f t="shared" si="2"/>
        <v>1</v>
      </c>
      <c r="I9" s="27" t="str">
        <f t="shared" si="3"/>
        <v>Khóa học miễn phí 1 tháng</v>
      </c>
    </row>
    <row r="10" ht="18" spans="1:9">
      <c r="A10" s="27"/>
      <c r="B10" s="27" t="s">
        <v>204</v>
      </c>
      <c r="C10" s="27">
        <v>15</v>
      </c>
      <c r="D10" s="27">
        <v>8</v>
      </c>
      <c r="E10" s="27">
        <v>6</v>
      </c>
      <c r="F10" s="28">
        <f t="shared" si="0"/>
        <v>9.66666666666667</v>
      </c>
      <c r="G10" s="27" t="str">
        <f t="shared" si="1"/>
        <v>Fail</v>
      </c>
      <c r="H10" s="27">
        <f t="shared" si="2"/>
        <v>9</v>
      </c>
      <c r="I10" s="27" t="str">
        <f t="shared" si="3"/>
        <v>Không</v>
      </c>
    </row>
    <row r="11" ht="18" spans="1:9">
      <c r="A11" s="27"/>
      <c r="B11" s="27" t="s">
        <v>205</v>
      </c>
      <c r="C11" s="27">
        <v>15</v>
      </c>
      <c r="D11" s="27">
        <v>4</v>
      </c>
      <c r="E11" s="27">
        <v>16</v>
      </c>
      <c r="F11" s="28">
        <f t="shared" si="0"/>
        <v>11.6666666666667</v>
      </c>
      <c r="G11" s="27" t="str">
        <f t="shared" si="1"/>
        <v>Pass</v>
      </c>
      <c r="H11" s="27">
        <f t="shared" si="2"/>
        <v>5</v>
      </c>
      <c r="I11" s="27" t="str">
        <f t="shared" si="3"/>
        <v>Không</v>
      </c>
    </row>
    <row r="12" ht="18" spans="1:9">
      <c r="A12" s="27"/>
      <c r="B12" s="27" t="s">
        <v>200</v>
      </c>
      <c r="C12" s="27">
        <v>6</v>
      </c>
      <c r="D12" s="27">
        <v>11</v>
      </c>
      <c r="E12" s="27">
        <v>18</v>
      </c>
      <c r="F12" s="28">
        <f t="shared" si="0"/>
        <v>11.6666666666667</v>
      </c>
      <c r="G12" s="27" t="str">
        <f t="shared" si="1"/>
        <v>Pass</v>
      </c>
      <c r="H12" s="27">
        <f t="shared" si="2"/>
        <v>5</v>
      </c>
      <c r="I12" s="27" t="str">
        <f t="shared" si="3"/>
        <v>Không</v>
      </c>
    </row>
    <row r="13" ht="18" spans="1:9">
      <c r="A13" s="27"/>
      <c r="B13" s="27" t="s">
        <v>206</v>
      </c>
      <c r="C13" s="27">
        <v>16</v>
      </c>
      <c r="D13" s="27">
        <v>17</v>
      </c>
      <c r="E13" s="27">
        <v>5</v>
      </c>
      <c r="F13" s="28">
        <f t="shared" si="0"/>
        <v>12.6666666666667</v>
      </c>
      <c r="G13" s="27" t="str">
        <f t="shared" si="1"/>
        <v>Good</v>
      </c>
      <c r="H13" s="27">
        <f t="shared" si="2"/>
        <v>3</v>
      </c>
      <c r="I13" s="27" t="str">
        <f t="shared" si="3"/>
        <v>Không</v>
      </c>
    </row>
    <row r="14" ht="18" spans="2:5">
      <c r="B14" s="29"/>
      <c r="C14" s="29"/>
      <c r="D14" s="29"/>
      <c r="E14" s="29"/>
    </row>
    <row r="15" ht="18" spans="1:3">
      <c r="A15" s="30" t="s">
        <v>136</v>
      </c>
      <c r="C15" s="29"/>
    </row>
    <row r="16" s="23" customFormat="1" ht="21" spans="1:2">
      <c r="A16" s="23" t="s">
        <v>207</v>
      </c>
      <c r="B16" s="31"/>
    </row>
    <row r="17" s="23" customFormat="1" ht="21" spans="1:1">
      <c r="A17" s="23" t="s">
        <v>208</v>
      </c>
    </row>
    <row r="18" s="23" customFormat="1" ht="21" spans="2:2">
      <c r="B18" s="23" t="s">
        <v>209</v>
      </c>
    </row>
    <row r="19" s="23" customFormat="1" ht="21" spans="2:3">
      <c r="B19" s="23" t="s">
        <v>210</v>
      </c>
      <c r="C19" s="32"/>
    </row>
    <row r="20" s="23" customFormat="1" ht="21" spans="2:3">
      <c r="B20" s="23" t="s">
        <v>211</v>
      </c>
      <c r="C20" s="32"/>
    </row>
    <row r="21" s="23" customFormat="1" ht="21" spans="2:3">
      <c r="B21" s="23" t="s">
        <v>212</v>
      </c>
      <c r="C21" s="32"/>
    </row>
    <row r="22" s="24" customFormat="1" ht="21" spans="2:3">
      <c r="B22" s="23" t="s">
        <v>213</v>
      </c>
      <c r="C22" s="32"/>
    </row>
    <row r="23" s="24" customFormat="1" ht="21" spans="1:3">
      <c r="A23" s="23" t="s">
        <v>214</v>
      </c>
      <c r="C23" s="32"/>
    </row>
    <row r="24" s="24" customFormat="1" ht="21" spans="1:1">
      <c r="A24" s="23" t="s">
        <v>215</v>
      </c>
    </row>
    <row r="25" s="24" customFormat="1" ht="21" spans="1:1">
      <c r="A25" s="23" t="s">
        <v>216</v>
      </c>
    </row>
  </sheetData>
  <mergeCells count="1">
    <mergeCell ref="A1:I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K10" sqref="K10"/>
    </sheetView>
  </sheetViews>
  <sheetFormatPr defaultColWidth="9" defaultRowHeight="15"/>
  <cols>
    <col min="1" max="1" width="20" style="1" customWidth="1"/>
    <col min="2" max="2" width="18" style="1" customWidth="1"/>
    <col min="3" max="4" width="9.13888888888889" style="1"/>
    <col min="5" max="5" width="17.5740740740741" style="1" customWidth="1"/>
    <col min="6" max="6" width="13.5740740740741" style="1" customWidth="1"/>
    <col min="7" max="7" width="14.5740740740741" style="1" customWidth="1"/>
    <col min="8" max="8" width="15.4259259259259" style="1" customWidth="1"/>
    <col min="9" max="9" width="9.13888888888889" style="1"/>
    <col min="10" max="10" width="14.287037037037" style="1" customWidth="1"/>
    <col min="11" max="16384" width="9.13888888888889" style="1"/>
  </cols>
  <sheetData>
    <row r="1" ht="21.75" spans="1:10">
      <c r="A1" s="2" t="s">
        <v>217</v>
      </c>
      <c r="B1" s="2"/>
      <c r="C1" s="2"/>
      <c r="D1" s="2"/>
      <c r="E1" s="2"/>
      <c r="F1" s="2"/>
      <c r="G1" s="2"/>
      <c r="H1" s="2"/>
      <c r="I1" s="2"/>
      <c r="J1" s="2"/>
    </row>
    <row r="2" ht="31.2" spans="1:10">
      <c r="A2" s="3" t="s">
        <v>218</v>
      </c>
      <c r="B2" s="4" t="s">
        <v>219</v>
      </c>
      <c r="C2" s="4" t="s">
        <v>220</v>
      </c>
      <c r="D2" s="4" t="s">
        <v>221</v>
      </c>
      <c r="E2" s="4" t="s">
        <v>222</v>
      </c>
      <c r="F2" s="4" t="s">
        <v>223</v>
      </c>
      <c r="G2" s="4" t="s">
        <v>224</v>
      </c>
      <c r="H2" s="4" t="s">
        <v>225</v>
      </c>
      <c r="I2" s="4" t="s">
        <v>226</v>
      </c>
      <c r="J2" s="22" t="s">
        <v>227</v>
      </c>
    </row>
    <row r="3" ht="19.5" customHeight="1" spans="1:10">
      <c r="A3" s="5" t="s">
        <v>228</v>
      </c>
      <c r="B3" s="6">
        <v>111223</v>
      </c>
      <c r="C3" s="7">
        <v>8</v>
      </c>
      <c r="D3" s="7">
        <v>7.1</v>
      </c>
      <c r="E3" s="7">
        <v>8.4</v>
      </c>
      <c r="F3" s="7"/>
      <c r="G3" s="7" t="s">
        <v>229</v>
      </c>
      <c r="H3" s="7"/>
      <c r="I3" s="7"/>
      <c r="J3" s="17"/>
    </row>
    <row r="4" ht="19.5" customHeight="1" spans="1:10">
      <c r="A4" s="5" t="s">
        <v>230</v>
      </c>
      <c r="B4" s="6">
        <v>444555666</v>
      </c>
      <c r="C4" s="7">
        <v>10</v>
      </c>
      <c r="D4" s="7">
        <v>7</v>
      </c>
      <c r="E4" s="7">
        <v>8</v>
      </c>
      <c r="F4" s="7"/>
      <c r="G4" s="7" t="s">
        <v>231</v>
      </c>
      <c r="H4" s="7"/>
      <c r="I4" s="7"/>
      <c r="J4" s="17"/>
    </row>
    <row r="5" ht="19.5" customHeight="1" spans="1:10">
      <c r="A5" s="5" t="s">
        <v>232</v>
      </c>
      <c r="B5" s="6">
        <v>777889999</v>
      </c>
      <c r="C5" s="7">
        <v>7</v>
      </c>
      <c r="D5" s="7">
        <v>7</v>
      </c>
      <c r="E5" s="7">
        <v>6</v>
      </c>
      <c r="F5" s="7"/>
      <c r="G5" s="7" t="s">
        <v>229</v>
      </c>
      <c r="H5" s="7"/>
      <c r="I5" s="7"/>
      <c r="J5" s="17"/>
    </row>
    <row r="6" ht="19.5" customHeight="1" spans="1:10">
      <c r="A6" s="5" t="s">
        <v>233</v>
      </c>
      <c r="B6" s="6">
        <v>123456789</v>
      </c>
      <c r="C6" s="7">
        <v>6.5</v>
      </c>
      <c r="D6" s="7">
        <v>6.5</v>
      </c>
      <c r="E6" s="7">
        <v>6</v>
      </c>
      <c r="F6" s="7"/>
      <c r="G6" s="7" t="s">
        <v>229</v>
      </c>
      <c r="H6" s="7"/>
      <c r="I6" s="7"/>
      <c r="J6" s="17"/>
    </row>
    <row r="7" ht="19.5" customHeight="1" spans="1:10">
      <c r="A7" s="5" t="s">
        <v>234</v>
      </c>
      <c r="B7" s="6">
        <v>999999999</v>
      </c>
      <c r="C7" s="7">
        <v>7</v>
      </c>
      <c r="D7" s="7">
        <v>7</v>
      </c>
      <c r="E7" s="7">
        <v>6</v>
      </c>
      <c r="F7" s="7"/>
      <c r="G7" s="7" t="s">
        <v>229</v>
      </c>
      <c r="H7" s="7"/>
      <c r="I7" s="7"/>
      <c r="J7" s="17"/>
    </row>
    <row r="8" ht="19.5" customHeight="1" spans="1:10">
      <c r="A8" s="5" t="s">
        <v>235</v>
      </c>
      <c r="B8" s="6">
        <v>888888888</v>
      </c>
      <c r="C8" s="7">
        <v>9</v>
      </c>
      <c r="D8" s="7">
        <v>9</v>
      </c>
      <c r="E8" s="7">
        <v>7</v>
      </c>
      <c r="F8" s="7"/>
      <c r="G8" s="7" t="s">
        <v>229</v>
      </c>
      <c r="H8" s="7"/>
      <c r="I8" s="7"/>
      <c r="J8" s="17"/>
    </row>
    <row r="9" ht="19.5" customHeight="1" spans="1:10">
      <c r="A9" s="5" t="s">
        <v>236</v>
      </c>
      <c r="B9" s="6">
        <v>100000000</v>
      </c>
      <c r="C9" s="7">
        <v>6</v>
      </c>
      <c r="D9" s="7">
        <v>4</v>
      </c>
      <c r="E9" s="7">
        <v>4</v>
      </c>
      <c r="F9" s="7"/>
      <c r="G9" s="7" t="s">
        <v>231</v>
      </c>
      <c r="H9" s="7"/>
      <c r="I9" s="7"/>
      <c r="J9" s="17"/>
    </row>
    <row r="10" ht="19.5" customHeight="1" spans="1:10">
      <c r="A10" s="5" t="s">
        <v>31</v>
      </c>
      <c r="B10" s="6">
        <v>222222222</v>
      </c>
      <c r="C10" s="7">
        <v>7.5</v>
      </c>
      <c r="D10" s="7">
        <v>7</v>
      </c>
      <c r="E10" s="7">
        <v>9.5</v>
      </c>
      <c r="F10" s="7"/>
      <c r="G10" s="7" t="s">
        <v>229</v>
      </c>
      <c r="H10" s="7"/>
      <c r="I10" s="7"/>
      <c r="J10" s="17"/>
    </row>
    <row r="11" ht="19.5" customHeight="1" spans="1:10">
      <c r="A11" s="5" t="s">
        <v>237</v>
      </c>
      <c r="B11" s="6">
        <v>200000000</v>
      </c>
      <c r="C11" s="7">
        <v>8</v>
      </c>
      <c r="D11" s="7">
        <v>9</v>
      </c>
      <c r="E11" s="7">
        <v>7</v>
      </c>
      <c r="F11" s="7"/>
      <c r="G11" s="7" t="s">
        <v>229</v>
      </c>
      <c r="H11" s="7"/>
      <c r="I11" s="7"/>
      <c r="J11" s="17"/>
    </row>
    <row r="12" ht="19.5" customHeight="1" spans="1:10">
      <c r="A12" s="5" t="s">
        <v>238</v>
      </c>
      <c r="B12" s="6">
        <v>444444444</v>
      </c>
      <c r="C12" s="7">
        <v>8.2</v>
      </c>
      <c r="D12" s="7">
        <v>7.8</v>
      </c>
      <c r="E12" s="7">
        <v>7.7</v>
      </c>
      <c r="F12" s="7"/>
      <c r="G12" s="7" t="s">
        <v>231</v>
      </c>
      <c r="H12" s="7"/>
      <c r="I12" s="7"/>
      <c r="J12" s="17"/>
    </row>
    <row r="13" ht="15.75" spans="1:10">
      <c r="A13" s="8" t="s">
        <v>239</v>
      </c>
      <c r="B13" s="9">
        <v>555555555</v>
      </c>
      <c r="C13" s="10">
        <v>6</v>
      </c>
      <c r="D13" s="10">
        <v>8.8</v>
      </c>
      <c r="E13" s="10">
        <v>5</v>
      </c>
      <c r="F13" s="7"/>
      <c r="G13" s="10" t="s">
        <v>231</v>
      </c>
      <c r="H13" s="7"/>
      <c r="I13" s="7"/>
      <c r="J13" s="17"/>
    </row>
    <row r="14" ht="19.5" customHeight="1"/>
    <row r="15" ht="15.15"/>
    <row r="16" ht="17.4" spans="1:8">
      <c r="A16" s="11" t="s">
        <v>240</v>
      </c>
      <c r="B16" s="12">
        <v>0.3</v>
      </c>
      <c r="C16" s="12">
        <v>0.3</v>
      </c>
      <c r="D16" s="13">
        <v>0.4</v>
      </c>
      <c r="E16" s="14" t="s">
        <v>241</v>
      </c>
      <c r="G16" s="15" t="s">
        <v>226</v>
      </c>
      <c r="H16" s="16"/>
    </row>
    <row r="17" ht="15.6" spans="1:8">
      <c r="A17" s="5" t="s">
        <v>242</v>
      </c>
      <c r="B17" s="7"/>
      <c r="C17" s="7"/>
      <c r="D17" s="17"/>
      <c r="E17" s="18"/>
      <c r="G17" s="7">
        <v>0</v>
      </c>
      <c r="H17" s="19" t="s">
        <v>243</v>
      </c>
    </row>
    <row r="18" ht="16.35" spans="1:8">
      <c r="A18" s="5" t="s">
        <v>244</v>
      </c>
      <c r="B18" s="7"/>
      <c r="C18" s="7"/>
      <c r="D18" s="17"/>
      <c r="E18" s="20">
        <v>3</v>
      </c>
      <c r="G18" s="7">
        <v>6</v>
      </c>
      <c r="H18" s="19" t="s">
        <v>245</v>
      </c>
    </row>
    <row r="19" ht="16.35" spans="1:8">
      <c r="A19" s="8" t="s">
        <v>246</v>
      </c>
      <c r="B19" s="10"/>
      <c r="C19" s="10"/>
      <c r="D19" s="21"/>
      <c r="G19" s="7">
        <v>7</v>
      </c>
      <c r="H19" s="19" t="s">
        <v>247</v>
      </c>
    </row>
    <row r="20" ht="15.6" spans="7:8">
      <c r="G20" s="7">
        <v>8</v>
      </c>
      <c r="H20" s="19" t="s">
        <v>248</v>
      </c>
    </row>
    <row r="21" ht="15.6" spans="7:8">
      <c r="G21" s="7">
        <v>9</v>
      </c>
      <c r="H21" s="19" t="s">
        <v>249</v>
      </c>
    </row>
    <row r="29" spans="7:7">
      <c r="G29" s="1" t="s">
        <v>250</v>
      </c>
    </row>
  </sheetData>
  <mergeCells count="3">
    <mergeCell ref="A1:J1"/>
    <mergeCell ref="G16:H16"/>
    <mergeCell ref="E16:E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acer</cp:lastModifiedBy>
  <dcterms:created xsi:type="dcterms:W3CDTF">2021-11-03T00:51:00Z</dcterms:created>
  <dcterms:modified xsi:type="dcterms:W3CDTF">2021-11-04T15:42:36Z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7E028ED1FCBA4819AC97F117F7905D25</vt:lpwstr>
  </property>
</Properties>
</file>