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МГТУ\6 семестр\Прикопт\Курсач\"/>
    </mc:Choice>
  </mc:AlternateContent>
  <bookViews>
    <workbookView xWindow="0" yWindow="0" windowWidth="16560" windowHeight="8310"/>
  </bookViews>
  <sheets>
    <sheet name="1. Расчёт" sheetId="1" r:id="rId1"/>
    <sheet name="2. Примеры призм" sheetId="2" r:id="rId2"/>
    <sheet name="3. Показатели преломл." sheetId="3" r:id="rId3"/>
    <sheet name="_шаблоны разметки_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4" i="1" l="1"/>
  <c r="I163" i="1"/>
  <c r="I161" i="1"/>
  <c r="I132" i="1" l="1"/>
  <c r="I128" i="1"/>
  <c r="I124" i="1"/>
  <c r="I130" i="1" s="1"/>
  <c r="I113" i="1" l="1"/>
  <c r="I111" i="1"/>
  <c r="I37" i="1"/>
  <c r="I38" i="1" s="1"/>
  <c r="I3" i="1"/>
  <c r="K3" i="1" s="1"/>
  <c r="I7" i="1" s="1"/>
  <c r="I9" i="1" s="1"/>
  <c r="I11" i="1" s="1"/>
  <c r="I15" i="1" l="1"/>
  <c r="I13" i="1"/>
  <c r="I34" i="1"/>
  <c r="I135" i="1" l="1"/>
  <c r="J223" i="1"/>
  <c r="J225" i="1"/>
  <c r="I57" i="1"/>
  <c r="I63" i="1"/>
  <c r="I17" i="1"/>
  <c r="I19" i="1" s="1"/>
  <c r="I23" i="1"/>
  <c r="I25" i="1" s="1"/>
  <c r="I28" i="1"/>
  <c r="I99" i="1" s="1"/>
  <c r="I31" i="1" l="1"/>
  <c r="J51" i="1"/>
  <c r="J49" i="1"/>
  <c r="J47" i="1"/>
  <c r="J53" i="1"/>
  <c r="I55" i="1" s="1"/>
  <c r="I115" i="1" s="1"/>
  <c r="I229" i="1" l="1"/>
  <c r="I139" i="1"/>
  <c r="I221" i="1"/>
  <c r="I137" i="1"/>
  <c r="I141" i="1"/>
  <c r="I65" i="1"/>
  <c r="J67" i="1" s="1"/>
  <c r="I107" i="1"/>
  <c r="I109" i="1" s="1"/>
  <c r="I94" i="1"/>
  <c r="I59" i="1"/>
  <c r="I73" i="1" s="1"/>
  <c r="M78" i="1" s="1"/>
  <c r="I177" i="1" l="1"/>
  <c r="T144" i="1"/>
  <c r="U144" i="1" a="1"/>
  <c r="U144" i="1" s="1"/>
  <c r="T150" i="1" a="1"/>
  <c r="T150" i="1" s="1"/>
  <c r="I147" i="1" s="1"/>
  <c r="I149" i="1" s="1"/>
  <c r="I151" i="1" s="1"/>
  <c r="K145" i="1"/>
  <c r="K143" i="1"/>
  <c r="I69" i="1"/>
  <c r="I75" i="1" s="1"/>
  <c r="N78" i="1" s="1"/>
  <c r="O78" i="1"/>
  <c r="I77" i="1" l="1"/>
  <c r="I81" i="1" s="1"/>
  <c r="I153" i="1"/>
  <c r="I165" i="1" s="1"/>
  <c r="I179" i="1" s="1"/>
  <c r="I85" i="1"/>
  <c r="I83" i="1"/>
  <c r="I87" i="1"/>
  <c r="I89" i="1"/>
  <c r="I91" i="1" s="1"/>
  <c r="I211" i="1" l="1"/>
  <c r="I217" i="1" s="1"/>
  <c r="I197" i="1"/>
  <c r="I207" i="1"/>
  <c r="I213" i="1" s="1"/>
  <c r="I195" i="1"/>
  <c r="I209" i="1"/>
  <c r="I215" i="1" s="1"/>
  <c r="I201" i="1" l="1"/>
  <c r="I235" i="1" s="1"/>
  <c r="I231" i="1"/>
  <c r="I233" i="1" s="1"/>
  <c r="I205" i="1"/>
  <c r="I239" i="1" s="1"/>
  <c r="I203" i="1"/>
  <c r="I237" i="1" s="1"/>
</calcChain>
</file>

<file path=xl/sharedStrings.xml><?xml version="1.0" encoding="utf-8"?>
<sst xmlns="http://schemas.openxmlformats.org/spreadsheetml/2006/main" count="293" uniqueCount="181">
  <si>
    <t>Начальные данные</t>
  </si>
  <si>
    <t>H</t>
  </si>
  <si>
    <t>D1</t>
  </si>
  <si>
    <t>D2</t>
  </si>
  <si>
    <t>Dmin</t>
  </si>
  <si>
    <t>L</t>
  </si>
  <si>
    <t>Габаритный расчет</t>
  </si>
  <si>
    <r>
      <t xml:space="preserve">Угловой размер </t>
    </r>
    <r>
      <rPr>
        <sz val="11"/>
        <color theme="1"/>
        <rFont val="Calibri"/>
        <family val="2"/>
        <charset val="204"/>
      </rPr>
      <t>ѱ'</t>
    </r>
  </si>
  <si>
    <t>Угловой размер ѱ</t>
  </si>
  <si>
    <t>(рад)</t>
  </si>
  <si>
    <t>13'45''</t>
  </si>
  <si>
    <t>Расстояние до объекта l</t>
  </si>
  <si>
    <t>(км)</t>
  </si>
  <si>
    <t>(м)</t>
  </si>
  <si>
    <t>(мм)</t>
  </si>
  <si>
    <r>
      <t>Округленное вид. увел. |Г</t>
    </r>
    <r>
      <rPr>
        <sz val="10"/>
        <color theme="1"/>
        <rFont val="Calibri"/>
        <family val="2"/>
        <charset val="204"/>
        <scheme val="minor"/>
      </rPr>
      <t>т</t>
    </r>
    <r>
      <rPr>
        <sz val="11"/>
        <color theme="1"/>
        <rFont val="Calibri"/>
        <family val="2"/>
        <charset val="204"/>
        <scheme val="minor"/>
      </rPr>
      <t>|</t>
    </r>
  </si>
  <si>
    <r>
      <t>Видимое увеличение |Г</t>
    </r>
    <r>
      <rPr>
        <sz val="10"/>
        <color theme="1"/>
        <rFont val="Calibri"/>
        <family val="2"/>
        <charset val="204"/>
        <scheme val="minor"/>
      </rPr>
      <t>т</t>
    </r>
    <r>
      <rPr>
        <sz val="11"/>
        <color theme="1"/>
        <rFont val="Calibri"/>
        <family val="2"/>
        <charset val="204"/>
        <scheme val="minor"/>
      </rPr>
      <t>|</t>
    </r>
  </si>
  <si>
    <t>Вид. увел. с минусом -Гт</t>
  </si>
  <si>
    <t>(град)</t>
  </si>
  <si>
    <t>Внимание! Число слева только в градусах, без минут (как в методичке)!</t>
  </si>
  <si>
    <r>
      <t>tg</t>
    </r>
    <r>
      <rPr>
        <sz val="11"/>
        <color theme="1"/>
        <rFont val="Calibri"/>
        <family val="2"/>
        <charset val="204"/>
      </rPr>
      <t>ω</t>
    </r>
  </si>
  <si>
    <t>Угловое поле в простр. предметов 2ω</t>
  </si>
  <si>
    <t>Округленное угл. поле 2ω</t>
  </si>
  <si>
    <t>Определение основных характеристик</t>
  </si>
  <si>
    <t>(мин. и сек.)</t>
  </si>
  <si>
    <t>tgω'</t>
  </si>
  <si>
    <t>Угловое поле окуляра 2ω'</t>
  </si>
  <si>
    <t>1. Определение углового поля окуляра</t>
  </si>
  <si>
    <t>2. Определение фокусного расстояния окуляра</t>
  </si>
  <si>
    <r>
      <t>Фокусное расстояние окуляра f'</t>
    </r>
    <r>
      <rPr>
        <sz val="10"/>
        <color theme="1"/>
        <rFont val="Calibri"/>
        <family val="2"/>
        <charset val="204"/>
        <scheme val="minor"/>
      </rPr>
      <t>ок</t>
    </r>
  </si>
  <si>
    <r>
      <t>Фокусное расстояние объектива f'</t>
    </r>
    <r>
      <rPr>
        <sz val="10"/>
        <color theme="1"/>
        <rFont val="Calibri"/>
        <family val="2"/>
        <charset val="204"/>
        <scheme val="minor"/>
      </rPr>
      <t>об</t>
    </r>
  </si>
  <si>
    <t>3. Определение фокусного расстояния объектива</t>
  </si>
  <si>
    <t>4. Вычисление диаметра входного зрачка</t>
  </si>
  <si>
    <t>Диаметр входного зрачка D</t>
  </si>
  <si>
    <t>D'</t>
  </si>
  <si>
    <t>5. Габаритный расчет призмы</t>
  </si>
  <si>
    <r>
      <t xml:space="preserve">Угол к горизонту </t>
    </r>
    <r>
      <rPr>
        <sz val="11"/>
        <color theme="1"/>
        <rFont val="Calibri"/>
        <family val="2"/>
        <charset val="204"/>
      </rPr>
      <t>ϴ</t>
    </r>
  </si>
  <si>
    <t>Примеры призм для расчета можно найти на втором листе этого файла.</t>
  </si>
  <si>
    <t>АКР-60 (из методички)</t>
  </si>
  <si>
    <t>АКР-45</t>
  </si>
  <si>
    <t>АКР-90</t>
  </si>
  <si>
    <t>Расстояние от фок. плоск. окуляра до призмы</t>
  </si>
  <si>
    <t>для 1 дптр</t>
  </si>
  <si>
    <t>для 10 дптр</t>
  </si>
  <si>
    <t>для 20 дптр</t>
  </si>
  <si>
    <t>Здесь надо выбрать число дптр между 10 и 20 (в методичке, например, 14).</t>
  </si>
  <si>
    <r>
      <t>h</t>
    </r>
    <r>
      <rPr>
        <sz val="8"/>
        <color theme="1"/>
        <rFont val="Calibri"/>
        <family val="2"/>
        <charset val="204"/>
        <scheme val="minor"/>
      </rPr>
      <t>1</t>
    </r>
  </si>
  <si>
    <r>
      <t>tg</t>
    </r>
    <r>
      <rPr>
        <sz val="11"/>
        <color theme="1"/>
        <rFont val="Calibri"/>
        <family val="2"/>
        <charset val="204"/>
      </rPr>
      <t>σ</t>
    </r>
    <r>
      <rPr>
        <sz val="8"/>
        <color theme="1"/>
        <rFont val="Calibri"/>
        <family val="2"/>
        <charset val="204"/>
      </rPr>
      <t>2</t>
    </r>
  </si>
  <si>
    <r>
      <t>m</t>
    </r>
    <r>
      <rPr>
        <sz val="8"/>
        <color theme="1"/>
        <rFont val="Calibri"/>
        <family val="2"/>
        <charset val="204"/>
        <scheme val="minor"/>
      </rPr>
      <t>1</t>
    </r>
  </si>
  <si>
    <r>
      <t>Коэф. виньетирования k</t>
    </r>
    <r>
      <rPr>
        <sz val="8"/>
        <color theme="1"/>
        <rFont val="Calibri"/>
        <family val="2"/>
        <charset val="204"/>
      </rPr>
      <t>ω</t>
    </r>
  </si>
  <si>
    <r>
      <t>k</t>
    </r>
    <r>
      <rPr>
        <sz val="8"/>
        <color theme="1"/>
        <rFont val="Calibri"/>
        <family val="2"/>
        <charset val="204"/>
        <scheme val="minor"/>
      </rPr>
      <t>ω</t>
    </r>
  </si>
  <si>
    <t>Ф1 (оптическая сила компонента 1) - это дробь, в числителе которой 1, а в знаменателе фокусн. расст. объектива.</t>
  </si>
  <si>
    <t>Хз откуда берем коэф. виньетирования, но в методичке 0,5.</t>
  </si>
  <si>
    <r>
      <t>tgω</t>
    </r>
    <r>
      <rPr>
        <sz val="8"/>
        <color theme="1"/>
        <rFont val="Calibri"/>
        <family val="2"/>
        <charset val="204"/>
        <scheme val="minor"/>
      </rPr>
      <t>2</t>
    </r>
  </si>
  <si>
    <r>
      <t>Диаметр отверстия на вх. грани призмы D'</t>
    </r>
    <r>
      <rPr>
        <sz val="8"/>
        <color theme="1"/>
        <rFont val="Calibri"/>
        <family val="2"/>
        <charset val="204"/>
        <scheme val="minor"/>
      </rPr>
      <t>2</t>
    </r>
  </si>
  <si>
    <t>Число перед Dпр в а призмы</t>
  </si>
  <si>
    <t>Число перед Dпр в c призмы</t>
  </si>
  <si>
    <t>Число перед Dпр в h призмы</t>
  </si>
  <si>
    <t>Число перед Dпр в d призмы</t>
  </si>
  <si>
    <t>s'</t>
  </si>
  <si>
    <t>D'1</t>
  </si>
  <si>
    <r>
      <t>D''</t>
    </r>
    <r>
      <rPr>
        <sz val="8"/>
        <color theme="1"/>
        <rFont val="Calibri"/>
        <family val="2"/>
        <charset val="204"/>
        <scheme val="minor"/>
      </rPr>
      <t>1</t>
    </r>
  </si>
  <si>
    <r>
      <t>D'</t>
    </r>
    <r>
      <rPr>
        <sz val="8"/>
        <color theme="1"/>
        <rFont val="Calibri"/>
        <family val="2"/>
        <charset val="204"/>
        <scheme val="minor"/>
      </rPr>
      <t>1</t>
    </r>
  </si>
  <si>
    <r>
      <t>Показатель преломления n</t>
    </r>
    <r>
      <rPr>
        <sz val="8"/>
        <color theme="1"/>
        <rFont val="Calibri"/>
        <family val="2"/>
        <charset val="204"/>
        <scheme val="minor"/>
      </rPr>
      <t>e</t>
    </r>
  </si>
  <si>
    <r>
      <t>n</t>
    </r>
    <r>
      <rPr>
        <sz val="8"/>
        <color theme="1"/>
        <rFont val="Calibri"/>
        <family val="2"/>
        <charset val="204"/>
        <scheme val="minor"/>
      </rPr>
      <t>e</t>
    </r>
  </si>
  <si>
    <t>Выбираем в зависимости от стекла призмы, которые можно найти на третьем листе этого файла (в методичке К8).</t>
  </si>
  <si>
    <t>Наибольшее из расчитанных диаметров D</t>
  </si>
  <si>
    <r>
      <t>D</t>
    </r>
    <r>
      <rPr>
        <sz val="8"/>
        <color theme="1"/>
        <rFont val="Calibri"/>
        <family val="2"/>
        <charset val="204"/>
        <scheme val="minor"/>
      </rPr>
      <t>пр</t>
    </r>
  </si>
  <si>
    <t>D'1 или D''1 или D'2</t>
  </si>
  <si>
    <t>D''1</t>
  </si>
  <si>
    <t>D'2</t>
  </si>
  <si>
    <t>На фаску</t>
  </si>
  <si>
    <t>3-4 мм</t>
  </si>
  <si>
    <t>а призмы</t>
  </si>
  <si>
    <t>c призмы</t>
  </si>
  <si>
    <t>h призмы</t>
  </si>
  <si>
    <t>d призмы</t>
  </si>
  <si>
    <r>
      <t>e</t>
    </r>
    <r>
      <rPr>
        <sz val="8"/>
        <color theme="1"/>
        <rFont val="Calibri"/>
        <family val="2"/>
        <charset val="204"/>
        <scheme val="minor"/>
      </rPr>
      <t>1</t>
    </r>
  </si>
  <si>
    <t>6. Определение диаметра полевой диафрагмы</t>
  </si>
  <si>
    <r>
      <t>Диаметр полевой диафрагмы D</t>
    </r>
    <r>
      <rPr>
        <sz val="8"/>
        <color theme="1"/>
        <rFont val="Calibri"/>
        <family val="2"/>
        <charset val="204"/>
        <scheme val="minor"/>
      </rPr>
      <t>п.д.</t>
    </r>
  </si>
  <si>
    <t>7. Выбор окуляра</t>
  </si>
  <si>
    <r>
      <t>Фокусное расстояние по каталогу f'</t>
    </r>
    <r>
      <rPr>
        <sz val="8"/>
        <color theme="1"/>
        <rFont val="Calibri"/>
        <family val="2"/>
        <charset val="204"/>
        <scheme val="minor"/>
      </rPr>
      <t>кат</t>
    </r>
  </si>
  <si>
    <r>
      <t>Коэф. пересчета k</t>
    </r>
    <r>
      <rPr>
        <sz val="8"/>
        <color theme="1"/>
        <rFont val="Calibri"/>
        <family val="2"/>
        <charset val="204"/>
        <scheme val="minor"/>
      </rPr>
      <t>f'</t>
    </r>
  </si>
  <si>
    <r>
      <t>S</t>
    </r>
    <r>
      <rPr>
        <sz val="8"/>
        <color theme="1"/>
        <rFont val="Calibri"/>
        <family val="2"/>
        <charset val="204"/>
        <scheme val="minor"/>
      </rPr>
      <t>F</t>
    </r>
  </si>
  <si>
    <r>
      <t>S'</t>
    </r>
    <r>
      <rPr>
        <sz val="8"/>
        <color theme="1"/>
        <rFont val="Calibri"/>
        <family val="2"/>
        <charset val="204"/>
        <scheme val="minor"/>
      </rPr>
      <t>F'</t>
    </r>
  </si>
  <si>
    <r>
      <t>f'</t>
    </r>
    <r>
      <rPr>
        <sz val="8"/>
        <color theme="1"/>
        <rFont val="Calibri"/>
        <family val="2"/>
        <charset val="204"/>
        <scheme val="minor"/>
      </rPr>
      <t>ок</t>
    </r>
  </si>
  <si>
    <t>Рассчитываем данные для выбранного окуляра в Опале.</t>
  </si>
  <si>
    <t>Выбираем окуляр, наиболее нам близкий по угловому полю.</t>
  </si>
  <si>
    <r>
      <t>S'</t>
    </r>
    <r>
      <rPr>
        <sz val="8"/>
        <color theme="1"/>
        <rFont val="Calibri"/>
        <family val="2"/>
        <charset val="204"/>
        <scheme val="minor"/>
      </rPr>
      <t>P'</t>
    </r>
  </si>
  <si>
    <r>
      <t>S'</t>
    </r>
    <r>
      <rPr>
        <sz val="8"/>
        <color theme="1"/>
        <rFont val="Calibri"/>
        <family val="2"/>
        <charset val="204"/>
        <scheme val="minor"/>
      </rPr>
      <t xml:space="preserve">F' </t>
    </r>
    <r>
      <rPr>
        <sz val="11"/>
        <color theme="1"/>
        <rFont val="Calibri"/>
        <family val="2"/>
        <charset val="204"/>
        <scheme val="minor"/>
      </rPr>
      <t>в обратном ходе</t>
    </r>
  </si>
  <si>
    <r>
      <t>S</t>
    </r>
    <r>
      <rPr>
        <sz val="8"/>
        <color theme="1"/>
        <rFont val="Calibri"/>
        <family val="2"/>
        <charset val="204"/>
        <scheme val="minor"/>
      </rPr>
      <t xml:space="preserve">P </t>
    </r>
    <r>
      <rPr>
        <sz val="11"/>
        <color theme="1"/>
        <rFont val="Calibri"/>
        <family val="2"/>
        <charset val="204"/>
        <scheme val="minor"/>
      </rPr>
      <t>в обратном ходе</t>
    </r>
  </si>
  <si>
    <r>
      <t>S</t>
    </r>
    <r>
      <rPr>
        <sz val="8"/>
        <color theme="1"/>
        <rFont val="Calibri"/>
        <family val="2"/>
        <charset val="204"/>
        <scheme val="minor"/>
      </rPr>
      <t xml:space="preserve">F </t>
    </r>
    <r>
      <rPr>
        <sz val="11"/>
        <color theme="1"/>
        <rFont val="Calibri"/>
        <family val="2"/>
        <charset val="204"/>
        <scheme val="minor"/>
      </rPr>
      <t>в обратном ходе</t>
    </r>
  </si>
  <si>
    <r>
      <t>Толщина воздушного промежутка d</t>
    </r>
    <r>
      <rPr>
        <sz val="8"/>
        <color theme="1"/>
        <rFont val="Calibri"/>
        <family val="2"/>
        <charset val="204"/>
        <scheme val="minor"/>
      </rPr>
      <t>8</t>
    </r>
  </si>
  <si>
    <t>Расчёт требуемых значений аберраций объектива</t>
  </si>
  <si>
    <r>
      <t xml:space="preserve">Прод. сфер. аберр. для края зрачка </t>
    </r>
    <r>
      <rPr>
        <sz val="11"/>
        <color theme="1"/>
        <rFont val="Calibri"/>
        <family val="2"/>
        <charset val="204"/>
      </rPr>
      <t>∆s'</t>
    </r>
  </si>
  <si>
    <r>
      <t>Кома верхняя</t>
    </r>
    <r>
      <rPr>
        <sz val="11"/>
        <color theme="1"/>
        <rFont val="Calibri"/>
        <family val="2"/>
        <charset val="204"/>
      </rPr>
      <t/>
    </r>
  </si>
  <si>
    <t>Кома нижняя</t>
  </si>
  <si>
    <r>
      <t xml:space="preserve">Хром. аберрация положения </t>
    </r>
    <r>
      <rPr>
        <sz val="12"/>
        <color theme="1"/>
        <rFont val="Calibri"/>
        <family val="2"/>
        <charset val="204"/>
        <scheme val="minor"/>
      </rPr>
      <t>∆s</t>
    </r>
    <r>
      <rPr>
        <sz val="8"/>
        <color theme="1"/>
        <rFont val="Calibri"/>
        <family val="2"/>
        <charset val="204"/>
      </rPr>
      <t>λ1,λ2</t>
    </r>
    <r>
      <rPr>
        <sz val="11"/>
        <color theme="1"/>
        <rFont val="Calibri"/>
        <family val="2"/>
        <charset val="204"/>
        <scheme val="minor"/>
      </rPr>
      <t>'</t>
    </r>
  </si>
  <si>
    <r>
      <t>(общая) Мерид. кома для края поля и края зрачка ∆y</t>
    </r>
    <r>
      <rPr>
        <sz val="8"/>
        <color theme="1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204"/>
        <scheme val="minor"/>
      </rPr>
      <t>'</t>
    </r>
  </si>
  <si>
    <r>
      <rPr>
        <b/>
        <sz val="11"/>
        <color theme="1"/>
        <rFont val="Calibri"/>
        <family val="2"/>
        <charset val="204"/>
        <scheme val="minor"/>
      </rPr>
      <t>Требуемая</t>
    </r>
    <r>
      <rPr>
        <sz val="11"/>
        <color theme="1"/>
        <rFont val="Calibri"/>
        <family val="2"/>
        <charset val="204"/>
        <scheme val="minor"/>
      </rPr>
      <t xml:space="preserve"> прод. сфер. аберр. ∆s'</t>
    </r>
  </si>
  <si>
    <r>
      <rPr>
        <b/>
        <sz val="11"/>
        <color theme="1"/>
        <rFont val="Calibri"/>
        <family val="2"/>
        <charset val="204"/>
        <scheme val="minor"/>
      </rPr>
      <t>Требуемая</t>
    </r>
    <r>
      <rPr>
        <sz val="11"/>
        <color theme="1"/>
        <rFont val="Calibri"/>
        <family val="2"/>
        <charset val="204"/>
        <scheme val="minor"/>
      </rPr>
      <t xml:space="preserve"> кома ∆y</t>
    </r>
    <r>
      <rPr>
        <sz val="8"/>
        <color theme="1"/>
        <rFont val="Calibri"/>
        <family val="2"/>
        <charset val="204"/>
        <scheme val="minor"/>
      </rPr>
      <t>к</t>
    </r>
    <r>
      <rPr>
        <sz val="11"/>
        <color theme="1"/>
        <rFont val="Calibri"/>
        <family val="2"/>
        <charset val="204"/>
        <scheme val="minor"/>
      </rPr>
      <t>'</t>
    </r>
  </si>
  <si>
    <r>
      <rPr>
        <b/>
        <sz val="11"/>
        <color theme="1"/>
        <rFont val="Calibri"/>
        <family val="2"/>
        <charset val="204"/>
        <scheme val="minor"/>
      </rPr>
      <t>Требуемая</t>
    </r>
    <r>
      <rPr>
        <sz val="11"/>
        <color theme="1"/>
        <rFont val="Calibri"/>
        <family val="2"/>
        <charset val="204"/>
        <scheme val="minor"/>
      </rPr>
      <t xml:space="preserve"> хром. аберр. аоложения ∆</t>
    </r>
    <r>
      <rPr>
        <sz val="8"/>
        <color theme="1"/>
        <rFont val="Calibri"/>
        <family val="2"/>
        <charset val="204"/>
        <scheme val="minor"/>
      </rPr>
      <t>sλ1,λ2</t>
    </r>
    <r>
      <rPr>
        <sz val="11"/>
        <color theme="1"/>
        <rFont val="Calibri"/>
        <family val="2"/>
        <charset val="204"/>
        <scheme val="minor"/>
      </rPr>
      <t>'</t>
    </r>
  </si>
  <si>
    <t>Синтез двухлинзового склеенного объектива</t>
  </si>
  <si>
    <t>Осн. параметр сфер. аберрации P</t>
  </si>
  <si>
    <t>Осн. параметр комы W</t>
  </si>
  <si>
    <t>Осн. хромат. параметр C</t>
  </si>
  <si>
    <t>m</t>
  </si>
  <si>
    <t>Мб я слепой, но я не нашел конкретной формулы для расчета m. Вроде как это половина входного зрачка. Еще его можно найти в опале.</t>
  </si>
  <si>
    <r>
      <t>Параметр P</t>
    </r>
    <r>
      <rPr>
        <sz val="8"/>
        <color theme="1"/>
        <rFont val="Calibri"/>
        <family val="2"/>
        <charset val="204"/>
        <scheme val="minor"/>
      </rPr>
      <t>0 (</t>
    </r>
    <r>
      <rPr>
        <sz val="11"/>
        <color theme="1"/>
        <rFont val="Calibri"/>
        <family val="2"/>
        <charset val="204"/>
        <scheme val="minor"/>
      </rPr>
      <t>"крон впереди"</t>
    </r>
    <r>
      <rPr>
        <sz val="8"/>
        <color theme="1"/>
        <rFont val="Calibri"/>
        <family val="2"/>
        <charset val="204"/>
        <scheme val="minor"/>
      </rPr>
      <t>)</t>
    </r>
  </si>
  <si>
    <r>
      <t>Параметр P</t>
    </r>
    <r>
      <rPr>
        <sz val="8"/>
        <color theme="1"/>
        <rFont val="Calibri"/>
        <family val="2"/>
        <charset val="204"/>
        <scheme val="minor"/>
      </rPr>
      <t>0 (</t>
    </r>
    <r>
      <rPr>
        <sz val="11"/>
        <color theme="1"/>
        <rFont val="Calibri"/>
        <family val="2"/>
        <charset val="204"/>
        <scheme val="minor"/>
      </rPr>
      <t>"флинт впереди"</t>
    </r>
    <r>
      <rPr>
        <sz val="8"/>
        <color theme="1"/>
        <rFont val="Calibri"/>
        <family val="2"/>
        <charset val="204"/>
        <scheme val="minor"/>
      </rPr>
      <t>)</t>
    </r>
  </si>
  <si>
    <t>Нам нужен параметр, где ячейка зелёная!</t>
  </si>
  <si>
    <r>
      <t>C</t>
    </r>
    <r>
      <rPr>
        <sz val="8"/>
        <color theme="1"/>
        <rFont val="Calibri"/>
        <family val="2"/>
        <charset val="204"/>
        <scheme val="minor"/>
      </rPr>
      <t>0</t>
    </r>
  </si>
  <si>
    <r>
      <t>C</t>
    </r>
    <r>
      <rPr>
        <sz val="8"/>
        <color theme="1"/>
        <rFont val="Calibri"/>
        <family val="2"/>
        <charset val="204"/>
        <scheme val="minor"/>
      </rPr>
      <t>1</t>
    </r>
  </si>
  <si>
    <r>
      <t>C</t>
    </r>
    <r>
      <rPr>
        <sz val="8"/>
        <color theme="1"/>
        <rFont val="Calibri"/>
        <family val="2"/>
        <charset val="204"/>
        <scheme val="minor"/>
      </rPr>
      <t>2</t>
    </r>
  </si>
  <si>
    <t>Вспомогательный параметр u</t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</si>
  <si>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 xml:space="preserve"> для C</t>
    </r>
    <r>
      <rPr>
        <sz val="8"/>
        <color theme="1"/>
        <rFont val="Calibri"/>
        <family val="2"/>
        <charset val="204"/>
        <scheme val="minor"/>
      </rPr>
      <t>0</t>
    </r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</si>
  <si>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 xml:space="preserve"> для C</t>
    </r>
    <r>
      <rPr>
        <sz val="8"/>
        <color theme="1"/>
        <rFont val="Calibri"/>
        <family val="2"/>
        <charset val="204"/>
        <scheme val="minor"/>
      </rPr>
      <t>1</t>
    </r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</si>
  <si>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 xml:space="preserve"> для C</t>
    </r>
    <r>
      <rPr>
        <sz val="8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</si>
  <si>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ΔP</t>
    </r>
    <r>
      <rPr>
        <sz val="8"/>
        <color theme="1"/>
        <rFont val="Calibri"/>
        <family val="2"/>
        <charset val="204"/>
      </rPr>
      <t>00</t>
    </r>
  </si>
  <si>
    <r>
      <t>ΔP</t>
    </r>
    <r>
      <rPr>
        <sz val="8"/>
        <color theme="1"/>
        <rFont val="Calibri"/>
        <family val="2"/>
        <charset val="204"/>
      </rPr>
      <t>01</t>
    </r>
  </si>
  <si>
    <r>
      <t>P</t>
    </r>
    <r>
      <rPr>
        <sz val="8"/>
        <color theme="1"/>
        <rFont val="Calibri"/>
        <family val="2"/>
        <charset val="204"/>
        <scheme val="minor"/>
      </rPr>
      <t>0, таб</t>
    </r>
    <r>
      <rPr>
        <sz val="11"/>
        <color theme="1"/>
        <rFont val="Calibri"/>
        <family val="2"/>
        <charset val="204"/>
        <scheme val="minor"/>
      </rPr>
      <t/>
    </r>
  </si>
  <si>
    <t>Порядок действий такой, как я понимаю: выбираем комбинацию стекол в табличке, берем значения P0,таб для наших C0, C1, C2, вставляем сюда.</t>
  </si>
  <si>
    <t>Основной критерий выбора проверки - близость этого значения к расчитанному ранее. Подробнее на стр. 21 методички.</t>
  </si>
  <si>
    <r>
      <t>Q</t>
    </r>
    <r>
      <rPr>
        <sz val="8"/>
        <color theme="1"/>
        <rFont val="Calibri"/>
        <family val="2"/>
        <charset val="204"/>
        <scheme val="minor"/>
      </rPr>
      <t>0</t>
    </r>
  </si>
  <si>
    <r>
      <t>W</t>
    </r>
    <r>
      <rPr>
        <sz val="8"/>
        <color theme="1"/>
        <rFont val="Calibri"/>
        <family val="2"/>
        <charset val="204"/>
        <scheme val="minor"/>
      </rPr>
      <t>0</t>
    </r>
  </si>
  <si>
    <r>
      <t>φ</t>
    </r>
    <r>
      <rPr>
        <sz val="8"/>
        <color theme="1"/>
        <rFont val="Calibri"/>
        <family val="2"/>
        <charset val="204"/>
      </rPr>
      <t>0</t>
    </r>
  </si>
  <si>
    <r>
      <t>π</t>
    </r>
    <r>
      <rPr>
        <sz val="8"/>
        <color theme="1"/>
        <rFont val="Calibri"/>
        <family val="2"/>
        <charset val="204"/>
      </rPr>
      <t>0</t>
    </r>
  </si>
  <si>
    <r>
      <t>P</t>
    </r>
    <r>
      <rPr>
        <sz val="8"/>
        <color theme="1"/>
        <rFont val="Calibri"/>
        <family val="2"/>
        <charset val="204"/>
        <scheme val="minor"/>
      </rPr>
      <t>0</t>
    </r>
  </si>
  <si>
    <t>Значение инварианта Аббе Q на поверхн. склейки</t>
  </si>
  <si>
    <t>Q</t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</si>
  <si>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значение инв. Аббе Q на поверхн. склейки</t>
    </r>
  </si>
  <si>
    <t>Должны быть близки по значению.</t>
  </si>
  <si>
    <t>nF' - nC' 1</t>
  </si>
  <si>
    <t>nF' - nC' 2</t>
  </si>
  <si>
    <r>
      <rPr>
        <sz val="11"/>
        <color theme="1"/>
        <rFont val="Calibri"/>
        <family val="2"/>
        <charset val="204"/>
        <scheme val="minor"/>
      </rPr>
      <t>n</t>
    </r>
    <r>
      <rPr>
        <sz val="8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</si>
  <si>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  <scheme val="minor"/>
      </rPr>
      <t>n</t>
    </r>
    <r>
      <rPr>
        <sz val="8"/>
        <color theme="1"/>
        <rFont val="Calibri"/>
        <family val="2"/>
        <charset val="204"/>
        <scheme val="minor"/>
      </rPr>
      <t>3</t>
    </r>
  </si>
  <si>
    <r>
      <rPr>
        <sz val="11"/>
        <color theme="1"/>
        <rFont val="Calibri"/>
        <family val="2"/>
        <charset val="204"/>
      </rPr>
      <t>v</t>
    </r>
    <r>
      <rPr>
        <sz val="8"/>
        <color theme="1"/>
        <rFont val="Calibri"/>
        <family val="2"/>
        <charset val="204"/>
      </rPr>
      <t>2</t>
    </r>
  </si>
  <si>
    <r>
      <rPr>
        <sz val="11"/>
        <color theme="1"/>
        <rFont val="Calibri"/>
        <family val="2"/>
        <charset val="204"/>
      </rPr>
      <t>v</t>
    </r>
    <r>
      <rPr>
        <sz val="8"/>
        <color theme="1"/>
        <rFont val="Calibri"/>
        <family val="2"/>
        <charset val="204"/>
      </rPr>
      <t>3</t>
    </r>
  </si>
  <si>
    <t>Выбираем значения из таблицы.</t>
  </si>
  <si>
    <t>Берём значения из таблицы.</t>
  </si>
  <si>
    <t>α1</t>
  </si>
  <si>
    <t>α2</t>
  </si>
  <si>
    <t>α3</t>
  </si>
  <si>
    <t>α4</t>
  </si>
  <si>
    <t>Всегда 0 по условиям нормировки.</t>
  </si>
  <si>
    <t>Всегда 1 по условиям нормировки.</t>
  </si>
  <si>
    <r>
      <t>r0</t>
    </r>
    <r>
      <rPr>
        <sz val="8"/>
        <color theme="1"/>
        <rFont val="Calibri"/>
        <family val="2"/>
        <charset val="204"/>
        <scheme val="minor"/>
      </rPr>
      <t>1</t>
    </r>
  </si>
  <si>
    <r>
      <t>r0</t>
    </r>
    <r>
      <rPr>
        <sz val="8"/>
        <color theme="1"/>
        <rFont val="Calibri"/>
        <family val="2"/>
        <charset val="204"/>
        <scheme val="minor"/>
      </rPr>
      <t>2</t>
    </r>
  </si>
  <si>
    <r>
      <t>r0</t>
    </r>
    <r>
      <rPr>
        <sz val="8"/>
        <color theme="1"/>
        <rFont val="Calibri"/>
        <family val="2"/>
        <charset val="204"/>
        <scheme val="minor"/>
      </rPr>
      <t>3</t>
    </r>
  </si>
  <si>
    <r>
      <t>ρ</t>
    </r>
    <r>
      <rPr>
        <sz val="8"/>
        <color theme="1"/>
        <rFont val="Calibri"/>
        <family val="2"/>
        <charset val="204"/>
      </rPr>
      <t>1</t>
    </r>
  </si>
  <si>
    <r>
      <t>ρ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</si>
  <si>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ρ</t>
    </r>
    <r>
      <rPr>
        <sz val="8"/>
        <color theme="1"/>
        <rFont val="Calibri"/>
        <family val="2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</si>
  <si>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Должны быть близки к расчитанным.</t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</si>
  <si>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r0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</si>
  <si>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r0</t>
    </r>
    <r>
      <rPr>
        <sz val="8"/>
        <color theme="1"/>
        <rFont val="Calibri"/>
        <family val="2"/>
        <charset val="204"/>
        <scheme val="minor"/>
      </rPr>
      <t>2</t>
    </r>
  </si>
  <si>
    <r>
      <rPr>
        <b/>
        <sz val="11"/>
        <color theme="1"/>
        <rFont val="Calibri"/>
        <family val="2"/>
        <charset val="204"/>
        <scheme val="minor"/>
      </rPr>
      <t>Проверочное</t>
    </r>
    <r>
      <rPr>
        <sz val="11"/>
        <color theme="1"/>
        <rFont val="Calibri"/>
        <family val="2"/>
        <charset val="204"/>
        <scheme val="minor"/>
      </rPr>
      <t xml:space="preserve"> r0</t>
    </r>
    <r>
      <rPr>
        <sz val="8"/>
        <color theme="1"/>
        <rFont val="Calibri"/>
        <family val="2"/>
        <charset val="204"/>
        <scheme val="minor"/>
      </rPr>
      <t>3</t>
    </r>
  </si>
  <si>
    <t>d0</t>
  </si>
  <si>
    <t>Смотрим по табличке на с.24. Я бы автоматизировал но ЕСЛИ в экселе это пиздец.</t>
  </si>
  <si>
    <r>
      <t>Толщина линзы по краю d</t>
    </r>
    <r>
      <rPr>
        <sz val="8"/>
        <color theme="1"/>
        <rFont val="Calibri"/>
        <family val="2"/>
        <charset val="204"/>
        <scheme val="minor"/>
      </rPr>
      <t>0</t>
    </r>
  </si>
  <si>
    <r>
      <t>Толщина положительной линзы d</t>
    </r>
    <r>
      <rPr>
        <sz val="8"/>
        <color theme="1"/>
        <rFont val="Calibri"/>
        <family val="2"/>
        <charset val="204"/>
        <scheme val="minor"/>
      </rPr>
      <t>1</t>
    </r>
  </si>
  <si>
    <t>Толщина отрицательной линзы d2</t>
  </si>
  <si>
    <t>d2</t>
  </si>
  <si>
    <t>если 0,08*D</t>
  </si>
  <si>
    <t>если 0,15*D</t>
  </si>
  <si>
    <t>Мин. и макс. толщина отрицательной линзы d2</t>
  </si>
  <si>
    <t>Выбираем число между этими двумя значениями.</t>
  </si>
  <si>
    <r>
      <t>h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</si>
  <si>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h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</si>
  <si>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r</t>
    </r>
    <r>
      <rPr>
        <sz val="8"/>
        <color theme="1"/>
        <rFont val="Calibri"/>
        <family val="2"/>
        <charset val="204"/>
        <scheme val="minor"/>
      </rPr>
      <t>1</t>
    </r>
  </si>
  <si>
    <r>
      <t>r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</si>
  <si>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r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</si>
  <si>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Округленные значения в соотв. с ГОСТ 1807-75 (с.25 в методе).</t>
  </si>
  <si>
    <r>
      <rPr>
        <b/>
        <sz val="11"/>
        <color theme="1"/>
        <rFont val="Calibri"/>
        <family val="2"/>
        <charset val="204"/>
        <scheme val="minor"/>
      </rPr>
      <t>Округлённое</t>
    </r>
    <r>
      <rPr>
        <sz val="11"/>
        <color theme="1"/>
        <rFont val="Calibri"/>
        <family val="2"/>
        <charset val="204"/>
        <scheme val="minor"/>
      </rPr>
      <t xml:space="preserve"> r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</si>
  <si>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b/>
        <sz val="11"/>
        <color theme="1"/>
        <rFont val="Calibri"/>
        <family val="2"/>
        <charset val="204"/>
        <scheme val="minor"/>
      </rPr>
      <t>Округлённое</t>
    </r>
    <r>
      <rPr>
        <sz val="11"/>
        <color theme="1"/>
        <rFont val="Calibri"/>
        <family val="2"/>
        <charset val="204"/>
        <scheme val="minor"/>
      </rPr>
      <t xml:space="preserve"> r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</si>
  <si>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rPr>
        <b/>
        <sz val="11"/>
        <color theme="1"/>
        <rFont val="Calibri"/>
        <family val="2"/>
        <charset val="204"/>
        <scheme val="minor"/>
      </rPr>
      <t>Округлённое</t>
    </r>
    <r>
      <rPr>
        <sz val="11"/>
        <color theme="1"/>
        <rFont val="Calibri"/>
        <family val="2"/>
        <charset val="204"/>
        <scheme val="minor"/>
      </rPr>
      <t xml:space="preserve"> r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</si>
  <si>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Оценка качества изображ. опт. системы призм. монокуляра</t>
  </si>
  <si>
    <r>
      <t>Расстояние d</t>
    </r>
    <r>
      <rPr>
        <sz val="8"/>
        <color theme="1"/>
        <rFont val="Calibri"/>
        <family val="2"/>
        <charset val="204"/>
        <scheme val="minor"/>
      </rPr>
      <t>3</t>
    </r>
  </si>
  <si>
    <r>
      <t>S'</t>
    </r>
    <r>
      <rPr>
        <sz val="8"/>
        <color theme="1"/>
        <rFont val="Calibri"/>
        <family val="2"/>
        <charset val="204"/>
        <scheme val="minor"/>
      </rPr>
      <t>F',об</t>
    </r>
  </si>
  <si>
    <t>Из Опала, как я понимаю.</t>
  </si>
  <si>
    <t>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</si>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</sst>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Alignment="1">
      <alignment vertical="center"/>
    </xf>
    <xf numFmtId="0" fontId="5" fillId="0" borderId="0" xfId="0" applyFont="1" applyFill="1" applyAlignment="1"/>
    <xf numFmtId="0" fontId="2" fillId="0" borderId="0" xfId="0" applyFont="1" applyAlignme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8" fillId="0" borderId="0" xfId="0" applyFont="1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3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3" borderId="1" xfId="0" applyNumberForma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4</xdr:row>
      <xdr:rowOff>114300</xdr:rowOff>
    </xdr:from>
    <xdr:ext cx="732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72025" y="923925"/>
              <a:ext cx="732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ѱ′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=1/250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72025" y="923925"/>
              <a:ext cx="732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ѱ'</a:t>
              </a:r>
              <a:r>
                <a:rPr lang="en-US" sz="1100" b="0" i="0">
                  <a:latin typeface="Cambria Math" panose="02040503050406030204" pitchFamily="18" charset="0"/>
                </a:rPr>
                <a:t>=1/250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6</xdr:row>
      <xdr:rowOff>104775</xdr:rowOff>
    </xdr:from>
    <xdr:ext cx="7792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772025" y="1295400"/>
              <a:ext cx="779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ѱ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𝐷𝑚𝑖𝑛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72025" y="1295400"/>
              <a:ext cx="779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ѱ</a:t>
              </a:r>
              <a:r>
                <a:rPr lang="en-US" sz="1100" b="0" i="0">
                  <a:latin typeface="Cambria Math" panose="02040503050406030204" pitchFamily="18" charset="0"/>
                </a:rPr>
                <a:t>=𝐷𝑚𝑖𝑛/𝑙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161925</xdr:colOff>
      <xdr:row>2</xdr:row>
      <xdr:rowOff>95250</xdr:rowOff>
    </xdr:from>
    <xdr:ext cx="972061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686300" y="523875"/>
              <a:ext cx="972061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l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686300" y="523875"/>
              <a:ext cx="972061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〖𝐷1〗^2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ru-RU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8</xdr:row>
      <xdr:rowOff>104775</xdr:rowOff>
    </xdr:from>
    <xdr:ext cx="7384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353050" y="1704975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|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Гт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|=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ѱ′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353050" y="1704975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|</a:t>
              </a:r>
              <a:r>
                <a:rPr lang="ru-RU" sz="1050" b="0" i="0">
                  <a:latin typeface="Cambria Math" panose="02040503050406030204" pitchFamily="18" charset="0"/>
                </a:rPr>
                <a:t>Гт</a:t>
              </a:r>
              <a:r>
                <a:rPr lang="en-US" sz="1050" b="0" i="0">
                  <a:latin typeface="Cambria Math" panose="02040503050406030204" pitchFamily="18" charset="0"/>
                </a:rPr>
                <a:t>|=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ѱ′</a:t>
              </a:r>
              <a:r>
                <a:rPr lang="en-US" sz="105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10</xdr:row>
      <xdr:rowOff>95250</xdr:rowOff>
    </xdr:from>
    <xdr:ext cx="7384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353050" y="2076450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|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Гт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|=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ѱ′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353050" y="2076450"/>
              <a:ext cx="738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|</a:t>
              </a:r>
              <a:r>
                <a:rPr lang="ru-RU" sz="1050" b="0" i="0">
                  <a:latin typeface="Cambria Math" panose="02040503050406030204" pitchFamily="18" charset="0"/>
                </a:rPr>
                <a:t>Гт</a:t>
              </a:r>
              <a:r>
                <a:rPr lang="en-US" sz="1050" b="0" i="0">
                  <a:latin typeface="Cambria Math" panose="02040503050406030204" pitchFamily="18" charset="0"/>
                </a:rPr>
                <a:t>|=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ѱ′</a:t>
              </a:r>
              <a:r>
                <a:rPr lang="en-US" sz="105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247650</xdr:colOff>
      <xdr:row>12</xdr:row>
      <xdr:rowOff>95250</xdr:rowOff>
    </xdr:from>
    <xdr:ext cx="7539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286375" y="2457450"/>
              <a:ext cx="7539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Гт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ѱ′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ѱ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286375" y="2457450"/>
              <a:ext cx="7539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−</a:t>
              </a:r>
              <a:r>
                <a:rPr lang="ru-RU" sz="1050" b="0" i="0">
                  <a:latin typeface="Cambria Math" panose="02040503050406030204" pitchFamily="18" charset="0"/>
                </a:rPr>
                <a:t>Гт</a:t>
              </a:r>
              <a:r>
                <a:rPr lang="en-US" sz="105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ѱ′</a:t>
              </a:r>
              <a:r>
                <a:rPr lang="en-US" sz="1050" b="0" i="0">
                  <a:latin typeface="Cambria Math" panose="02040503050406030204" pitchFamily="18" charset="0"/>
                </a:rPr>
                <a:t>/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ѱ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14</xdr:row>
      <xdr:rowOff>114300</xdr:rowOff>
    </xdr:from>
    <xdr:ext cx="715068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343525" y="2828925"/>
              <a:ext cx="715068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05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2/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𝑙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343525" y="2828925"/>
              <a:ext cx="715068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t𝑔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=𝐷2/𝑙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16</xdr:row>
      <xdr:rowOff>104775</xdr:rowOff>
    </xdr:from>
    <xdr:ext cx="697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343525" y="3200400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343525" y="3200400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2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=2𝑡𝑔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295275</xdr:colOff>
      <xdr:row>18</xdr:row>
      <xdr:rowOff>95250</xdr:rowOff>
    </xdr:from>
    <xdr:ext cx="697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5334000" y="3571875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334000" y="3571875"/>
              <a:ext cx="697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2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=2𝑡𝑔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172916</xdr:colOff>
      <xdr:row>22</xdr:row>
      <xdr:rowOff>112103</xdr:rowOff>
    </xdr:from>
    <xdr:ext cx="962758" cy="173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5213839" y="4405680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𝑡𝑔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𝜔</m:t>
                  </m:r>
                </m:oMath>
              </a14:m>
              <a:r>
                <a:rPr lang="en-US" sz="1050">
                  <a:effectLst/>
                </a:rPr>
                <a:t>'</a:t>
              </a:r>
              <a:r>
                <a:rPr lang="ru-RU" sz="1050" baseline="0">
                  <a:effectLst/>
                </a:rPr>
                <a:t> </a:t>
              </a:r>
              <a14:m>
                <m:oMath xmlns:m="http://schemas.openxmlformats.org/officeDocument/2006/math">
                  <m:r>
                    <a:rPr lang="en-US" sz="1000" b="0" i="1">
                      <a:latin typeface="Cambria Math" panose="02040503050406030204" pitchFamily="18" charset="0"/>
                    </a:rPr>
                    <m:t>=</m:t>
                  </m:r>
                  <m:r>
                    <a:rPr lang="ru-RU" sz="1000" b="0" i="1">
                      <a:latin typeface="Cambria Math" panose="02040503050406030204" pitchFamily="18" charset="0"/>
                    </a:rPr>
                    <m:t>Гт∗</m:t>
                  </m:r>
                  <m:r>
                    <a:rPr lang="en-US" sz="1000" b="0" i="1">
                      <a:latin typeface="Cambria Math" panose="02040503050406030204" pitchFamily="18" charset="0"/>
                    </a:rPr>
                    <m:t>𝑡𝑔</m:t>
                  </m:r>
                  <m:r>
                    <a:rPr lang="el-GR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𝜔</m:t>
                  </m:r>
                </m:oMath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5213839" y="4405680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050">
                  <a:effectLst/>
                </a:rPr>
                <a:t>'</a:t>
              </a:r>
              <a:r>
                <a:rPr lang="ru-RU" sz="1050" baseline="0">
                  <a:effectLst/>
                </a:rPr>
                <a:t> </a:t>
              </a:r>
              <a:r>
                <a:rPr lang="en-US" sz="1000" b="0" i="0">
                  <a:latin typeface="Cambria Math" panose="02040503050406030204" pitchFamily="18" charset="0"/>
                </a:rPr>
                <a:t>=</a:t>
              </a:r>
              <a:r>
                <a:rPr lang="ru-RU" sz="1000" b="0" i="0">
                  <a:latin typeface="Cambria Math" panose="02040503050406030204" pitchFamily="18" charset="0"/>
                </a:rPr>
                <a:t>Гт∗</a:t>
              </a:r>
              <a:r>
                <a:rPr lang="en-US" sz="1000" b="0" i="0">
                  <a:latin typeface="Cambria Math" panose="02040503050406030204" pitchFamily="18" charset="0"/>
                </a:rPr>
                <a:t>𝑡𝑔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285750</xdr:colOff>
      <xdr:row>24</xdr:row>
      <xdr:rowOff>104775</xdr:rowOff>
    </xdr:from>
    <xdr:ext cx="7631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5324475" y="4772025"/>
              <a:ext cx="763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l-GR" sz="105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′=2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𝑡𝑔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324475" y="4772025"/>
              <a:ext cx="7631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2</a:t>
              </a:r>
              <a:r>
                <a:rPr lang="el-GR" sz="1050" b="0" i="0">
                  <a:latin typeface="Cambria Math" panose="02040503050406030204" pitchFamily="18" charset="0"/>
                </a:rPr>
                <a:t>𝜔</a:t>
              </a:r>
              <a:r>
                <a:rPr lang="en-US" sz="1050" b="0" i="0">
                  <a:latin typeface="Cambria Math" panose="02040503050406030204" pitchFamily="18" charset="0"/>
                </a:rPr>
                <a:t>′=2𝑡𝑔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27</xdr:row>
      <xdr:rowOff>57150</xdr:rowOff>
    </xdr:from>
    <xdr:ext cx="706027" cy="304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305425" y="5353050"/>
              <a:ext cx="706027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900" b="0" i="1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ru-RU" sz="900" b="0" i="1">
                        <a:latin typeface="Cambria Math" panose="02040503050406030204" pitchFamily="18" charset="0"/>
                      </a:rPr>
                      <m:t>ок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Гт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305425" y="5353050"/>
              <a:ext cx="706027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f^′</a:t>
              </a:r>
              <a:r>
                <a:rPr lang="ru-RU" sz="900" b="0" i="0">
                  <a:latin typeface="Cambria Math" panose="02040503050406030204" pitchFamily="18" charset="0"/>
                </a:rPr>
                <a:t> ок</a:t>
              </a:r>
              <a:r>
                <a:rPr lang="en-US" sz="900" b="0" i="0">
                  <a:latin typeface="Cambria Math" panose="02040503050406030204" pitchFamily="18" charset="0"/>
                </a:rPr>
                <a:t>=𝐿/(1−</a:t>
              </a:r>
              <a:r>
                <a:rPr lang="ru-RU" sz="900" b="0" i="0">
                  <a:latin typeface="Cambria Math" panose="02040503050406030204" pitchFamily="18" charset="0"/>
                </a:rPr>
                <a:t>Гт</a:t>
              </a:r>
              <a:r>
                <a:rPr lang="en-US" sz="9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30</xdr:row>
      <xdr:rowOff>104775</xdr:rowOff>
    </xdr:from>
    <xdr:ext cx="962758" cy="173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5191125" y="5972175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′об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900" b="0" i="1">
                        <a:latin typeface="Cambria Math" panose="02040503050406030204" pitchFamily="18" charset="0"/>
                      </a:rPr>
                      <m:t>−Гт∗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′ок</m:t>
                    </m:r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5191125" y="5972175"/>
              <a:ext cx="962758" cy="17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𝑓'</a:t>
              </a:r>
              <a:r>
                <a:rPr lang="ru-RU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</a:t>
              </a:r>
              <a:r>
                <a:rPr lang="en-US" sz="900" b="0" i="0">
                  <a:latin typeface="Cambria Math" panose="02040503050406030204" pitchFamily="18" charset="0"/>
                </a:rPr>
                <a:t>=</a:t>
              </a:r>
              <a:r>
                <a:rPr lang="ru-RU" sz="900" b="0" i="0">
                  <a:latin typeface="Cambria Math" panose="02040503050406030204" pitchFamily="18" charset="0"/>
                </a:rPr>
                <a:t>−Гт∗</a:t>
              </a:r>
              <a:r>
                <a:rPr lang="en-US" sz="900" b="0" i="0">
                  <a:latin typeface="Cambria Math" panose="02040503050406030204" pitchFamily="18" charset="0"/>
                </a:rPr>
                <a:t>𝑓'</a:t>
              </a:r>
              <a:r>
                <a:rPr lang="ru-RU" sz="900" b="0" i="0">
                  <a:latin typeface="Cambria Math" panose="02040503050406030204" pitchFamily="18" charset="0"/>
                </a:rPr>
                <a:t>ок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152400</xdr:colOff>
      <xdr:row>33</xdr:row>
      <xdr:rowOff>104775</xdr:rowOff>
    </xdr:from>
    <xdr:ext cx="962758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5191125" y="6543675"/>
              <a:ext cx="962758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=|Гт|∗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5191125" y="6543675"/>
              <a:ext cx="962758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𝐷=|</a:t>
              </a:r>
              <a:r>
                <a:rPr lang="ru-RU" sz="1100" b="0" i="0">
                  <a:latin typeface="Cambria Math" panose="02040503050406030204" pitchFamily="18" charset="0"/>
                </a:rPr>
                <a:t>Гт</a:t>
              </a:r>
              <a:r>
                <a:rPr lang="en-US" sz="1100" b="0" i="0">
                  <a:latin typeface="Cambria Math" panose="02040503050406030204" pitchFamily="18" charset="0"/>
                </a:rPr>
                <a:t>|</a:t>
              </a:r>
              <a:r>
                <a:rPr lang="ru-RU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𝐷′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142875</xdr:colOff>
      <xdr:row>36</xdr:row>
      <xdr:rowOff>28574</xdr:rowOff>
    </xdr:from>
    <xdr:ext cx="962758" cy="352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5181600" y="7038974"/>
              <a:ext cx="962758" cy="35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𝑎𝑟𝑐𝑡𝑔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5181600" y="7038974"/>
              <a:ext cx="962758" cy="35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"ϴ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>
                  <a:latin typeface="Cambria Math" panose="02040503050406030204" pitchFamily="18" charset="0"/>
                </a:rPr>
                <a:t>=𝑎𝑟𝑐𝑡𝑔 𝐻/𝐷1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96714</xdr:colOff>
      <xdr:row>38</xdr:row>
      <xdr:rowOff>114300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269522" y="7499838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269522" y="7499838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_пр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96715</xdr:colOff>
      <xdr:row>40</xdr:row>
      <xdr:rowOff>104775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5269523" y="7871313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5269523" y="7871313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98913</xdr:colOff>
      <xdr:row>42</xdr:row>
      <xdr:rowOff>87923</xdr:rowOff>
    </xdr:from>
    <xdr:ext cx="1066068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271721" y="8235461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271721" y="8235461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"h"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106239</xdr:colOff>
      <xdr:row>44</xdr:row>
      <xdr:rowOff>95250</xdr:rowOff>
    </xdr:from>
    <xdr:ext cx="1051413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279047" y="8623788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279047" y="8623788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"d"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628650</xdr:colOff>
      <xdr:row>47</xdr:row>
      <xdr:rowOff>9525</xdr:rowOff>
    </xdr:from>
    <xdr:ext cx="1631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 ̅_2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1187694</xdr:colOff>
      <xdr:row>45</xdr:row>
      <xdr:rowOff>175847</xdr:rowOff>
    </xdr:from>
    <xdr:ext cx="121920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5129579" y="8894885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Sup>
                          <m:sSubSupPr>
                            <m:ctrlP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ок</m:t>
                            </m:r>
                          </m:sub>
                          <m:sup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△</m:t>
                        </m:r>
                      </m:num>
                      <m:den>
                        <m: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5129579" y="8894885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𝑒 ̅_2</a:t>
              </a:r>
              <a:r>
                <a:rPr lang="ru-RU" sz="1000" b="0" i="0">
                  <a:latin typeface="Cambria Math" panose="02040503050406030204" pitchFamily="18" charset="0"/>
                </a:rPr>
                <a:t>=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𝑓^′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〗_ок^2△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5</xdr:col>
      <xdr:colOff>628650</xdr:colOff>
      <xdr:row>53</xdr:row>
      <xdr:rowOff>9525</xdr:rowOff>
    </xdr:from>
    <xdr:ext cx="1631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572000" y="91154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 ̅_2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1114425</xdr:colOff>
      <xdr:row>52</xdr:row>
      <xdr:rowOff>0</xdr:rowOff>
    </xdr:from>
    <xdr:ext cx="121920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5057775" y="8915400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Sup>
                          <m:sSubSupPr>
                            <m:ctrlP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sSup>
                              <m:sSupPr>
                                <m:ctrlP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ок</m:t>
                            </m:r>
                          </m:sub>
                          <m:sup>
                            <m:r>
                              <a:rPr lang="ru-RU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△</m:t>
                        </m:r>
                      </m:num>
                      <m:den>
                        <m:r>
                          <a:rPr lang="ru-RU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5057775" y="8915400"/>
              <a:ext cx="121920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𝑒 ̅_2</a:t>
              </a:r>
              <a:r>
                <a:rPr lang="ru-RU" sz="1000" b="0" i="0">
                  <a:latin typeface="Cambria Math" panose="02040503050406030204" pitchFamily="18" charset="0"/>
                </a:rPr>
                <a:t>=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𝑓^′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〗_ок^2△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5</xdr:col>
      <xdr:colOff>190500</xdr:colOff>
      <xdr:row>54</xdr:row>
      <xdr:rowOff>85725</xdr:rowOff>
    </xdr:from>
    <xdr:ext cx="1631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4133850" y="105251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4133850" y="10525125"/>
              <a:ext cx="1631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54</xdr:row>
      <xdr:rowOff>95250</xdr:rowOff>
    </xdr:from>
    <xdr:ext cx="121920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5086350" y="10534650"/>
              <a:ext cx="12192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086350" y="10534650"/>
              <a:ext cx="121920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𝑒_2</a:t>
              </a:r>
              <a:r>
                <a:rPr lang="en-US" sz="1200" b="0" i="0">
                  <a:latin typeface="Cambria Math" panose="02040503050406030204" pitchFamily="18" charset="0"/>
                </a:rPr>
                <a:t>=〖−𝑒 ̅〗_2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5</xdr:col>
      <xdr:colOff>1123950</xdr:colOff>
      <xdr:row>62</xdr:row>
      <xdr:rowOff>9525</xdr:rowOff>
    </xdr:from>
    <xdr:ext cx="1219200" cy="340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5067300" y="11972925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5067300" y="11972925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𝑘_𝜔∗𝐷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5</xdr:col>
      <xdr:colOff>1123950</xdr:colOff>
      <xdr:row>56</xdr:row>
      <xdr:rowOff>19050</xdr:rowOff>
    </xdr:from>
    <xdr:ext cx="1219200" cy="340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5067300" y="10839450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5067300" y="10839450"/>
              <a:ext cx="1219200" cy="340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6</xdr:col>
      <xdr:colOff>142875</xdr:colOff>
      <xdr:row>58</xdr:row>
      <xdr:rowOff>104775</xdr:rowOff>
    </xdr:from>
    <xdr:ext cx="941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5219700" y="11306175"/>
              <a:ext cx="94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5219700" y="11306175"/>
              <a:ext cx="94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𝑡𝑔</a:t>
              </a:r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</a:rPr>
                <a:t>_2=ℎ_1∗</a:t>
              </a:r>
              <a:r>
                <a:rPr lang="ru-RU" sz="1100" b="0" i="0">
                  <a:latin typeface="Cambria Math" panose="02040503050406030204" pitchFamily="18" charset="0"/>
                </a:rPr>
                <a:t>Ф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64</xdr:row>
      <xdr:rowOff>123825</xdr:rowOff>
    </xdr:from>
    <xdr:ext cx="111043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5133975" y="12468225"/>
              <a:ext cx="111043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b="0" i="1">
                        <a:latin typeface="Cambria Math" panose="02040503050406030204" pitchFamily="18" charset="0"/>
                      </a:rPr>
                      <m:t>𝑡𝑔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𝑡𝑔</m:t>
                    </m:r>
                    <m:sSub>
                      <m:sSubPr>
                        <m:ctrlP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Ф</m:t>
                        </m:r>
                      </m:e>
                      <m: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9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5133975" y="12468225"/>
              <a:ext cx="111043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𝑡𝑔</a:t>
              </a:r>
              <a:r>
                <a:rPr lang="el-GR" sz="900" b="0" i="0">
                  <a:latin typeface="Cambria Math" panose="02040503050406030204" pitchFamily="18" charset="0"/>
                </a:rPr>
                <a:t>𝜔</a:t>
              </a:r>
              <a:r>
                <a:rPr lang="en-US" sz="900" b="0" i="0">
                  <a:latin typeface="Cambria Math" panose="02040503050406030204" pitchFamily="18" charset="0"/>
                </a:rPr>
                <a:t>_2=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US" sz="900" b="0" i="0">
                  <a:latin typeface="Cambria Math" panose="02040503050406030204" pitchFamily="18" charset="0"/>
                </a:rPr>
                <a:t>〖𝑚_1</a:t>
              </a:r>
              <a:r>
                <a:rPr lang="ru-RU" sz="900" b="0" i="0">
                  <a:latin typeface="Cambria Math" panose="02040503050406030204" pitchFamily="18" charset="0"/>
                </a:rPr>
                <a:t> Ф</a:t>
              </a:r>
              <a:r>
                <a:rPr lang="en-US" sz="900" b="0" i="0">
                  <a:latin typeface="Cambria Math" panose="02040503050406030204" pitchFamily="18" charset="0"/>
                </a:rPr>
                <a:t>〗_</a:t>
              </a:r>
              <a:r>
                <a:rPr lang="ru-RU" sz="900" b="0" i="0">
                  <a:latin typeface="Cambria Math" panose="02040503050406030204" pitchFamily="18" charset="0"/>
                </a:rPr>
                <a:t>1</a:t>
              </a:r>
              <a:endParaRPr lang="ru-RU" sz="900"/>
            </a:p>
          </xdr:txBody>
        </xdr:sp>
      </mc:Fallback>
    </mc:AlternateContent>
    <xdr:clientData/>
  </xdr:oneCellAnchor>
  <xdr:oneCellAnchor>
    <xdr:from>
      <xdr:col>6</xdr:col>
      <xdr:colOff>28575</xdr:colOff>
      <xdr:row>66</xdr:row>
      <xdr:rowOff>95250</xdr:rowOff>
    </xdr:from>
    <xdr:ext cx="1986569" cy="223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5201383" y="12814788"/>
              <a:ext cx="1986569" cy="223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=2(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𝑡𝑔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об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𝑡𝑔</m:t>
                    </m:r>
                    <m:sSub>
                      <m:sSub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5201383" y="12814788"/>
              <a:ext cx="1986569" cy="223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〖𝐷′〗_2=2(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𝑡𝑔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〖𝑓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′〗_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𝑡𝑔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6</xdr:col>
      <xdr:colOff>238125</xdr:colOff>
      <xdr:row>68</xdr:row>
      <xdr:rowOff>0</xdr:rowOff>
    </xdr:from>
    <xdr:ext cx="707437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5410200" y="13106400"/>
              <a:ext cx="707437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′=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5410200" y="13106400"/>
              <a:ext cx="707437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𝑠′=〖𝐷′〗_2/(2𝑡𝑔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38099</xdr:colOff>
      <xdr:row>72</xdr:row>
      <xdr:rowOff>16094</xdr:rowOff>
    </xdr:from>
    <xdr:ext cx="1161728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214444" y="13889749"/>
              <a:ext cx="116172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214444" y="13889749"/>
              <a:ext cx="116172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〖𝐷′〗_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2𝑛_𝑒 𝑒_2 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𝑛_𝑒−2𝑘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1221829</xdr:colOff>
      <xdr:row>74</xdr:row>
      <xdr:rowOff>6569</xdr:rowOff>
    </xdr:from>
    <xdr:ext cx="1263295" cy="36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5169777" y="14261224"/>
              <a:ext cx="1263295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𝑘𝑡𝑔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5169777" y="14261224"/>
              <a:ext cx="1263295" cy="360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2𝑛_𝑒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𝑠′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𝑡𝑔𝜔_2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𝑛_𝑒−2𝑘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𝑡𝑔𝜔_2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96714</xdr:colOff>
      <xdr:row>82</xdr:row>
      <xdr:rowOff>114300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5273059" y="7510955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5273059" y="7510955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_пр</a:t>
              </a:r>
              <a:endParaRPr lang="ru-RU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96715</xdr:colOff>
      <xdr:row>84</xdr:row>
      <xdr:rowOff>104775</xdr:rowOff>
    </xdr:from>
    <xdr:ext cx="105361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5273060" y="7882430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5273060" y="7882430"/>
              <a:ext cx="1053611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98913</xdr:colOff>
      <xdr:row>86</xdr:row>
      <xdr:rowOff>87923</xdr:rowOff>
    </xdr:from>
    <xdr:ext cx="1066068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275258" y="8246578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275258" y="8246578"/>
              <a:ext cx="106606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"h"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106239</xdr:colOff>
      <xdr:row>88</xdr:row>
      <xdr:rowOff>95250</xdr:rowOff>
    </xdr:from>
    <xdr:ext cx="1051413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5282584" y="8634905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ЧИСЛО∗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5282584" y="8634905"/>
              <a:ext cx="1051413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"d"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ru-RU" sz="1100" b="0" i="0">
                  <a:latin typeface="Cambria Math" panose="02040503050406030204" pitchFamily="18" charset="0"/>
                </a:rPr>
                <a:t>ЧИСЛО∗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1182414</xdr:colOff>
      <xdr:row>80</xdr:row>
      <xdr:rowOff>118242</xdr:rowOff>
    </xdr:from>
    <xdr:ext cx="1333499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5130362" y="15515897"/>
              <a:ext cx="1333499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пр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ru-RU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наиб</m:t>
                        </m:r>
                      </m:sub>
                    </m:sSub>
                    <m:r>
                      <a:rPr lang="ru-RU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+фаска</m:t>
                    </m:r>
                  </m:oMath>
                </m:oMathPara>
              </a14:m>
              <a:endParaRPr lang="ru-RU" sz="1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0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5130362" y="15515897"/>
              <a:ext cx="1333499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_пр</a:t>
              </a:r>
              <a:r>
                <a:rPr lang="en-US" sz="1000" b="0" i="0">
                  <a:latin typeface="Cambria Math" panose="02040503050406030204" pitchFamily="18" charset="0"/>
                </a:rPr>
                <a:t>=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наиб+фаска</a:t>
              </a:r>
              <a:endParaRPr lang="ru-RU" sz="1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000"/>
            </a:p>
          </xdr:txBody>
        </xdr:sp>
      </mc:Fallback>
    </mc:AlternateContent>
    <xdr:clientData/>
  </xdr:oneCellAnchor>
  <xdr:oneCellAnchor>
    <xdr:from>
      <xdr:col>6</xdr:col>
      <xdr:colOff>68316</xdr:colOff>
      <xdr:row>90</xdr:row>
      <xdr:rowOff>15765</xdr:rowOff>
    </xdr:from>
    <xdr:ext cx="1128514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5244661" y="17318420"/>
              <a:ext cx="1128514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5244661" y="17318420"/>
              <a:ext cx="1128514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𝑒_1=𝑓_</a:t>
              </a:r>
              <a:r>
                <a:rPr lang="ru-RU" sz="1100" b="0" i="0">
                  <a:latin typeface="Cambria Math" panose="02040503050406030204" pitchFamily="18" charset="0"/>
                </a:rPr>
                <a:t>об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𝑒_2−𝑑/𝑛_𝑒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68316</xdr:colOff>
      <xdr:row>93</xdr:row>
      <xdr:rowOff>101162</xdr:rowOff>
    </xdr:from>
    <xdr:ext cx="1132938" cy="179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5244661" y="17975317"/>
              <a:ext cx="1132938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п.д.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=−2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𝑡𝑔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5244661" y="17975317"/>
              <a:ext cx="1132938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𝐷_(</a:t>
              </a:r>
              <a:r>
                <a:rPr lang="ru-RU" sz="1100" b="0" i="0">
                  <a:latin typeface="Cambria Math" panose="02040503050406030204" pitchFamily="18" charset="0"/>
                </a:rPr>
                <a:t>п.д.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</a:rPr>
                <a:t>=−2</a:t>
              </a:r>
              <a:r>
                <a:rPr lang="en-US" sz="1100" b="0" i="0">
                  <a:latin typeface="Cambria Math" panose="02040503050406030204" pitchFamily="18" charset="0"/>
                </a:rPr>
                <a:t>𝑓_</a:t>
              </a:r>
              <a:r>
                <a:rPr lang="ru-RU" sz="1100" b="0" i="0">
                  <a:latin typeface="Cambria Math" panose="02040503050406030204" pitchFamily="18" charset="0"/>
                </a:rPr>
                <a:t>об^</a:t>
              </a:r>
              <a:r>
                <a:rPr lang="en-US" sz="1100" b="0" i="0">
                  <a:latin typeface="Cambria Math" panose="02040503050406030204" pitchFamily="18" charset="0"/>
                </a:rPr>
                <a:t>′ 𝑡𝑔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536713</xdr:colOff>
      <xdr:row>96</xdr:row>
      <xdr:rowOff>89452</xdr:rowOff>
    </xdr:from>
    <xdr:ext cx="2462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5713343" y="18526539"/>
              <a:ext cx="246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кат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5713343" y="18526539"/>
              <a:ext cx="246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</a:t>
              </a:r>
              <a:r>
                <a:rPr lang="ru-RU" sz="1100" b="0" i="0">
                  <a:latin typeface="Cambria Math" panose="02040503050406030204" pitchFamily="18" charset="0"/>
                </a:rPr>
                <a:t>кат^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304800</xdr:colOff>
      <xdr:row>97</xdr:row>
      <xdr:rowOff>188844</xdr:rowOff>
    </xdr:from>
    <xdr:ext cx="603627" cy="3575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5481430" y="18816431"/>
              <a:ext cx="603627" cy="357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ок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кат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5481430" y="18816431"/>
              <a:ext cx="603627" cy="357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𝑘_𝑓′=(𝑓_</a:t>
              </a:r>
              <a:r>
                <a:rPr lang="ru-RU" sz="1100" b="0" i="0">
                  <a:latin typeface="Cambria Math" panose="02040503050406030204" pitchFamily="18" charset="0"/>
                </a:rPr>
                <a:t>ок^</a:t>
              </a:r>
              <a:r>
                <a:rPr lang="en-US" sz="1100" b="0" i="0">
                  <a:latin typeface="Cambria Math" panose="02040503050406030204" pitchFamily="18" charset="0"/>
                </a:rPr>
                <a:t>′)/(𝑓_</a:t>
              </a:r>
              <a:r>
                <a:rPr lang="ru-RU" sz="1100" b="0" i="0">
                  <a:latin typeface="Cambria Math" panose="02040503050406030204" pitchFamily="18" charset="0"/>
                </a:rPr>
                <a:t>кат^</a:t>
              </a:r>
              <a:r>
                <a:rPr lang="en-US" sz="1100" b="0" i="0">
                  <a:latin typeface="Cambria Math" panose="02040503050406030204" pitchFamily="18" charset="0"/>
                </a:rPr>
                <a:t>′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99647</xdr:colOff>
      <xdr:row>105</xdr:row>
      <xdr:rowOff>187568</xdr:rowOff>
    </xdr:from>
    <xdr:ext cx="1036309" cy="361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5272455" y="20336606"/>
              <a:ext cx="1036309" cy="361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5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105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05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ru-RU" sz="1050" b="0" i="1">
                                        <a:latin typeface="Cambria Math" panose="02040503050406030204" pitchFamily="18" charset="0"/>
                                      </a:rPr>
                                      <m:t>ок</m:t>
                                    </m:r>
                                  </m:sub>
                                  <m:sup>
                                    <m:r>
                                      <a:rPr lang="en-US" sz="105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bSup>
                              </m:e>
                            </m:d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05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ru-RU" sz="105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5272455" y="20336606"/>
              <a:ext cx="1036309" cy="361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𝑆_𝑃′^′=(𝑓_</a:t>
              </a:r>
              <a:r>
                <a:rPr lang="ru-RU" sz="1050" b="0" i="0">
                  <a:latin typeface="Cambria Math" panose="02040503050406030204" pitchFamily="18" charset="0"/>
                </a:rPr>
                <a:t>ок^</a:t>
              </a:r>
              <a:r>
                <a:rPr lang="en-US" sz="1050" b="0" i="0">
                  <a:latin typeface="Cambria Math" panose="02040503050406030204" pitchFamily="18" charset="0"/>
                </a:rPr>
                <a:t>′ )^2/(𝑓_</a:t>
              </a:r>
              <a:r>
                <a:rPr lang="ru-RU" sz="1050" b="0" i="0">
                  <a:latin typeface="Cambria Math" panose="02040503050406030204" pitchFamily="18" charset="0"/>
                </a:rPr>
                <a:t>об^</a:t>
              </a:r>
              <a:r>
                <a:rPr lang="en-US" sz="1050" b="0" i="0">
                  <a:latin typeface="Cambria Math" panose="02040503050406030204" pitchFamily="18" charset="0"/>
                </a:rPr>
                <a:t>′ )</a:t>
              </a:r>
              <a:r>
                <a:rPr lang="ru-RU" sz="1050" b="0" i="0">
                  <a:latin typeface="Cambria Math" panose="02040503050406030204" pitchFamily="18" charset="0"/>
                </a:rPr>
                <a:t>+</a:t>
              </a:r>
              <a:r>
                <a:rPr lang="en-US" sz="1050" b="0" i="0">
                  <a:latin typeface="Cambria Math" panose="02040503050406030204" pitchFamily="18" charset="0"/>
                </a:rPr>
                <a:t>𝑆_𝐹′^′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539262</xdr:colOff>
      <xdr:row>100</xdr:row>
      <xdr:rowOff>99647</xdr:rowOff>
    </xdr:from>
    <xdr:ext cx="1740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5712070" y="19296185"/>
              <a:ext cx="174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5712070" y="19296185"/>
              <a:ext cx="174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𝑆_𝐹^′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527539</xdr:colOff>
      <xdr:row>102</xdr:row>
      <xdr:rowOff>95250</xdr:rowOff>
    </xdr:from>
    <xdr:ext cx="207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5700347" y="19672788"/>
              <a:ext cx="207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5700347" y="19672788"/>
              <a:ext cx="207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𝑆_𝐹′^′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534865</xdr:colOff>
      <xdr:row>104</xdr:row>
      <xdr:rowOff>87923</xdr:rowOff>
    </xdr:from>
    <xdr:ext cx="1979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5707673" y="20046461"/>
              <a:ext cx="197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ок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5707673" y="20046461"/>
              <a:ext cx="197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</a:t>
              </a:r>
              <a:r>
                <a:rPr lang="ru-RU" sz="1100" b="0" i="0">
                  <a:latin typeface="Cambria Math" panose="02040503050406030204" pitchFamily="18" charset="0"/>
                </a:rPr>
                <a:t>ок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187569</xdr:colOff>
      <xdr:row>108</xdr:row>
      <xdr:rowOff>106973</xdr:rowOff>
    </xdr:from>
    <xdr:ext cx="8938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5360377" y="20827511"/>
              <a:ext cx="8938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обр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=−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5360377" y="20827511"/>
              <a:ext cx="8938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〖〖</a:t>
              </a:r>
              <a:r>
                <a:rPr lang="ru-RU" sz="1100" b="0" i="0">
                  <a:latin typeface="Cambria Math" panose="02040503050406030204" pitchFamily="18" charset="0"/>
                </a:rPr>
                <a:t>обр </a:t>
              </a:r>
              <a:r>
                <a:rPr lang="en-US" sz="1100" b="0" i="0">
                  <a:latin typeface="Cambria Math" panose="02040503050406030204" pitchFamily="18" charset="0"/>
                </a:rPr>
                <a:t>𝑆〗_𝑃</a:t>
              </a:r>
              <a:r>
                <a:rPr lang="ru-RU" sz="1100" b="0" i="0">
                  <a:latin typeface="Cambria Math" panose="02040503050406030204" pitchFamily="18" charset="0"/>
                </a:rPr>
                <a:t>=−</a:t>
              </a:r>
              <a:r>
                <a:rPr lang="en-US" sz="1100" b="0" i="0">
                  <a:latin typeface="Cambria Math" panose="02040503050406030204" pitchFamily="18" charset="0"/>
                </a:rPr>
                <a:t>𝑆〗_𝑃′^′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183174</xdr:colOff>
      <xdr:row>110</xdr:row>
      <xdr:rowOff>95250</xdr:rowOff>
    </xdr:from>
    <xdr:ext cx="8993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5355982" y="21196788"/>
              <a:ext cx="899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обр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5355982" y="21196788"/>
              <a:ext cx="899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обр </a:t>
              </a:r>
              <a:r>
                <a:rPr lang="en-US" sz="1100" b="0" i="0">
                  <a:latin typeface="Cambria Math" panose="02040503050406030204" pitchFamily="18" charset="0"/>
                </a:rPr>
                <a:t>𝑆〗_𝐹′^′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−𝑆_𝐹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190499</xdr:colOff>
      <xdr:row>112</xdr:row>
      <xdr:rowOff>87923</xdr:rowOff>
    </xdr:from>
    <xdr:ext cx="89287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5363307" y="21570461"/>
              <a:ext cx="89287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обр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5363307" y="21570461"/>
              <a:ext cx="89287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обр </a:t>
              </a:r>
              <a:r>
                <a:rPr lang="en-US" sz="1100" b="0" i="0">
                  <a:latin typeface="Cambria Math" panose="02040503050406030204" pitchFamily="18" charset="0"/>
                </a:rPr>
                <a:t>𝑆_𝐹=−𝑆〗_𝐹′^′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70338</xdr:colOff>
      <xdr:row>114</xdr:row>
      <xdr:rowOff>114300</xdr:rowOff>
    </xdr:from>
    <xdr:ext cx="1098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5243146" y="21977838"/>
              <a:ext cx="1098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обр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5243146" y="21977838"/>
              <a:ext cx="1098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𝑑_8=</a:t>
              </a:r>
              <a:r>
                <a:rPr lang="ru-RU" sz="1100" b="0" i="0">
                  <a:latin typeface="Cambria Math" panose="02040503050406030204" pitchFamily="18" charset="0"/>
                </a:rPr>
                <a:t>обр</a:t>
              </a:r>
              <a:r>
                <a:rPr lang="en-US" sz="1100" b="0" i="0">
                  <a:latin typeface="Cambria Math" panose="02040503050406030204" pitchFamily="18" charset="0"/>
                </a:rPr>
                <a:t> 𝑆_𝐹′^′+𝑒_2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495300</xdr:colOff>
      <xdr:row>117</xdr:row>
      <xdr:rowOff>114300</xdr:rowOff>
    </xdr:from>
    <xdr:ext cx="2174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667375" y="22631400"/>
              <a:ext cx="2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667375" y="22631400"/>
              <a:ext cx="2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428625</xdr:colOff>
      <xdr:row>119</xdr:row>
      <xdr:rowOff>104775</xdr:rowOff>
    </xdr:from>
    <xdr:ext cx="4057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5600700" y="23002875"/>
              <a:ext cx="4057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5600700" y="23002875"/>
              <a:ext cx="4057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𝑦_(+𝑚)′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438150</xdr:colOff>
      <xdr:row>121</xdr:row>
      <xdr:rowOff>95250</xdr:rowOff>
    </xdr:from>
    <xdr:ext cx="3976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5610225" y="23374350"/>
              <a:ext cx="397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5610225" y="23374350"/>
              <a:ext cx="397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𝑦_(−𝑚)′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31909</xdr:colOff>
      <xdr:row>123</xdr:row>
      <xdr:rowOff>125016</xdr:rowOff>
    </xdr:from>
    <xdr:ext cx="1179672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5205889" y="23785116"/>
              <a:ext cx="1179672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  <m:sup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l-GR" sz="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ru-RU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ru-RU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en-US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a:rPr lang="en-US" sz="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8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5205889" y="23785116"/>
              <a:ext cx="1179672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</a:t>
              </a:r>
              <a:r>
                <a:rPr lang="ru-RU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к^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r>
                <a:rPr lang="ru-RU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𝑘_</a:t>
              </a:r>
              <a:r>
                <a:rPr lang="el-GR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(</a:t>
              </a:r>
              <a:r>
                <a:rPr lang="ru-RU" sz="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𝑦_(+𝑚)′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ru-RU" sz="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𝑦_(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𝑚)′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ru-RU" sz="800"/>
            </a:p>
          </xdr:txBody>
        </xdr:sp>
      </mc:Fallback>
    </mc:AlternateContent>
    <xdr:clientData/>
  </xdr:oneCellAnchor>
  <xdr:oneCellAnchor>
    <xdr:from>
      <xdr:col>6</xdr:col>
      <xdr:colOff>422413</xdr:colOff>
      <xdr:row>125</xdr:row>
      <xdr:rowOff>107674</xdr:rowOff>
    </xdr:from>
    <xdr:ext cx="4774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5599043" y="24143804"/>
              <a:ext cx="4774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5599043" y="24143804"/>
              <a:ext cx="4774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𝑠_(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460979</xdr:colOff>
      <xdr:row>127</xdr:row>
      <xdr:rowOff>130192</xdr:rowOff>
    </xdr:from>
    <xdr:ext cx="3229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5628292" y="24555864"/>
              <a:ext cx="322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5628292" y="24555864"/>
              <a:ext cx="3229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356929</xdr:colOff>
      <xdr:row>129</xdr:row>
      <xdr:rowOff>114663</xdr:rowOff>
    </xdr:from>
    <xdr:ext cx="5241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5524242" y="24921335"/>
              <a:ext cx="524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5524242" y="24921335"/>
              <a:ext cx="524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321468</xdr:colOff>
      <xdr:row>131</xdr:row>
      <xdr:rowOff>89296</xdr:rowOff>
    </xdr:from>
    <xdr:ext cx="58285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/>
            <xdr:cNvSpPr txBox="1"/>
          </xdr:nvSpPr>
          <xdr:spPr>
            <a:xfrm>
              <a:off x="5488781" y="25276968"/>
              <a:ext cx="58285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5488781" y="25276968"/>
              <a:ext cx="58285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𝑠_(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180241</xdr:colOff>
      <xdr:row>136</xdr:row>
      <xdr:rowOff>11723</xdr:rowOff>
    </xdr:from>
    <xdr:ext cx="889539" cy="332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353049" y="25831800"/>
              <a:ext cx="889539" cy="332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353049" y="25831800"/>
              <a:ext cx="889539" cy="332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𝑃=−(2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∆𝑠_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 𝑓′)/</a:t>
              </a:r>
              <a:r>
                <a:rPr lang="en-US" sz="1100" b="0" i="0">
                  <a:latin typeface="Cambria Math" panose="02040503050406030204" pitchFamily="18" charset="0"/>
                </a:rPr>
                <a:t>𝑚^2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99647</xdr:colOff>
      <xdr:row>138</xdr:row>
      <xdr:rowOff>4396</xdr:rowOff>
    </xdr:from>
    <xdr:ext cx="1057084" cy="371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272455" y="26205473"/>
              <a:ext cx="1057084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𝑡𝑔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272455" y="26205473"/>
              <a:ext cx="1057084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𝑊=−(2𝑓^′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∆𝑦_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′)/(</a:t>
              </a:r>
              <a:r>
                <a:rPr lang="en-US" sz="1100" b="0" i="0">
                  <a:latin typeface="Cambria Math" panose="02040503050406030204" pitchFamily="18" charset="0"/>
                </a:rPr>
                <a:t>3𝑚_1^2 𝑡𝑔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𝜔_1 )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231531</xdr:colOff>
      <xdr:row>140</xdr:row>
      <xdr:rowOff>4396</xdr:rowOff>
    </xdr:from>
    <xdr:ext cx="711733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404339" y="26586473"/>
              <a:ext cx="7117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404339" y="26586473"/>
              <a:ext cx="7117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𝐶=(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∆𝑠_(𝜆1,𝜆2)^′)/</a:t>
              </a:r>
              <a:r>
                <a:rPr lang="en-US" sz="1100" b="0" i="0">
                  <a:latin typeface="Cambria Math" panose="02040503050406030204" pitchFamily="18" charset="0"/>
                </a:rPr>
                <a:t>𝑓′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106973</xdr:colOff>
      <xdr:row>142</xdr:row>
      <xdr:rowOff>33704</xdr:rowOff>
    </xdr:from>
    <xdr:ext cx="2628027" cy="336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5323742" y="27377781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−0,84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−0,08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1−0,022(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−0,08)+0,002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−0,08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5323742" y="27377781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𝑃_0=(𝑃−0,84(𝑊−0,08)^2)/(1−0,022(𝑊−0,08)+0,002(𝑊−0,08)^2 )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6</xdr:col>
      <xdr:colOff>102577</xdr:colOff>
      <xdr:row>144</xdr:row>
      <xdr:rowOff>21981</xdr:rowOff>
    </xdr:from>
    <xdr:ext cx="2628027" cy="336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5319346" y="27747058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−0,84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−0,21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1−0,025(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−0,21)+0,002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−0,21</m:t>
                                </m:r>
                              </m:e>
                            </m:d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5319346" y="27747058"/>
              <a:ext cx="2628027" cy="336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𝑃_0=(𝑃−0,84(𝑊−0,21)^2)/(1−0,025(𝑊−0,21)+0,002(𝑊−0,21)^2 )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6</xdr:col>
      <xdr:colOff>231531</xdr:colOff>
      <xdr:row>152</xdr:row>
      <xdr:rowOff>19050</xdr:rowOff>
    </xdr:from>
    <xdr:ext cx="747641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448300" y="29268127"/>
              <a:ext cx="747641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448300" y="29268127"/>
              <a:ext cx="747641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𝑢=(𝐶−𝐶_0)/(𝐶_1−𝐶_0 )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194</xdr:row>
      <xdr:rowOff>47625</xdr:rowOff>
    </xdr:from>
    <xdr:ext cx="1122807" cy="3112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/>
            <xdr:cNvSpPr txBox="1"/>
          </xdr:nvSpPr>
          <xdr:spPr>
            <a:xfrm>
              <a:off x="5276850" y="37309425"/>
              <a:ext cx="1122807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9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900"/>
            </a:p>
          </xdr:txBody>
        </xdr:sp>
      </mc:Choice>
      <mc:Fallback>
        <xdr:sp macro="" textlink="">
          <xdr:nvSpPr>
            <xdr:cNvPr id="41" name="TextBox 40"/>
            <xdr:cNvSpPr txBox="1"/>
          </xdr:nvSpPr>
          <xdr:spPr>
            <a:xfrm>
              <a:off x="5276850" y="37309425"/>
              <a:ext cx="1122807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900" b="0" i="0">
                  <a:latin typeface="Cambria Math" panose="02040503050406030204" pitchFamily="18" charset="0"/>
                </a:rPr>
                <a:t>𝛼</a:t>
              </a:r>
              <a:r>
                <a:rPr lang="ru-RU" sz="900" b="0" i="0">
                  <a:latin typeface="Cambria Math" panose="02040503050406030204" pitchFamily="18" charset="0"/>
                </a:rPr>
                <a:t>_2=(1−1</a:t>
              </a:r>
              <a:r>
                <a:rPr lang="en-US" sz="900" b="0" i="0">
                  <a:latin typeface="Cambria Math" panose="02040503050406030204" pitchFamily="18" charset="0"/>
                </a:rPr>
                <a:t>/𝑛_2 </a:t>
              </a:r>
              <a:r>
                <a:rPr lang="ru-RU" sz="900" b="0" i="0">
                  <a:latin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</a:rPr>
                <a:t>𝑄+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𝜑_0</a:t>
              </a:r>
              <a:endParaRPr lang="ru-RU" sz="900"/>
            </a:p>
          </xdr:txBody>
        </xdr:sp>
      </mc:Fallback>
    </mc:AlternateContent>
    <xdr:clientData/>
  </xdr:oneCellAnchor>
  <xdr:oneCellAnchor>
    <xdr:from>
      <xdr:col>6</xdr:col>
      <xdr:colOff>47625</xdr:colOff>
      <xdr:row>196</xdr:row>
      <xdr:rowOff>47625</xdr:rowOff>
    </xdr:from>
    <xdr:ext cx="1151469" cy="3112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6" name="TextBox 75"/>
            <xdr:cNvSpPr txBox="1"/>
          </xdr:nvSpPr>
          <xdr:spPr>
            <a:xfrm>
              <a:off x="5267325" y="37690425"/>
              <a:ext cx="1151469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9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u-RU" sz="9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ru-RU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9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9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US" sz="9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900"/>
            </a:p>
          </xdr:txBody>
        </xdr:sp>
      </mc:Choice>
      <mc:Fallback>
        <xdr:sp macro="" textlink="">
          <xdr:nvSpPr>
            <xdr:cNvPr id="76" name="TextBox 75"/>
            <xdr:cNvSpPr txBox="1"/>
          </xdr:nvSpPr>
          <xdr:spPr>
            <a:xfrm>
              <a:off x="5267325" y="37690425"/>
              <a:ext cx="1151469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900" b="0" i="0">
                  <a:latin typeface="Cambria Math" panose="02040503050406030204" pitchFamily="18" charset="0"/>
                </a:rPr>
                <a:t>𝛼</a:t>
              </a:r>
              <a:r>
                <a:rPr lang="ru-RU" sz="900" b="0" i="0">
                  <a:latin typeface="Cambria Math" panose="02040503050406030204" pitchFamily="18" charset="0"/>
                </a:rPr>
                <a:t>_2=(1−1</a:t>
              </a:r>
              <a:r>
                <a:rPr lang="en-US" sz="900" b="0" i="0">
                  <a:latin typeface="Cambria Math" panose="02040503050406030204" pitchFamily="18" charset="0"/>
                </a:rPr>
                <a:t>/𝑛_3 </a:t>
              </a:r>
              <a:r>
                <a:rPr lang="ru-RU" sz="900" b="0" i="0">
                  <a:latin typeface="Cambria Math" panose="02040503050406030204" pitchFamily="18" charset="0"/>
                </a:rPr>
                <a:t>)</a:t>
              </a:r>
              <a:r>
                <a:rPr lang="en-US" sz="900" b="0" i="0">
                  <a:latin typeface="Cambria Math" panose="02040503050406030204" pitchFamily="18" charset="0"/>
                </a:rPr>
                <a:t>𝑄+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𝜑_0</a:t>
              </a:r>
              <a:endParaRPr lang="ru-RU" sz="900"/>
            </a:p>
          </xdr:txBody>
        </xdr:sp>
      </mc:Fallback>
    </mc:AlternateContent>
    <xdr:clientData/>
  </xdr:oneCellAnchor>
  <xdr:oneCellAnchor>
    <xdr:from>
      <xdr:col>6</xdr:col>
      <xdr:colOff>80470</xdr:colOff>
      <xdr:row>200</xdr:row>
      <xdr:rowOff>14780</xdr:rowOff>
    </xdr:from>
    <xdr:ext cx="1082027" cy="3357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TextBox 76"/>
            <xdr:cNvSpPr txBox="1"/>
          </xdr:nvSpPr>
          <xdr:spPr>
            <a:xfrm>
              <a:off x="5302798" y="38430090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77" name="TextBox 76"/>
            <xdr:cNvSpPr txBox="1"/>
          </xdr:nvSpPr>
          <xdr:spPr>
            <a:xfrm>
              <a:off x="5302798" y="38430090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(𝛿𝑛_𝑘)/(𝛿(𝑛_𝑘 𝛼_𝑘)) 𝑓_</a:t>
              </a:r>
              <a:r>
                <a:rPr lang="ru-RU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72259</xdr:colOff>
      <xdr:row>202</xdr:row>
      <xdr:rowOff>19707</xdr:rowOff>
    </xdr:from>
    <xdr:ext cx="1082027" cy="3357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77"/>
            <xdr:cNvSpPr txBox="1"/>
          </xdr:nvSpPr>
          <xdr:spPr>
            <a:xfrm>
              <a:off x="5294587" y="38816017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78" name="TextBox 77"/>
            <xdr:cNvSpPr txBox="1"/>
          </xdr:nvSpPr>
          <xdr:spPr>
            <a:xfrm>
              <a:off x="5294587" y="38816017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(𝛿𝑛_𝑘)/(𝛿(𝑛_𝑘 𝛼_𝑘)) 𝑓_</a:t>
              </a:r>
              <a:r>
                <a:rPr lang="ru-RU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78828</xdr:colOff>
      <xdr:row>204</xdr:row>
      <xdr:rowOff>13138</xdr:rowOff>
    </xdr:from>
    <xdr:ext cx="1082027" cy="3357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TextBox 78"/>
            <xdr:cNvSpPr txBox="1"/>
          </xdr:nvSpPr>
          <xdr:spPr>
            <a:xfrm>
              <a:off x="5301156" y="39190448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79" name="TextBox 78"/>
            <xdr:cNvSpPr txBox="1"/>
          </xdr:nvSpPr>
          <xdr:spPr>
            <a:xfrm>
              <a:off x="5301156" y="39190448"/>
              <a:ext cx="1082027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(𝛿𝑛_𝑘)/(𝛿(𝑛_𝑘 𝛼_𝑘)) 𝑓_</a:t>
              </a:r>
              <a:r>
                <a:rPr lang="ru-RU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297246</xdr:colOff>
      <xdr:row>211</xdr:row>
      <xdr:rowOff>179004</xdr:rowOff>
    </xdr:from>
    <xdr:ext cx="592213" cy="3774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TextBox 79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80" name="TextBox 79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101161</xdr:colOff>
      <xdr:row>206</xdr:row>
      <xdr:rowOff>28903</xdr:rowOff>
    </xdr:from>
    <xdr:ext cx="1009507" cy="3177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/>
            <xdr:cNvSpPr txBox="1"/>
          </xdr:nvSpPr>
          <xdr:spPr>
            <a:xfrm>
              <a:off x="5323489" y="39587213"/>
              <a:ext cx="1009507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2" name="TextBox 41"/>
            <xdr:cNvSpPr txBox="1"/>
          </xdr:nvSpPr>
          <xdr:spPr>
            <a:xfrm>
              <a:off x="5323489" y="39587213"/>
              <a:ext cx="1009507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_1=𝑄+𝜑_0/(1−𝜇_2 )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206264</xdr:colOff>
      <xdr:row>208</xdr:row>
      <xdr:rowOff>94593</xdr:rowOff>
    </xdr:from>
    <xdr:ext cx="7847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TextBox 82"/>
            <xdr:cNvSpPr txBox="1"/>
          </xdr:nvSpPr>
          <xdr:spPr>
            <a:xfrm>
              <a:off x="5428592" y="40033903"/>
              <a:ext cx="784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3" name="TextBox 82"/>
            <xdr:cNvSpPr txBox="1"/>
          </xdr:nvSpPr>
          <xdr:spPr>
            <a:xfrm>
              <a:off x="5428592" y="40033903"/>
              <a:ext cx="7847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_2=𝑄+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𝜑_0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101161</xdr:colOff>
      <xdr:row>210</xdr:row>
      <xdr:rowOff>28903</xdr:rowOff>
    </xdr:from>
    <xdr:ext cx="1092350" cy="3177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TextBox 83"/>
            <xdr:cNvSpPr txBox="1"/>
          </xdr:nvSpPr>
          <xdr:spPr>
            <a:xfrm>
              <a:off x="5323489" y="40349213"/>
              <a:ext cx="1092350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4" name="TextBox 83"/>
            <xdr:cNvSpPr txBox="1"/>
          </xdr:nvSpPr>
          <xdr:spPr>
            <a:xfrm>
              <a:off x="5323489" y="40349213"/>
              <a:ext cx="1092350" cy="317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_1=𝑄+(𝜑_0−𝜇_3)/(1−𝜇_3 )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297246</xdr:colOff>
      <xdr:row>213</xdr:row>
      <xdr:rowOff>179004</xdr:rowOff>
    </xdr:from>
    <xdr:ext cx="592213" cy="3774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TextBox 84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85" name="TextBox 84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297246</xdr:colOff>
      <xdr:row>215</xdr:row>
      <xdr:rowOff>179004</xdr:rowOff>
    </xdr:from>
    <xdr:ext cx="592213" cy="3774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TextBox 85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86" name="TextBox 85"/>
            <xdr:cNvSpPr txBox="1"/>
          </xdr:nvSpPr>
          <xdr:spPr>
            <a:xfrm>
              <a:off x="5519574" y="40689814"/>
              <a:ext cx="592213" cy="3774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50" b="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panose="02040503050406030204" pitchFamily="18" charset="0"/>
                </a:rPr>
                <a:t>𝑟0</a:t>
              </a:r>
              <a:r>
                <a:rPr lang="ru-RU" sz="1050" b="0" i="0">
                  <a:latin typeface="Cambria Math" panose="02040503050406030204" pitchFamily="18" charset="0"/>
                </a:rPr>
                <a:t>〗_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об^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26377</xdr:colOff>
      <xdr:row>219</xdr:row>
      <xdr:rowOff>187569</xdr:rowOff>
    </xdr:from>
    <xdr:ext cx="1180067" cy="3525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/>
            <xdr:cNvSpPr txBox="1"/>
          </xdr:nvSpPr>
          <xdr:spPr>
            <a:xfrm>
              <a:off x="5243146" y="42200146"/>
              <a:ext cx="1180067" cy="352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050" b="0" i="1">
                        <a:latin typeface="Cambria Math" panose="02040503050406030204" pitchFamily="18" charset="0"/>
                      </a:rPr>
                      <m:t>=0,75∗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ru-RU" sz="1050" b="0" i="1">
                                <a:latin typeface="Cambria Math" panose="02040503050406030204" pitchFamily="18" charset="0"/>
                              </a:rPr>
                              <m:t>ок</m:t>
                            </m:r>
                          </m:sub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den>
                    </m:f>
                    <m:r>
                      <a:rPr lang="en-US" sz="105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43" name="TextBox 42"/>
            <xdr:cNvSpPr txBox="1"/>
          </xdr:nvSpPr>
          <xdr:spPr>
            <a:xfrm>
              <a:off x="5243146" y="42200146"/>
              <a:ext cx="1180067" cy="352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𝑑_1=0,75∗𝐷^2/(𝑓_</a:t>
              </a:r>
              <a:r>
                <a:rPr lang="ru-RU" sz="1050" b="0" i="0">
                  <a:latin typeface="Cambria Math" panose="02040503050406030204" pitchFamily="18" charset="0"/>
                </a:rPr>
                <a:t>ок^</a:t>
              </a:r>
              <a:r>
                <a:rPr lang="en-US" sz="1050" b="0" i="0">
                  <a:latin typeface="Cambria Math" panose="02040503050406030204" pitchFamily="18" charset="0"/>
                </a:rPr>
                <a:t>′ )+𝑑_0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356089</xdr:colOff>
      <xdr:row>228</xdr:row>
      <xdr:rowOff>99646</xdr:rowOff>
    </xdr:from>
    <xdr:ext cx="5277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/>
            <xdr:cNvSpPr txBox="1"/>
          </xdr:nvSpPr>
          <xdr:spPr>
            <a:xfrm>
              <a:off x="5572858" y="43826723"/>
              <a:ext cx="527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4" name="TextBox 43"/>
            <xdr:cNvSpPr txBox="1"/>
          </xdr:nvSpPr>
          <xdr:spPr>
            <a:xfrm>
              <a:off x="5572858" y="43826723"/>
              <a:ext cx="5277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ℎ_1=𝑓_</a:t>
              </a:r>
              <a:r>
                <a:rPr lang="ru-RU" sz="1100" b="0" i="0">
                  <a:latin typeface="Cambria Math" panose="02040503050406030204" pitchFamily="18" charset="0"/>
                </a:rPr>
                <a:t>об</a:t>
              </a:r>
              <a:r>
                <a:rPr lang="en-US" sz="1100" b="0" i="0">
                  <a:latin typeface="Cambria Math" panose="02040503050406030204" pitchFamily="18" charset="0"/>
                </a:rPr>
                <a:t>^′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150934</xdr:colOff>
      <xdr:row>230</xdr:row>
      <xdr:rowOff>106973</xdr:rowOff>
    </xdr:from>
    <xdr:ext cx="9616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TextBox 86"/>
            <xdr:cNvSpPr txBox="1"/>
          </xdr:nvSpPr>
          <xdr:spPr>
            <a:xfrm>
              <a:off x="5367703" y="44215050"/>
              <a:ext cx="961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7" name="TextBox 86"/>
            <xdr:cNvSpPr txBox="1"/>
          </xdr:nvSpPr>
          <xdr:spPr>
            <a:xfrm>
              <a:off x="5367703" y="44215050"/>
              <a:ext cx="961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=ℎ_1−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𝛼_2 𝑑_1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136281</xdr:colOff>
      <xdr:row>232</xdr:row>
      <xdr:rowOff>99646</xdr:rowOff>
    </xdr:from>
    <xdr:ext cx="99668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9" name="TextBox 88"/>
            <xdr:cNvSpPr txBox="1"/>
          </xdr:nvSpPr>
          <xdr:spPr>
            <a:xfrm>
              <a:off x="5353050" y="44588723"/>
              <a:ext cx="99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9" name="TextBox 88"/>
            <xdr:cNvSpPr txBox="1"/>
          </xdr:nvSpPr>
          <xdr:spPr>
            <a:xfrm>
              <a:off x="5353050" y="44588723"/>
              <a:ext cx="99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ℎ_3=ℎ_2−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𝛼_3 𝑑_2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241789</xdr:colOff>
      <xdr:row>234</xdr:row>
      <xdr:rowOff>21980</xdr:rowOff>
    </xdr:from>
    <xdr:ext cx="784830" cy="337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0" name="TextBox 89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𝑟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90" name="TextBox 89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𝑟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𝑟0_𝑘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ℎ_𝑘/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об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241789</xdr:colOff>
      <xdr:row>236</xdr:row>
      <xdr:rowOff>21980</xdr:rowOff>
    </xdr:from>
    <xdr:ext cx="784830" cy="337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TextBox 90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𝑟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91" name="TextBox 90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𝑟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𝑟0_𝑘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ℎ_𝑘/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об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241789</xdr:colOff>
      <xdr:row>238</xdr:row>
      <xdr:rowOff>21980</xdr:rowOff>
    </xdr:from>
    <xdr:ext cx="784830" cy="337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2" name="TextBox 91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50" b="0" i="1">
                        <a:latin typeface="Cambria Math" panose="02040503050406030204" pitchFamily="18" charset="0"/>
                      </a:rPr>
                      <m:t>𝑟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92" name="TextBox 91"/>
            <xdr:cNvSpPr txBox="1"/>
          </xdr:nvSpPr>
          <xdr:spPr>
            <a:xfrm>
              <a:off x="5458558" y="44892057"/>
              <a:ext cx="784830" cy="337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𝑟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𝑘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𝑟0_𝑘</a:t>
              </a:r>
              <a:r>
                <a:rPr lang="en-U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ℎ_𝑘/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об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ru-RU" sz="1050"/>
            </a:p>
          </xdr:txBody>
        </xdr:sp>
      </mc:Fallback>
    </mc:AlternateContent>
    <xdr:clientData/>
  </xdr:oneCellAnchor>
  <xdr:oneCellAnchor>
    <xdr:from>
      <xdr:col>6</xdr:col>
      <xdr:colOff>47625</xdr:colOff>
      <xdr:row>253</xdr:row>
      <xdr:rowOff>38100</xdr:rowOff>
    </xdr:from>
    <xdr:ext cx="1174809" cy="306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7" name="TextBox 96"/>
            <xdr:cNvSpPr txBox="1"/>
          </xdr:nvSpPr>
          <xdr:spPr>
            <a:xfrm>
              <a:off x="5273951" y="47464317"/>
              <a:ext cx="1174809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sSup>
                          <m:sSupPr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050" b="0" i="1">
                            <a:latin typeface="Cambria Math" panose="02040503050406030204" pitchFamily="18" charset="0"/>
                          </a:rPr>
                          <m:t>об</m:t>
                        </m:r>
                      </m:sub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sz="105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05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050"/>
            </a:p>
          </xdr:txBody>
        </xdr:sp>
      </mc:Choice>
      <mc:Fallback>
        <xdr:sp macro="" textlink="">
          <xdr:nvSpPr>
            <xdr:cNvPr id="97" name="TextBox 96"/>
            <xdr:cNvSpPr txBox="1"/>
          </xdr:nvSpPr>
          <xdr:spPr>
            <a:xfrm>
              <a:off x="5273951" y="47464317"/>
              <a:ext cx="1174809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𝑑</a:t>
              </a:r>
              <a:r>
                <a:rPr lang="ru-RU" sz="1050" b="0" i="0">
                  <a:latin typeface="Cambria Math" panose="02040503050406030204" pitchFamily="18" charset="0"/>
                </a:rPr>
                <a:t>_</a:t>
              </a:r>
              <a:r>
                <a:rPr lang="en-US" sz="1050" b="0" i="0">
                  <a:latin typeface="Cambria Math" panose="02040503050406030204" pitchFamily="18" charset="0"/>
                </a:rPr>
                <a:t>3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b="0" i="0">
                  <a:latin typeface="Cambria Math" panose="02040503050406030204" pitchFamily="18" charset="0"/>
                </a:rPr>
                <a:t>𝑆_(𝐹^′,</a:t>
              </a:r>
              <a:r>
                <a:rPr lang="ru-RU" sz="1050" b="0" i="0">
                  <a:latin typeface="Cambria Math" panose="02040503050406030204" pitchFamily="18" charset="0"/>
                </a:rPr>
                <a:t>об</a:t>
              </a:r>
              <a:r>
                <a:rPr lang="en-US" sz="1050" b="0" i="0">
                  <a:latin typeface="Cambria Math" panose="02040503050406030204" pitchFamily="18" charset="0"/>
                </a:rPr>
                <a:t>)^′</a:t>
              </a:r>
              <a:r>
                <a:rPr lang="ru-RU" sz="1050" b="0" i="0">
                  <a:latin typeface="Cambria Math" panose="02040503050406030204" pitchFamily="18" charset="0"/>
                </a:rPr>
                <a:t>−</a:t>
              </a:r>
              <a:r>
                <a:rPr lang="en-US" sz="1050" b="0" i="0">
                  <a:latin typeface="Cambria Math" panose="02040503050406030204" pitchFamily="18" charset="0"/>
                </a:rPr>
                <a:t>𝑑/𝑛−𝑒_2</a:t>
              </a:r>
              <a:endParaRPr lang="ru-RU" sz="105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47625</xdr:rowOff>
    </xdr:from>
    <xdr:to>
      <xdr:col>8</xdr:col>
      <xdr:colOff>513395</xdr:colOff>
      <xdr:row>16</xdr:row>
      <xdr:rowOff>85725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28625"/>
          <a:ext cx="5294945" cy="27051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16</xdr:row>
      <xdr:rowOff>85725</xdr:rowOff>
    </xdr:from>
    <xdr:to>
      <xdr:col>8</xdr:col>
      <xdr:colOff>454026</xdr:colOff>
      <xdr:row>21</xdr:row>
      <xdr:rowOff>57150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3133725"/>
          <a:ext cx="5235576" cy="92392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2</xdr:row>
      <xdr:rowOff>19050</xdr:rowOff>
    </xdr:from>
    <xdr:to>
      <xdr:col>17</xdr:col>
      <xdr:colOff>304407</xdr:colOff>
      <xdr:row>22</xdr:row>
      <xdr:rowOff>142383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0" y="400050"/>
          <a:ext cx="3142857" cy="3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27</xdr:row>
      <xdr:rowOff>161925</xdr:rowOff>
    </xdr:from>
    <xdr:to>
      <xdr:col>7</xdr:col>
      <xdr:colOff>294752</xdr:colOff>
      <xdr:row>48</xdr:row>
      <xdr:rowOff>132854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5305425"/>
          <a:ext cx="4180952" cy="3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5"/>
  <sheetViews>
    <sheetView tabSelected="1" topLeftCell="A242" zoomScale="115" zoomScaleNormal="115" workbookViewId="0">
      <selection activeCell="R256" sqref="R256"/>
    </sheetView>
  </sheetViews>
  <sheetFormatPr defaultRowHeight="15" x14ac:dyDescent="0.25"/>
  <cols>
    <col min="2" max="2" width="16.5703125" customWidth="1"/>
    <col min="3" max="3" width="15.140625" customWidth="1"/>
    <col min="6" max="6" width="19.140625" customWidth="1"/>
    <col min="7" max="8" width="9.140625" customWidth="1"/>
    <col min="9" max="9" width="12" bestFit="1" customWidth="1"/>
    <col min="10" max="10" width="12" customWidth="1"/>
    <col min="11" max="11" width="11.42578125" customWidth="1"/>
    <col min="13" max="13" width="11.42578125" customWidth="1"/>
  </cols>
  <sheetData>
    <row r="2" spans="1:12" ht="21" x14ac:dyDescent="0.35">
      <c r="A2" s="33" t="s">
        <v>0</v>
      </c>
      <c r="B2" s="33"/>
      <c r="C2" s="4"/>
      <c r="D2" s="1"/>
      <c r="E2" s="19" t="s">
        <v>23</v>
      </c>
      <c r="F2" s="19"/>
      <c r="G2" s="19"/>
      <c r="H2" s="19"/>
      <c r="I2" s="19"/>
    </row>
    <row r="3" spans="1:12" x14ac:dyDescent="0.25">
      <c r="A3" s="2" t="s">
        <v>1</v>
      </c>
      <c r="B3" s="6">
        <v>90</v>
      </c>
      <c r="C3" s="2" t="s">
        <v>12</v>
      </c>
      <c r="E3" s="14" t="s">
        <v>11</v>
      </c>
      <c r="F3" s="14"/>
      <c r="G3" s="14"/>
      <c r="H3" s="14"/>
      <c r="I3" s="15">
        <f>SQRT(B3^2 + B4^2)</f>
        <v>102.95630140987001</v>
      </c>
      <c r="J3" s="34" t="s">
        <v>12</v>
      </c>
      <c r="K3" s="15">
        <f>I3*1000</f>
        <v>102956.30140987001</v>
      </c>
      <c r="L3" s="14" t="s">
        <v>13</v>
      </c>
    </row>
    <row r="4" spans="1:12" x14ac:dyDescent="0.25">
      <c r="A4" s="2" t="s">
        <v>2</v>
      </c>
      <c r="B4" s="7">
        <v>50</v>
      </c>
      <c r="C4" t="s">
        <v>12</v>
      </c>
      <c r="E4" s="14"/>
      <c r="F4" s="14"/>
      <c r="G4" s="14"/>
      <c r="H4" s="14"/>
      <c r="I4" s="15"/>
      <c r="J4" s="34"/>
      <c r="K4" s="15"/>
      <c r="L4" s="14"/>
    </row>
    <row r="5" spans="1:12" x14ac:dyDescent="0.25">
      <c r="A5" s="2" t="s">
        <v>3</v>
      </c>
      <c r="B5" s="7">
        <v>8</v>
      </c>
      <c r="C5" t="s">
        <v>12</v>
      </c>
      <c r="E5" s="14" t="s">
        <v>7</v>
      </c>
      <c r="F5" s="14"/>
      <c r="G5" s="17"/>
      <c r="H5" s="17"/>
      <c r="I5" s="9">
        <v>4.0000000000000001E-3</v>
      </c>
      <c r="J5" s="3" t="s">
        <v>9</v>
      </c>
    </row>
    <row r="6" spans="1:12" x14ac:dyDescent="0.25">
      <c r="A6" s="2" t="s">
        <v>4</v>
      </c>
      <c r="B6" s="7">
        <v>50</v>
      </c>
      <c r="C6" t="s">
        <v>13</v>
      </c>
      <c r="E6" s="14"/>
      <c r="F6" s="14"/>
      <c r="G6" s="17"/>
      <c r="H6" s="17"/>
      <c r="I6" s="10" t="s">
        <v>10</v>
      </c>
      <c r="J6" s="3" t="s">
        <v>24</v>
      </c>
    </row>
    <row r="7" spans="1:12" x14ac:dyDescent="0.25">
      <c r="A7" s="2" t="s">
        <v>5</v>
      </c>
      <c r="B7" s="7">
        <v>270</v>
      </c>
      <c r="C7" t="s">
        <v>14</v>
      </c>
      <c r="E7" s="14" t="s">
        <v>8</v>
      </c>
      <c r="F7" s="14"/>
      <c r="G7" s="14"/>
      <c r="H7" s="14"/>
      <c r="I7" s="15">
        <f>B6/K3</f>
        <v>4.8564293117863208E-4</v>
      </c>
      <c r="J7" s="34" t="s">
        <v>9</v>
      </c>
    </row>
    <row r="8" spans="1:12" x14ac:dyDescent="0.25">
      <c r="E8" s="14"/>
      <c r="F8" s="14"/>
      <c r="G8" s="14"/>
      <c r="H8" s="14"/>
      <c r="I8" s="15"/>
      <c r="J8" s="34"/>
    </row>
    <row r="9" spans="1:12" x14ac:dyDescent="0.25">
      <c r="A9" s="8" t="s">
        <v>34</v>
      </c>
      <c r="B9" s="7">
        <v>5</v>
      </c>
      <c r="C9" t="s">
        <v>14</v>
      </c>
      <c r="E9" s="14" t="s">
        <v>16</v>
      </c>
      <c r="F9" s="14"/>
      <c r="G9" s="17"/>
      <c r="H9" s="17"/>
      <c r="I9" s="15">
        <f>ABS(I5/I7)</f>
        <v>8.2365041127895999</v>
      </c>
      <c r="J9" s="1"/>
      <c r="K9" s="17"/>
    </row>
    <row r="10" spans="1:12" x14ac:dyDescent="0.25">
      <c r="E10" s="14"/>
      <c r="F10" s="14"/>
      <c r="G10" s="17"/>
      <c r="H10" s="17"/>
      <c r="I10" s="15"/>
      <c r="J10" s="1"/>
      <c r="K10" s="17"/>
    </row>
    <row r="11" spans="1:12" x14ac:dyDescent="0.25">
      <c r="E11" s="14" t="s">
        <v>15</v>
      </c>
      <c r="F11" s="14"/>
      <c r="G11" s="17"/>
      <c r="H11" s="17"/>
      <c r="I11" s="15">
        <f>ROUND(I9, 0)</f>
        <v>8</v>
      </c>
    </row>
    <row r="12" spans="1:12" x14ac:dyDescent="0.25">
      <c r="E12" s="14"/>
      <c r="F12" s="14"/>
      <c r="G12" s="17"/>
      <c r="H12" s="17"/>
      <c r="I12" s="15"/>
    </row>
    <row r="13" spans="1:12" x14ac:dyDescent="0.25">
      <c r="E13" s="14" t="s">
        <v>17</v>
      </c>
      <c r="F13" s="14"/>
      <c r="G13" s="17"/>
      <c r="H13" s="17"/>
      <c r="I13" s="15">
        <f>-I11</f>
        <v>-8</v>
      </c>
    </row>
    <row r="14" spans="1:12" x14ac:dyDescent="0.25">
      <c r="E14" s="14"/>
      <c r="F14" s="14"/>
      <c r="G14" s="17"/>
      <c r="H14" s="17"/>
      <c r="I14" s="15"/>
    </row>
    <row r="15" spans="1:12" x14ac:dyDescent="0.25">
      <c r="E15" s="13" t="s">
        <v>20</v>
      </c>
      <c r="F15" s="13"/>
      <c r="G15" s="14"/>
      <c r="H15" s="14"/>
      <c r="I15" s="32">
        <f>B5/I3</f>
        <v>7.7702868988581128E-2</v>
      </c>
      <c r="J15" s="14" t="s">
        <v>9</v>
      </c>
    </row>
    <row r="16" spans="1:12" x14ac:dyDescent="0.25">
      <c r="E16" s="13"/>
      <c r="F16" s="13"/>
      <c r="G16" s="14"/>
      <c r="H16" s="14"/>
      <c r="I16" s="32"/>
      <c r="J16" s="14"/>
    </row>
    <row r="17" spans="5:18" x14ac:dyDescent="0.25">
      <c r="E17" s="31" t="s">
        <v>21</v>
      </c>
      <c r="F17" s="31"/>
      <c r="G17" s="14"/>
      <c r="H17" s="14"/>
      <c r="I17" s="15">
        <f>2*DEGREES(I15)</f>
        <v>8.9040928982073329</v>
      </c>
      <c r="J17" s="14" t="s">
        <v>18</v>
      </c>
      <c r="K17" s="30" t="s">
        <v>19</v>
      </c>
      <c r="L17" s="30"/>
      <c r="M17" s="30"/>
      <c r="N17" s="30"/>
      <c r="O17" s="30"/>
      <c r="P17" s="30"/>
      <c r="Q17" s="30"/>
      <c r="R17" s="30"/>
    </row>
    <row r="18" spans="5:18" x14ac:dyDescent="0.25">
      <c r="E18" s="31"/>
      <c r="F18" s="31"/>
      <c r="G18" s="14"/>
      <c r="H18" s="14"/>
      <c r="I18" s="15"/>
      <c r="J18" s="14"/>
      <c r="K18" s="30"/>
      <c r="L18" s="30"/>
      <c r="M18" s="30"/>
      <c r="N18" s="30"/>
      <c r="O18" s="30"/>
      <c r="P18" s="30"/>
      <c r="Q18" s="30"/>
      <c r="R18" s="30"/>
    </row>
    <row r="19" spans="5:18" x14ac:dyDescent="0.25">
      <c r="E19" s="14" t="s">
        <v>22</v>
      </c>
      <c r="F19" s="14"/>
      <c r="G19" s="14"/>
      <c r="H19" s="14"/>
      <c r="I19" s="15">
        <f>ROUND(I17,0)</f>
        <v>9</v>
      </c>
      <c r="J19" s="14" t="s">
        <v>18</v>
      </c>
    </row>
    <row r="20" spans="5:18" x14ac:dyDescent="0.25">
      <c r="E20" s="14"/>
      <c r="F20" s="14"/>
      <c r="G20" s="14"/>
      <c r="H20" s="14"/>
      <c r="I20" s="15"/>
      <c r="J20" s="14"/>
    </row>
    <row r="21" spans="5:18" ht="21" x14ac:dyDescent="0.35">
      <c r="E21" s="19" t="s">
        <v>6</v>
      </c>
      <c r="F21" s="19"/>
    </row>
    <row r="22" spans="5:18" x14ac:dyDescent="0.25">
      <c r="E22" s="25" t="s">
        <v>27</v>
      </c>
      <c r="F22" s="25"/>
      <c r="G22" s="25"/>
      <c r="H22" s="25"/>
    </row>
    <row r="23" spans="5:18" x14ac:dyDescent="0.25">
      <c r="E23" s="14" t="s">
        <v>25</v>
      </c>
      <c r="F23" s="14"/>
      <c r="G23" s="14"/>
      <c r="H23" s="14"/>
      <c r="I23" s="15">
        <f>I13*-I15</f>
        <v>0.62162295190864902</v>
      </c>
      <c r="J23" s="14" t="s">
        <v>9</v>
      </c>
    </row>
    <row r="24" spans="5:18" x14ac:dyDescent="0.25">
      <c r="E24" s="14"/>
      <c r="F24" s="14"/>
      <c r="G24" s="14"/>
      <c r="H24" s="14"/>
      <c r="I24" s="15"/>
      <c r="J24" s="14"/>
    </row>
    <row r="25" spans="5:18" x14ac:dyDescent="0.25">
      <c r="E25" s="13" t="s">
        <v>26</v>
      </c>
      <c r="F25" s="13"/>
      <c r="G25" s="17"/>
      <c r="H25" s="17"/>
      <c r="I25" s="15">
        <f>2*DEGREES(I23)</f>
        <v>71.232743185658663</v>
      </c>
      <c r="J25" s="14" t="s">
        <v>18</v>
      </c>
      <c r="K25" s="30" t="s">
        <v>19</v>
      </c>
      <c r="L25" s="30"/>
      <c r="M25" s="30"/>
      <c r="N25" s="30"/>
      <c r="O25" s="30"/>
      <c r="P25" s="30"/>
      <c r="Q25" s="30"/>
      <c r="R25" s="30"/>
    </row>
    <row r="26" spans="5:18" x14ac:dyDescent="0.25">
      <c r="E26" s="13"/>
      <c r="F26" s="13"/>
      <c r="G26" s="17"/>
      <c r="H26" s="17"/>
      <c r="I26" s="15"/>
      <c r="J26" s="14"/>
      <c r="K26" s="30"/>
      <c r="L26" s="30"/>
      <c r="M26" s="30"/>
      <c r="N26" s="30"/>
      <c r="O26" s="30"/>
      <c r="P26" s="30"/>
      <c r="Q26" s="30"/>
      <c r="R26" s="30"/>
    </row>
    <row r="27" spans="5:18" x14ac:dyDescent="0.25">
      <c r="E27" s="25" t="s">
        <v>28</v>
      </c>
      <c r="F27" s="25"/>
      <c r="G27" s="25"/>
      <c r="H27" s="25"/>
    </row>
    <row r="28" spans="5:18" x14ac:dyDescent="0.25">
      <c r="E28" s="31" t="s">
        <v>29</v>
      </c>
      <c r="F28" s="31"/>
      <c r="G28" s="17"/>
      <c r="H28" s="17"/>
      <c r="I28" s="15">
        <f>B7/(1-I13)</f>
        <v>30</v>
      </c>
      <c r="J28" s="14" t="s">
        <v>14</v>
      </c>
    </row>
    <row r="29" spans="5:18" x14ac:dyDescent="0.25">
      <c r="E29" s="31"/>
      <c r="F29" s="31"/>
      <c r="G29" s="17"/>
      <c r="H29" s="17"/>
      <c r="I29" s="15"/>
      <c r="J29" s="14"/>
    </row>
    <row r="30" spans="5:18" x14ac:dyDescent="0.25">
      <c r="E30" s="25" t="s">
        <v>31</v>
      </c>
      <c r="F30" s="25"/>
      <c r="G30" s="25"/>
      <c r="H30" s="25"/>
      <c r="I30" s="25"/>
    </row>
    <row r="31" spans="5:18" x14ac:dyDescent="0.25">
      <c r="E31" s="31" t="s">
        <v>30</v>
      </c>
      <c r="F31" s="31"/>
      <c r="G31" s="17"/>
      <c r="H31" s="17"/>
      <c r="I31" s="15">
        <f>-I13*I28</f>
        <v>240</v>
      </c>
      <c r="J31" s="14" t="s">
        <v>14</v>
      </c>
    </row>
    <row r="32" spans="5:18" x14ac:dyDescent="0.25">
      <c r="E32" s="31"/>
      <c r="F32" s="31"/>
      <c r="G32" s="17"/>
      <c r="H32" s="17"/>
      <c r="I32" s="15"/>
      <c r="J32" s="14"/>
    </row>
    <row r="33" spans="5:18" x14ac:dyDescent="0.25">
      <c r="E33" s="25" t="s">
        <v>32</v>
      </c>
      <c r="F33" s="25"/>
      <c r="G33" s="25"/>
      <c r="H33" s="25"/>
    </row>
    <row r="34" spans="5:18" x14ac:dyDescent="0.25">
      <c r="E34" s="14" t="s">
        <v>33</v>
      </c>
      <c r="F34" s="14"/>
      <c r="G34" s="14"/>
      <c r="H34" s="14"/>
      <c r="I34" s="15">
        <f>I11*B9</f>
        <v>40</v>
      </c>
      <c r="J34" s="14" t="s">
        <v>14</v>
      </c>
    </row>
    <row r="35" spans="5:18" x14ac:dyDescent="0.25">
      <c r="E35" s="14"/>
      <c r="F35" s="14"/>
      <c r="G35" s="14"/>
      <c r="H35" s="14"/>
      <c r="I35" s="15"/>
      <c r="J35" s="14"/>
    </row>
    <row r="36" spans="5:18" x14ac:dyDescent="0.25">
      <c r="E36" s="25" t="s">
        <v>35</v>
      </c>
      <c r="F36" s="25"/>
      <c r="G36" s="25"/>
      <c r="H36" s="5"/>
    </row>
    <row r="37" spans="5:18" x14ac:dyDescent="0.25">
      <c r="E37" s="14" t="s">
        <v>36</v>
      </c>
      <c r="F37" s="14"/>
      <c r="G37" s="14"/>
      <c r="H37" s="14"/>
      <c r="I37" s="9">
        <f>ATAN(B3/B4)</f>
        <v>1.0636978224025597</v>
      </c>
      <c r="J37" s="3" t="s">
        <v>9</v>
      </c>
    </row>
    <row r="38" spans="5:18" x14ac:dyDescent="0.25">
      <c r="E38" s="14"/>
      <c r="F38" s="14"/>
      <c r="G38" s="14"/>
      <c r="H38" s="14"/>
      <c r="I38" s="9">
        <f>DEGREES(I37)</f>
        <v>60.945395900922861</v>
      </c>
      <c r="J38" s="3" t="s">
        <v>18</v>
      </c>
      <c r="K38" s="30" t="s">
        <v>19</v>
      </c>
      <c r="L38" s="30"/>
      <c r="M38" s="30"/>
      <c r="N38" s="30"/>
      <c r="O38" s="30"/>
      <c r="P38" s="30"/>
      <c r="Q38" s="30"/>
      <c r="R38" s="30"/>
    </row>
    <row r="39" spans="5:18" x14ac:dyDescent="0.25">
      <c r="E39" s="14" t="s">
        <v>55</v>
      </c>
      <c r="F39" s="14"/>
      <c r="G39" s="26"/>
      <c r="H39" s="26"/>
      <c r="I39" s="24">
        <v>1</v>
      </c>
      <c r="J39" s="3"/>
      <c r="K39" s="40" t="s">
        <v>37</v>
      </c>
      <c r="L39" s="40"/>
      <c r="M39" s="40"/>
      <c r="N39" s="40"/>
      <c r="O39" s="40"/>
      <c r="P39" s="40"/>
      <c r="Q39" s="40"/>
      <c r="R39" s="40"/>
    </row>
    <row r="40" spans="5:18" x14ac:dyDescent="0.25">
      <c r="E40" s="14"/>
      <c r="F40" s="14"/>
      <c r="G40" s="26"/>
      <c r="H40" s="26"/>
      <c r="I40" s="24"/>
      <c r="K40" s="40"/>
      <c r="L40" s="40"/>
      <c r="M40" s="40"/>
      <c r="N40" s="40"/>
      <c r="O40" s="40"/>
      <c r="P40" s="40"/>
      <c r="Q40" s="40"/>
      <c r="R40" s="40"/>
    </row>
    <row r="41" spans="5:18" x14ac:dyDescent="0.25">
      <c r="E41" s="14" t="s">
        <v>56</v>
      </c>
      <c r="F41" s="14"/>
      <c r="G41" s="26"/>
      <c r="H41" s="29"/>
      <c r="I41" s="24">
        <v>2</v>
      </c>
      <c r="K41" s="40"/>
      <c r="L41" s="40"/>
      <c r="M41" s="40"/>
      <c r="N41" s="40"/>
      <c r="O41" s="40"/>
      <c r="P41" s="40"/>
      <c r="Q41" s="40"/>
      <c r="R41" s="40"/>
    </row>
    <row r="42" spans="5:18" x14ac:dyDescent="0.25">
      <c r="E42" s="14"/>
      <c r="F42" s="14"/>
      <c r="G42" s="26"/>
      <c r="H42" s="29"/>
      <c r="I42" s="24"/>
      <c r="K42" s="40"/>
      <c r="L42" s="40"/>
      <c r="M42" s="40"/>
      <c r="N42" s="40"/>
      <c r="O42" s="40"/>
      <c r="P42" s="40"/>
      <c r="Q42" s="40"/>
      <c r="R42" s="40"/>
    </row>
    <row r="43" spans="5:18" x14ac:dyDescent="0.25">
      <c r="E43" s="14" t="s">
        <v>57</v>
      </c>
      <c r="F43" s="14"/>
      <c r="G43" s="26"/>
      <c r="H43" s="29"/>
      <c r="I43" s="24">
        <v>1.0940000000000001</v>
      </c>
      <c r="K43" s="40"/>
      <c r="L43" s="40"/>
      <c r="M43" s="40"/>
      <c r="N43" s="40"/>
      <c r="O43" s="40"/>
      <c r="P43" s="40"/>
      <c r="Q43" s="40"/>
      <c r="R43" s="40"/>
    </row>
    <row r="44" spans="5:18" x14ac:dyDescent="0.25">
      <c r="E44" s="14"/>
      <c r="F44" s="14"/>
      <c r="G44" s="26"/>
      <c r="H44" s="29"/>
      <c r="I44" s="24"/>
      <c r="K44" s="40"/>
      <c r="L44" s="40"/>
      <c r="M44" s="40"/>
      <c r="N44" s="40"/>
      <c r="O44" s="40"/>
      <c r="P44" s="40"/>
      <c r="Q44" s="40"/>
      <c r="R44" s="40"/>
    </row>
    <row r="45" spans="5:18" x14ac:dyDescent="0.25">
      <c r="E45" s="14" t="s">
        <v>58</v>
      </c>
      <c r="F45" s="14"/>
      <c r="G45" s="26"/>
      <c r="H45" s="29"/>
      <c r="I45" s="24">
        <v>2.6459999999999999</v>
      </c>
      <c r="K45" s="40"/>
      <c r="L45" s="40"/>
      <c r="M45" s="40"/>
      <c r="N45" s="40"/>
      <c r="O45" s="40"/>
      <c r="P45" s="40"/>
      <c r="Q45" s="40"/>
      <c r="R45" s="40"/>
    </row>
    <row r="46" spans="5:18" x14ac:dyDescent="0.25">
      <c r="E46" s="14"/>
      <c r="F46" s="14"/>
      <c r="G46" s="26"/>
      <c r="H46" s="29"/>
      <c r="I46" s="24"/>
      <c r="K46" s="40"/>
      <c r="L46" s="40"/>
      <c r="M46" s="40"/>
      <c r="N46" s="40"/>
      <c r="O46" s="40"/>
      <c r="P46" s="40"/>
      <c r="Q46" s="40"/>
      <c r="R46" s="40"/>
    </row>
    <row r="47" spans="5:18" x14ac:dyDescent="0.25">
      <c r="E47" s="28" t="s">
        <v>41</v>
      </c>
      <c r="F47" s="28"/>
      <c r="G47" s="17"/>
      <c r="H47" s="17"/>
      <c r="I47" s="23" t="s">
        <v>42</v>
      </c>
      <c r="J47" s="15">
        <f>-($I$28^2 * 1)/1000</f>
        <v>-0.9</v>
      </c>
      <c r="K47" s="23" t="s">
        <v>14</v>
      </c>
      <c r="L47" s="11"/>
      <c r="M47" s="11"/>
      <c r="N47" s="11"/>
    </row>
    <row r="48" spans="5:18" x14ac:dyDescent="0.25">
      <c r="E48" s="28"/>
      <c r="F48" s="28"/>
      <c r="G48" s="17"/>
      <c r="H48" s="17"/>
      <c r="I48" s="23"/>
      <c r="J48" s="15"/>
      <c r="K48" s="23"/>
      <c r="L48" s="3"/>
      <c r="M48" s="3"/>
      <c r="N48" s="3"/>
    </row>
    <row r="49" spans="5:18" x14ac:dyDescent="0.25">
      <c r="I49" s="23" t="s">
        <v>43</v>
      </c>
      <c r="J49" s="15">
        <f>-($I$28^2 * 10)/1000</f>
        <v>-9</v>
      </c>
      <c r="K49" s="23" t="s">
        <v>14</v>
      </c>
    </row>
    <row r="50" spans="5:18" x14ac:dyDescent="0.25">
      <c r="I50" s="23"/>
      <c r="J50" s="15"/>
      <c r="K50" s="23"/>
    </row>
    <row r="51" spans="5:18" x14ac:dyDescent="0.25">
      <c r="I51" s="23" t="s">
        <v>44</v>
      </c>
      <c r="J51" s="15">
        <f>-($I$28^2 * 20)/1000</f>
        <v>-18</v>
      </c>
      <c r="K51" s="23" t="s">
        <v>14</v>
      </c>
    </row>
    <row r="52" spans="5:18" x14ac:dyDescent="0.25">
      <c r="I52" s="14"/>
      <c r="J52" s="15"/>
      <c r="K52" s="23"/>
    </row>
    <row r="53" spans="5:18" x14ac:dyDescent="0.25">
      <c r="E53" s="28" t="s">
        <v>41</v>
      </c>
      <c r="F53" s="28"/>
      <c r="G53" s="17"/>
      <c r="H53" s="17"/>
      <c r="I53" s="24">
        <v>14</v>
      </c>
      <c r="J53" s="15">
        <f>-($I$28^2 * I53)/1000</f>
        <v>-12.6</v>
      </c>
      <c r="K53" s="23" t="s">
        <v>14</v>
      </c>
      <c r="L53" s="41" t="s">
        <v>45</v>
      </c>
      <c r="M53" s="41"/>
      <c r="N53" s="41"/>
      <c r="O53" s="41"/>
      <c r="P53" s="41"/>
      <c r="Q53" s="41"/>
      <c r="R53" s="41"/>
    </row>
    <row r="54" spans="5:18" x14ac:dyDescent="0.25">
      <c r="E54" s="28"/>
      <c r="F54" s="28"/>
      <c r="G54" s="17"/>
      <c r="H54" s="17"/>
      <c r="I54" s="24"/>
      <c r="J54" s="15"/>
      <c r="K54" s="23"/>
      <c r="L54" s="41"/>
      <c r="M54" s="41"/>
      <c r="N54" s="41"/>
      <c r="O54" s="41"/>
      <c r="P54" s="41"/>
      <c r="Q54" s="41"/>
      <c r="R54" s="41"/>
    </row>
    <row r="55" spans="5:18" x14ac:dyDescent="0.25">
      <c r="E55" s="17"/>
      <c r="F55" s="17"/>
      <c r="G55" s="17"/>
      <c r="H55" s="17"/>
      <c r="I55" s="15">
        <f>-J53</f>
        <v>12.6</v>
      </c>
      <c r="J55" s="23" t="s">
        <v>14</v>
      </c>
    </row>
    <row r="56" spans="5:18" x14ac:dyDescent="0.25">
      <c r="E56" s="17"/>
      <c r="F56" s="17"/>
      <c r="G56" s="17"/>
      <c r="H56" s="17"/>
      <c r="I56" s="15"/>
      <c r="J56" s="23"/>
    </row>
    <row r="57" spans="5:18" x14ac:dyDescent="0.25">
      <c r="E57" s="14" t="s">
        <v>46</v>
      </c>
      <c r="F57" s="14"/>
      <c r="G57" s="14"/>
      <c r="H57" s="14"/>
      <c r="I57" s="15">
        <f>I34/2</f>
        <v>20</v>
      </c>
      <c r="J57" s="23" t="s">
        <v>14</v>
      </c>
    </row>
    <row r="58" spans="5:18" x14ac:dyDescent="0.25">
      <c r="E58" s="14"/>
      <c r="F58" s="14"/>
      <c r="G58" s="14"/>
      <c r="H58" s="14"/>
      <c r="I58" s="15"/>
      <c r="J58" s="23"/>
    </row>
    <row r="59" spans="5:18" x14ac:dyDescent="0.25">
      <c r="E59" s="14" t="s">
        <v>47</v>
      </c>
      <c r="F59" s="14"/>
      <c r="G59" s="14"/>
      <c r="H59" s="14"/>
      <c r="I59" s="15">
        <f>I57/I31</f>
        <v>8.3333333333333329E-2</v>
      </c>
      <c r="J59" s="3"/>
      <c r="K59" s="41" t="s">
        <v>51</v>
      </c>
      <c r="L59" s="41"/>
      <c r="M59" s="41"/>
      <c r="N59" s="41"/>
      <c r="O59" s="41"/>
      <c r="P59" s="41"/>
      <c r="Q59" s="41"/>
      <c r="R59" s="41"/>
    </row>
    <row r="60" spans="5:18" x14ac:dyDescent="0.25">
      <c r="E60" s="14"/>
      <c r="F60" s="14"/>
      <c r="G60" s="14"/>
      <c r="H60" s="14"/>
      <c r="I60" s="15"/>
      <c r="J60" s="3"/>
      <c r="K60" s="41"/>
      <c r="L60" s="41"/>
      <c r="M60" s="41"/>
      <c r="N60" s="41"/>
      <c r="O60" s="41"/>
      <c r="P60" s="41"/>
      <c r="Q60" s="41"/>
      <c r="R60" s="41"/>
    </row>
    <row r="61" spans="5:18" x14ac:dyDescent="0.25">
      <c r="E61" s="14" t="s">
        <v>49</v>
      </c>
      <c r="F61" s="14"/>
      <c r="G61" s="14" t="s">
        <v>50</v>
      </c>
      <c r="H61" s="14"/>
      <c r="I61" s="24">
        <v>0.5</v>
      </c>
      <c r="J61" s="3"/>
      <c r="K61" s="41" t="s">
        <v>52</v>
      </c>
      <c r="L61" s="41"/>
      <c r="M61" s="41"/>
      <c r="N61" s="41"/>
      <c r="O61" s="41"/>
      <c r="P61" s="41"/>
      <c r="Q61" s="41"/>
      <c r="R61" s="41"/>
    </row>
    <row r="62" spans="5:18" x14ac:dyDescent="0.25">
      <c r="E62" s="14"/>
      <c r="F62" s="14"/>
      <c r="G62" s="14"/>
      <c r="H62" s="14"/>
      <c r="I62" s="24"/>
      <c r="J62" s="3"/>
      <c r="K62" s="41"/>
      <c r="L62" s="41"/>
      <c r="M62" s="41"/>
      <c r="N62" s="41"/>
      <c r="O62" s="41"/>
      <c r="P62" s="41"/>
      <c r="Q62" s="41"/>
      <c r="R62" s="41"/>
    </row>
    <row r="63" spans="5:18" ht="15" customHeight="1" x14ac:dyDescent="0.25">
      <c r="E63" s="14" t="s">
        <v>48</v>
      </c>
      <c r="F63" s="14"/>
      <c r="G63" s="14"/>
      <c r="H63" s="14"/>
      <c r="I63" s="15">
        <f>(I61*I34)/2</f>
        <v>10</v>
      </c>
      <c r="J63" s="23" t="s">
        <v>14</v>
      </c>
    </row>
    <row r="64" spans="5:18" x14ac:dyDescent="0.25">
      <c r="E64" s="14"/>
      <c r="F64" s="14"/>
      <c r="G64" s="14"/>
      <c r="H64" s="14"/>
      <c r="I64" s="15"/>
      <c r="J64" s="23"/>
    </row>
    <row r="65" spans="5:18" x14ac:dyDescent="0.25">
      <c r="E65" s="14" t="s">
        <v>53</v>
      </c>
      <c r="F65" s="14"/>
      <c r="G65" s="14"/>
      <c r="H65" s="14"/>
      <c r="I65" s="15">
        <f>-I15+I63/I31</f>
        <v>-3.6036202321914464E-2</v>
      </c>
      <c r="J65" s="3"/>
    </row>
    <row r="66" spans="5:18" x14ac:dyDescent="0.25">
      <c r="E66" s="14"/>
      <c r="F66" s="14"/>
      <c r="G66" s="14"/>
      <c r="H66" s="14"/>
      <c r="I66" s="15"/>
      <c r="J66" s="3"/>
    </row>
    <row r="67" spans="5:18" ht="15" customHeight="1" x14ac:dyDescent="0.25">
      <c r="E67" s="13" t="s">
        <v>54</v>
      </c>
      <c r="F67" s="13"/>
      <c r="G67" s="14"/>
      <c r="H67" s="14"/>
      <c r="I67" s="14"/>
      <c r="J67" s="15">
        <f>2*(I65*I55 - I31*-I15)</f>
        <v>36.389264816006701</v>
      </c>
      <c r="K67" s="23" t="s">
        <v>14</v>
      </c>
    </row>
    <row r="68" spans="5:18" x14ac:dyDescent="0.25">
      <c r="E68" s="13"/>
      <c r="F68" s="13"/>
      <c r="G68" s="14"/>
      <c r="H68" s="14"/>
      <c r="I68" s="14"/>
      <c r="J68" s="15"/>
      <c r="K68" s="23"/>
    </row>
    <row r="69" spans="5:18" x14ac:dyDescent="0.25">
      <c r="E69" s="14" t="s">
        <v>59</v>
      </c>
      <c r="F69" s="14"/>
      <c r="G69" s="14"/>
      <c r="H69" s="14"/>
      <c r="I69" s="15">
        <f>J67/(2*I65)</f>
        <v>-504.89871950071625</v>
      </c>
      <c r="J69" s="23" t="s">
        <v>14</v>
      </c>
    </row>
    <row r="70" spans="5:18" x14ac:dyDescent="0.25">
      <c r="E70" s="14"/>
      <c r="F70" s="14"/>
      <c r="G70" s="14"/>
      <c r="H70" s="14"/>
      <c r="I70" s="15"/>
      <c r="J70" s="23"/>
    </row>
    <row r="71" spans="5:18" x14ac:dyDescent="0.25">
      <c r="E71" s="14" t="s">
        <v>63</v>
      </c>
      <c r="F71" s="14"/>
      <c r="G71" s="14" t="s">
        <v>64</v>
      </c>
      <c r="H71" s="14"/>
      <c r="I71" s="24">
        <v>1.5183</v>
      </c>
      <c r="J71" s="3"/>
      <c r="K71" s="41" t="s">
        <v>65</v>
      </c>
      <c r="L71" s="41"/>
      <c r="M71" s="41"/>
      <c r="N71" s="41"/>
      <c r="O71" s="41"/>
      <c r="P71" s="41"/>
      <c r="Q71" s="41"/>
      <c r="R71" s="41"/>
    </row>
    <row r="72" spans="5:18" x14ac:dyDescent="0.25">
      <c r="E72" s="14"/>
      <c r="F72" s="14"/>
      <c r="G72" s="14"/>
      <c r="H72" s="14"/>
      <c r="I72" s="24"/>
      <c r="J72" s="3"/>
      <c r="K72" s="41"/>
      <c r="L72" s="41"/>
      <c r="M72" s="41"/>
      <c r="N72" s="41"/>
      <c r="O72" s="41"/>
      <c r="P72" s="41"/>
      <c r="Q72" s="41"/>
      <c r="R72" s="41"/>
    </row>
    <row r="73" spans="5:18" x14ac:dyDescent="0.25">
      <c r="E73" s="14" t="s">
        <v>62</v>
      </c>
      <c r="F73" s="14"/>
      <c r="G73" s="14"/>
      <c r="H73" s="14"/>
      <c r="I73" s="15">
        <f>(2*I71*I55*I59)/(I71-2*I45*I59)</f>
        <v>2.9596491228070168</v>
      </c>
      <c r="J73" s="23" t="s">
        <v>14</v>
      </c>
    </row>
    <row r="74" spans="5:18" x14ac:dyDescent="0.25">
      <c r="E74" s="14"/>
      <c r="F74" s="14"/>
      <c r="G74" s="14"/>
      <c r="H74" s="14"/>
      <c r="I74" s="15"/>
      <c r="J74" s="23"/>
    </row>
    <row r="75" spans="5:18" x14ac:dyDescent="0.25">
      <c r="E75" s="14" t="s">
        <v>61</v>
      </c>
      <c r="F75" s="14"/>
      <c r="G75" s="17"/>
      <c r="H75" s="17"/>
      <c r="I75" s="15">
        <f>(2*I71*I69*I65)/(I71-2*I45*I65)</f>
        <v>32.32867463230086</v>
      </c>
      <c r="J75" s="23" t="s">
        <v>14</v>
      </c>
    </row>
    <row r="76" spans="5:18" x14ac:dyDescent="0.25">
      <c r="E76" s="14"/>
      <c r="F76" s="14"/>
      <c r="G76" s="17"/>
      <c r="H76" s="17"/>
      <c r="I76" s="15"/>
      <c r="J76" s="23"/>
    </row>
    <row r="77" spans="5:18" x14ac:dyDescent="0.25">
      <c r="E77" s="13" t="s">
        <v>66</v>
      </c>
      <c r="F77" s="13"/>
      <c r="G77" s="14" t="s">
        <v>68</v>
      </c>
      <c r="H77" s="14"/>
      <c r="I77" s="15">
        <f>LARGE(M78:O78,1)</f>
        <v>36.389264816006701</v>
      </c>
      <c r="J77" s="23" t="s">
        <v>14</v>
      </c>
      <c r="M77" t="s">
        <v>60</v>
      </c>
      <c r="N77" t="s">
        <v>69</v>
      </c>
      <c r="O77" t="s">
        <v>70</v>
      </c>
    </row>
    <row r="78" spans="5:18" x14ac:dyDescent="0.25">
      <c r="E78" s="13"/>
      <c r="F78" s="13"/>
      <c r="G78" s="14"/>
      <c r="H78" s="14"/>
      <c r="I78" s="15"/>
      <c r="J78" s="23"/>
      <c r="M78">
        <f>I73</f>
        <v>2.9596491228070168</v>
      </c>
      <c r="N78">
        <f>I75</f>
        <v>32.32867463230086</v>
      </c>
      <c r="O78">
        <f>J67</f>
        <v>36.389264816006701</v>
      </c>
    </row>
    <row r="79" spans="5:18" x14ac:dyDescent="0.25">
      <c r="E79" s="14" t="s">
        <v>71</v>
      </c>
      <c r="F79" s="14"/>
      <c r="G79" s="14" t="s">
        <v>72</v>
      </c>
      <c r="H79" s="14"/>
      <c r="I79" s="24">
        <v>3.16</v>
      </c>
      <c r="J79" s="23" t="s">
        <v>14</v>
      </c>
    </row>
    <row r="80" spans="5:18" x14ac:dyDescent="0.25">
      <c r="E80" s="14"/>
      <c r="F80" s="14"/>
      <c r="G80" s="14"/>
      <c r="H80" s="14"/>
      <c r="I80" s="27"/>
      <c r="J80" s="23"/>
    </row>
    <row r="81" spans="5:10" x14ac:dyDescent="0.25">
      <c r="E81" s="14" t="s">
        <v>67</v>
      </c>
      <c r="F81" s="14"/>
      <c r="G81" s="14"/>
      <c r="H81" s="14"/>
      <c r="I81" s="15">
        <f>I77+I79</f>
        <v>39.549264816006698</v>
      </c>
      <c r="J81" s="23" t="s">
        <v>14</v>
      </c>
    </row>
    <row r="82" spans="5:10" x14ac:dyDescent="0.25">
      <c r="E82" s="14"/>
      <c r="F82" s="14"/>
      <c r="G82" s="14"/>
      <c r="H82" s="14"/>
      <c r="I82" s="15"/>
      <c r="J82" s="23"/>
    </row>
    <row r="83" spans="5:10" x14ac:dyDescent="0.25">
      <c r="E83" s="14" t="s">
        <v>73</v>
      </c>
      <c r="F83" s="14"/>
      <c r="G83" s="26"/>
      <c r="H83" s="26"/>
      <c r="I83" s="15">
        <f>I39*$I$81</f>
        <v>39.549264816006698</v>
      </c>
      <c r="J83" s="23" t="s">
        <v>14</v>
      </c>
    </row>
    <row r="84" spans="5:10" x14ac:dyDescent="0.25">
      <c r="E84" s="14"/>
      <c r="F84" s="14"/>
      <c r="G84" s="26"/>
      <c r="H84" s="26"/>
      <c r="I84" s="15"/>
      <c r="J84" s="23"/>
    </row>
    <row r="85" spans="5:10" x14ac:dyDescent="0.25">
      <c r="E85" s="14" t="s">
        <v>74</v>
      </c>
      <c r="F85" s="14"/>
      <c r="G85" s="26"/>
      <c r="H85" s="26"/>
      <c r="I85" s="15">
        <f t="shared" ref="I85" si="0">I41*$I$81</f>
        <v>79.098529632013395</v>
      </c>
      <c r="J85" s="23" t="s">
        <v>14</v>
      </c>
    </row>
    <row r="86" spans="5:10" x14ac:dyDescent="0.25">
      <c r="E86" s="14"/>
      <c r="F86" s="14"/>
      <c r="G86" s="26"/>
      <c r="H86" s="26"/>
      <c r="I86" s="15"/>
      <c r="J86" s="23"/>
    </row>
    <row r="87" spans="5:10" x14ac:dyDescent="0.25">
      <c r="E87" s="14" t="s">
        <v>75</v>
      </c>
      <c r="F87" s="14"/>
      <c r="G87" s="26"/>
      <c r="H87" s="26"/>
      <c r="I87" s="15">
        <f t="shared" ref="I87" si="1">I43*$I$81</f>
        <v>43.266895708711331</v>
      </c>
      <c r="J87" s="23" t="s">
        <v>14</v>
      </c>
    </row>
    <row r="88" spans="5:10" x14ac:dyDescent="0.25">
      <c r="E88" s="14"/>
      <c r="F88" s="14"/>
      <c r="G88" s="26"/>
      <c r="H88" s="26"/>
      <c r="I88" s="15"/>
      <c r="J88" s="23"/>
    </row>
    <row r="89" spans="5:10" x14ac:dyDescent="0.25">
      <c r="E89" s="14" t="s">
        <v>76</v>
      </c>
      <c r="F89" s="14"/>
      <c r="G89" s="26"/>
      <c r="H89" s="26"/>
      <c r="I89" s="15">
        <f t="shared" ref="I89" si="2">I45*$I$81</f>
        <v>104.64735470315372</v>
      </c>
      <c r="J89" s="23" t="s">
        <v>14</v>
      </c>
    </row>
    <row r="90" spans="5:10" x14ac:dyDescent="0.25">
      <c r="E90" s="14"/>
      <c r="F90" s="14"/>
      <c r="G90" s="26"/>
      <c r="H90" s="26"/>
      <c r="I90" s="15"/>
      <c r="J90" s="23"/>
    </row>
    <row r="91" spans="5:10" x14ac:dyDescent="0.25">
      <c r="E91" s="14" t="s">
        <v>77</v>
      </c>
      <c r="F91" s="14"/>
      <c r="G91" s="14"/>
      <c r="H91" s="14"/>
      <c r="I91" s="15">
        <f>I31-I55-(I89/I71)</f>
        <v>158.47597003019581</v>
      </c>
      <c r="J91" s="23" t="s">
        <v>14</v>
      </c>
    </row>
    <row r="92" spans="5:10" x14ac:dyDescent="0.25">
      <c r="E92" s="14"/>
      <c r="F92" s="14"/>
      <c r="G92" s="14"/>
      <c r="H92" s="14"/>
      <c r="I92" s="15"/>
      <c r="J92" s="23"/>
    </row>
    <row r="93" spans="5:10" x14ac:dyDescent="0.25">
      <c r="E93" s="25" t="s">
        <v>78</v>
      </c>
      <c r="F93" s="25"/>
      <c r="G93" s="25"/>
      <c r="H93" s="25"/>
    </row>
    <row r="94" spans="5:10" x14ac:dyDescent="0.25">
      <c r="E94" s="13" t="s">
        <v>79</v>
      </c>
      <c r="F94" s="13"/>
      <c r="G94" s="14"/>
      <c r="H94" s="14"/>
      <c r="I94" s="15">
        <f>-2*I31*-I15</f>
        <v>37.297377114518945</v>
      </c>
      <c r="J94" s="23" t="s">
        <v>14</v>
      </c>
    </row>
    <row r="95" spans="5:10" x14ac:dyDescent="0.25">
      <c r="E95" s="13"/>
      <c r="F95" s="13"/>
      <c r="G95" s="14"/>
      <c r="H95" s="14"/>
      <c r="I95" s="15"/>
      <c r="J95" s="23"/>
    </row>
    <row r="96" spans="5:10" x14ac:dyDescent="0.25">
      <c r="E96" s="25" t="s">
        <v>80</v>
      </c>
      <c r="F96" s="25"/>
      <c r="G96" s="5"/>
      <c r="H96" s="5"/>
    </row>
    <row r="97" spans="5:18" x14ac:dyDescent="0.25">
      <c r="E97" s="13" t="s">
        <v>81</v>
      </c>
      <c r="F97" s="13"/>
      <c r="G97" s="14"/>
      <c r="H97" s="14"/>
      <c r="I97" s="24">
        <v>21</v>
      </c>
      <c r="J97" s="23" t="s">
        <v>14</v>
      </c>
      <c r="K97" s="41" t="s">
        <v>87</v>
      </c>
      <c r="L97" s="41"/>
      <c r="M97" s="41"/>
      <c r="N97" s="41"/>
      <c r="O97" s="41"/>
      <c r="P97" s="41"/>
      <c r="Q97" s="41"/>
      <c r="R97" s="41"/>
    </row>
    <row r="98" spans="5:18" x14ac:dyDescent="0.25">
      <c r="E98" s="13"/>
      <c r="F98" s="13"/>
      <c r="G98" s="14"/>
      <c r="H98" s="14"/>
      <c r="I98" s="24"/>
      <c r="J98" s="23"/>
      <c r="K98" s="41"/>
      <c r="L98" s="41"/>
      <c r="M98" s="41"/>
      <c r="N98" s="41"/>
      <c r="O98" s="41"/>
      <c r="P98" s="41"/>
      <c r="Q98" s="41"/>
      <c r="R98" s="41"/>
    </row>
    <row r="99" spans="5:18" x14ac:dyDescent="0.25">
      <c r="E99" s="14" t="s">
        <v>82</v>
      </c>
      <c r="F99" s="14"/>
      <c r="G99" s="14"/>
      <c r="H99" s="14"/>
      <c r="I99" s="15">
        <f>I28/I97</f>
        <v>1.4285714285714286</v>
      </c>
      <c r="J99" s="23" t="s">
        <v>14</v>
      </c>
    </row>
    <row r="100" spans="5:18" x14ac:dyDescent="0.25">
      <c r="E100" s="14"/>
      <c r="F100" s="14"/>
      <c r="G100" s="14"/>
      <c r="H100" s="14"/>
      <c r="I100" s="15"/>
      <c r="J100" s="23"/>
    </row>
    <row r="101" spans="5:18" ht="15" customHeight="1" x14ac:dyDescent="0.25">
      <c r="E101" s="14" t="s">
        <v>83</v>
      </c>
      <c r="F101" s="14"/>
      <c r="G101" s="14"/>
      <c r="H101" s="14"/>
      <c r="I101" s="24">
        <v>-13.004</v>
      </c>
      <c r="J101" s="23" t="s">
        <v>14</v>
      </c>
      <c r="K101" s="40" t="s">
        <v>86</v>
      </c>
      <c r="L101" s="40"/>
      <c r="M101" s="40"/>
      <c r="N101" s="40"/>
      <c r="O101" s="40"/>
      <c r="P101" s="40"/>
      <c r="Q101" s="40"/>
      <c r="R101" s="40"/>
    </row>
    <row r="102" spans="5:18" ht="15" customHeight="1" x14ac:dyDescent="0.25">
      <c r="E102" s="14"/>
      <c r="F102" s="14"/>
      <c r="G102" s="14"/>
      <c r="H102" s="14"/>
      <c r="I102" s="24"/>
      <c r="J102" s="23"/>
      <c r="K102" s="40"/>
      <c r="L102" s="40"/>
      <c r="M102" s="40"/>
      <c r="N102" s="40"/>
      <c r="O102" s="40"/>
      <c r="P102" s="40"/>
      <c r="Q102" s="40"/>
      <c r="R102" s="40"/>
    </row>
    <row r="103" spans="5:18" ht="15" customHeight="1" x14ac:dyDescent="0.25">
      <c r="E103" s="14" t="s">
        <v>84</v>
      </c>
      <c r="F103" s="14"/>
      <c r="G103" s="14"/>
      <c r="H103" s="14"/>
      <c r="I103" s="24">
        <v>20.122</v>
      </c>
      <c r="J103" s="23" t="s">
        <v>14</v>
      </c>
      <c r="K103" s="40"/>
      <c r="L103" s="40"/>
      <c r="M103" s="40"/>
      <c r="N103" s="40"/>
      <c r="O103" s="40"/>
      <c r="P103" s="40"/>
      <c r="Q103" s="40"/>
      <c r="R103" s="40"/>
    </row>
    <row r="104" spans="5:18" ht="15" customHeight="1" x14ac:dyDescent="0.25">
      <c r="E104" s="14"/>
      <c r="F104" s="14"/>
      <c r="G104" s="14"/>
      <c r="H104" s="14"/>
      <c r="I104" s="24"/>
      <c r="J104" s="23"/>
      <c r="K104" s="40"/>
      <c r="L104" s="40"/>
      <c r="M104" s="40"/>
      <c r="N104" s="40"/>
      <c r="O104" s="40"/>
      <c r="P104" s="40"/>
      <c r="Q104" s="40"/>
      <c r="R104" s="40"/>
    </row>
    <row r="105" spans="5:18" ht="15" customHeight="1" x14ac:dyDescent="0.25">
      <c r="E105" s="14" t="s">
        <v>85</v>
      </c>
      <c r="F105" s="14"/>
      <c r="G105" s="14"/>
      <c r="H105" s="14"/>
      <c r="I105" s="24">
        <v>29.925999999999998</v>
      </c>
      <c r="J105" s="23" t="s">
        <v>14</v>
      </c>
      <c r="K105" s="40"/>
      <c r="L105" s="40"/>
      <c r="M105" s="40"/>
      <c r="N105" s="40"/>
      <c r="O105" s="40"/>
      <c r="P105" s="40"/>
      <c r="Q105" s="40"/>
      <c r="R105" s="40"/>
    </row>
    <row r="106" spans="5:18" ht="15" customHeight="1" x14ac:dyDescent="0.25">
      <c r="E106" s="14"/>
      <c r="F106" s="14"/>
      <c r="G106" s="14"/>
      <c r="H106" s="14"/>
      <c r="I106" s="24"/>
      <c r="J106" s="23"/>
      <c r="K106" s="40"/>
      <c r="L106" s="40"/>
      <c r="M106" s="40"/>
      <c r="N106" s="40"/>
      <c r="O106" s="40"/>
      <c r="P106" s="40"/>
      <c r="Q106" s="40"/>
      <c r="R106" s="40"/>
    </row>
    <row r="107" spans="5:18" ht="15" customHeight="1" x14ac:dyDescent="0.25">
      <c r="E107" s="14" t="s">
        <v>88</v>
      </c>
      <c r="F107" s="14"/>
      <c r="G107" s="14"/>
      <c r="H107" s="14"/>
      <c r="I107" s="15">
        <f>(I105^2)/I31 + I103</f>
        <v>23.853522816666665</v>
      </c>
      <c r="J107" s="23" t="s">
        <v>14</v>
      </c>
      <c r="K107" s="12"/>
      <c r="L107" s="12"/>
      <c r="M107" s="12"/>
      <c r="N107" s="12"/>
      <c r="O107" s="12"/>
      <c r="P107" s="12"/>
      <c r="Q107" s="12"/>
      <c r="R107" s="12"/>
    </row>
    <row r="108" spans="5:18" ht="15" customHeight="1" x14ac:dyDescent="0.25">
      <c r="E108" s="14"/>
      <c r="F108" s="14"/>
      <c r="G108" s="14"/>
      <c r="H108" s="14"/>
      <c r="I108" s="15"/>
      <c r="J108" s="23"/>
      <c r="K108" s="12"/>
      <c r="L108" s="12"/>
      <c r="M108" s="12"/>
      <c r="N108" s="12"/>
      <c r="O108" s="12"/>
      <c r="P108" s="12"/>
      <c r="Q108" s="12"/>
      <c r="R108" s="12"/>
    </row>
    <row r="109" spans="5:18" x14ac:dyDescent="0.25">
      <c r="E109" s="14" t="s">
        <v>90</v>
      </c>
      <c r="F109" s="14"/>
      <c r="G109" s="14"/>
      <c r="H109" s="14"/>
      <c r="I109" s="15">
        <f>-I107</f>
        <v>-23.853522816666665</v>
      </c>
      <c r="J109" s="23" t="s">
        <v>14</v>
      </c>
    </row>
    <row r="110" spans="5:18" x14ac:dyDescent="0.25">
      <c r="E110" s="14"/>
      <c r="F110" s="14"/>
      <c r="G110" s="14"/>
      <c r="H110" s="14"/>
      <c r="I110" s="15"/>
      <c r="J110" s="23"/>
    </row>
    <row r="111" spans="5:18" x14ac:dyDescent="0.25">
      <c r="E111" s="14" t="s">
        <v>89</v>
      </c>
      <c r="F111" s="14"/>
      <c r="G111" s="14"/>
      <c r="H111" s="14"/>
      <c r="I111" s="15">
        <f>-I101</f>
        <v>13.004</v>
      </c>
      <c r="J111" s="23" t="s">
        <v>14</v>
      </c>
    </row>
    <row r="112" spans="5:18" x14ac:dyDescent="0.25">
      <c r="E112" s="14"/>
      <c r="F112" s="14"/>
      <c r="G112" s="14"/>
      <c r="H112" s="14"/>
      <c r="I112" s="15"/>
      <c r="J112" s="23"/>
    </row>
    <row r="113" spans="5:10" x14ac:dyDescent="0.25">
      <c r="E113" s="14" t="s">
        <v>91</v>
      </c>
      <c r="F113" s="14"/>
      <c r="G113" s="14"/>
      <c r="H113" s="14"/>
      <c r="I113" s="15">
        <f>-I103</f>
        <v>-20.122</v>
      </c>
      <c r="J113" s="23" t="s">
        <v>14</v>
      </c>
    </row>
    <row r="114" spans="5:10" x14ac:dyDescent="0.25">
      <c r="E114" s="14"/>
      <c r="F114" s="14"/>
      <c r="G114" s="14"/>
      <c r="H114" s="14"/>
      <c r="I114" s="15"/>
      <c r="J114" s="23"/>
    </row>
    <row r="115" spans="5:10" x14ac:dyDescent="0.25">
      <c r="E115" s="13" t="s">
        <v>92</v>
      </c>
      <c r="F115" s="13"/>
      <c r="G115" s="14"/>
      <c r="H115" s="14"/>
      <c r="I115" s="15">
        <f>I111+I55</f>
        <v>25.603999999999999</v>
      </c>
      <c r="J115" s="23" t="s">
        <v>14</v>
      </c>
    </row>
    <row r="116" spans="5:10" x14ac:dyDescent="0.25">
      <c r="E116" s="13"/>
      <c r="F116" s="13"/>
      <c r="G116" s="14"/>
      <c r="H116" s="14"/>
      <c r="I116" s="15"/>
      <c r="J116" s="23"/>
    </row>
    <row r="117" spans="5:10" ht="21" x14ac:dyDescent="0.35">
      <c r="E117" s="19" t="s">
        <v>93</v>
      </c>
      <c r="F117" s="19"/>
      <c r="G117" s="19"/>
      <c r="H117" s="19"/>
      <c r="I117" s="19"/>
      <c r="J117" s="19"/>
    </row>
    <row r="118" spans="5:10" x14ac:dyDescent="0.25">
      <c r="E118" s="13" t="s">
        <v>94</v>
      </c>
      <c r="F118" s="13"/>
      <c r="G118" s="14"/>
      <c r="H118" s="14"/>
      <c r="I118" s="24">
        <v>-0.10333000000000001</v>
      </c>
      <c r="J118" s="23" t="s">
        <v>14</v>
      </c>
    </row>
    <row r="119" spans="5:10" x14ac:dyDescent="0.25">
      <c r="E119" s="13"/>
      <c r="F119" s="13"/>
      <c r="G119" s="14"/>
      <c r="H119" s="14"/>
      <c r="I119" s="24"/>
      <c r="J119" s="23"/>
    </row>
    <row r="120" spans="5:10" x14ac:dyDescent="0.25">
      <c r="E120" s="13" t="s">
        <v>95</v>
      </c>
      <c r="F120" s="13"/>
      <c r="G120" s="14"/>
      <c r="H120" s="14"/>
      <c r="I120" s="24">
        <v>-0.12363</v>
      </c>
      <c r="J120" s="23" t="s">
        <v>14</v>
      </c>
    </row>
    <row r="121" spans="5:10" x14ac:dyDescent="0.25">
      <c r="E121" s="13"/>
      <c r="F121" s="13"/>
      <c r="G121" s="14"/>
      <c r="H121" s="14"/>
      <c r="I121" s="24"/>
      <c r="J121" s="23"/>
    </row>
    <row r="122" spans="5:10" x14ac:dyDescent="0.25">
      <c r="E122" s="13" t="s">
        <v>96</v>
      </c>
      <c r="F122" s="13"/>
      <c r="G122" s="14"/>
      <c r="H122" s="14"/>
      <c r="I122" s="24">
        <v>-1.6299999999999999E-2</v>
      </c>
      <c r="J122" s="23" t="s">
        <v>14</v>
      </c>
    </row>
    <row r="123" spans="5:10" x14ac:dyDescent="0.25">
      <c r="E123" s="13"/>
      <c r="F123" s="13"/>
      <c r="G123" s="14"/>
      <c r="H123" s="14"/>
      <c r="I123" s="24"/>
      <c r="J123" s="23"/>
    </row>
    <row r="124" spans="5:10" x14ac:dyDescent="0.25">
      <c r="E124" s="13" t="s">
        <v>98</v>
      </c>
      <c r="F124" s="13"/>
      <c r="G124" s="14"/>
      <c r="H124" s="14"/>
      <c r="I124" s="15">
        <f>I61*(I120+I122)</f>
        <v>-6.9964999999999999E-2</v>
      </c>
      <c r="J124" s="23" t="s">
        <v>14</v>
      </c>
    </row>
    <row r="125" spans="5:10" x14ac:dyDescent="0.25">
      <c r="E125" s="13"/>
      <c r="F125" s="13"/>
      <c r="G125" s="14"/>
      <c r="H125" s="14"/>
      <c r="I125" s="15"/>
      <c r="J125" s="23"/>
    </row>
    <row r="126" spans="5:10" x14ac:dyDescent="0.25">
      <c r="E126" s="13" t="s">
        <v>97</v>
      </c>
      <c r="F126" s="13"/>
      <c r="G126" s="14"/>
      <c r="H126" s="14"/>
      <c r="I126" s="24">
        <v>0.30275000000000002</v>
      </c>
      <c r="J126" s="23" t="s">
        <v>14</v>
      </c>
    </row>
    <row r="127" spans="5:10" x14ac:dyDescent="0.25">
      <c r="E127" s="13"/>
      <c r="F127" s="13"/>
      <c r="G127" s="14"/>
      <c r="H127" s="14"/>
      <c r="I127" s="24"/>
      <c r="J127" s="23"/>
    </row>
    <row r="128" spans="5:10" x14ac:dyDescent="0.25">
      <c r="E128" s="13" t="s">
        <v>99</v>
      </c>
      <c r="F128" s="13"/>
      <c r="G128" s="14"/>
      <c r="H128" s="14"/>
      <c r="I128" s="15">
        <f>-I118</f>
        <v>0.10333000000000001</v>
      </c>
      <c r="J128" s="23" t="s">
        <v>14</v>
      </c>
    </row>
    <row r="129" spans="5:21" x14ac:dyDescent="0.25">
      <c r="E129" s="13"/>
      <c r="F129" s="13"/>
      <c r="G129" s="14"/>
      <c r="H129" s="14"/>
      <c r="I129" s="15"/>
      <c r="J129" s="23"/>
    </row>
    <row r="130" spans="5:21" x14ac:dyDescent="0.25">
      <c r="E130" s="13" t="s">
        <v>100</v>
      </c>
      <c r="F130" s="13"/>
      <c r="G130" s="14"/>
      <c r="H130" s="14"/>
      <c r="I130" s="15">
        <f>I124</f>
        <v>-6.9964999999999999E-2</v>
      </c>
      <c r="J130" s="23" t="s">
        <v>14</v>
      </c>
    </row>
    <row r="131" spans="5:21" x14ac:dyDescent="0.25">
      <c r="E131" s="13"/>
      <c r="F131" s="13"/>
      <c r="G131" s="14"/>
      <c r="H131" s="14"/>
      <c r="I131" s="15"/>
      <c r="J131" s="23"/>
    </row>
    <row r="132" spans="5:21" x14ac:dyDescent="0.25">
      <c r="E132" s="13" t="s">
        <v>101</v>
      </c>
      <c r="F132" s="13"/>
      <c r="G132" s="14"/>
      <c r="H132" s="14"/>
      <c r="I132" s="15">
        <f>-I126</f>
        <v>-0.30275000000000002</v>
      </c>
      <c r="J132" s="23" t="s">
        <v>14</v>
      </c>
    </row>
    <row r="133" spans="5:21" x14ac:dyDescent="0.25">
      <c r="E133" s="13"/>
      <c r="F133" s="13"/>
      <c r="G133" s="14"/>
      <c r="H133" s="14"/>
      <c r="I133" s="15"/>
      <c r="J133" s="23"/>
    </row>
    <row r="134" spans="5:21" ht="21" x14ac:dyDescent="0.35">
      <c r="E134" s="19" t="s">
        <v>102</v>
      </c>
      <c r="F134" s="19"/>
      <c r="G134" s="19"/>
      <c r="H134" s="19"/>
      <c r="I134" s="19"/>
      <c r="J134" s="19"/>
    </row>
    <row r="135" spans="5:21" x14ac:dyDescent="0.25">
      <c r="E135" s="13" t="s">
        <v>106</v>
      </c>
      <c r="F135" s="13"/>
      <c r="G135" s="14" t="s">
        <v>106</v>
      </c>
      <c r="H135" s="14"/>
      <c r="I135" s="15">
        <f>I34/2</f>
        <v>20</v>
      </c>
      <c r="J135" s="23" t="s">
        <v>14</v>
      </c>
      <c r="K135" s="41" t="s">
        <v>107</v>
      </c>
      <c r="L135" s="41"/>
      <c r="M135" s="41"/>
      <c r="N135" s="41"/>
      <c r="O135" s="41"/>
      <c r="P135" s="41"/>
      <c r="Q135" s="41"/>
      <c r="R135" s="41"/>
    </row>
    <row r="136" spans="5:21" x14ac:dyDescent="0.25">
      <c r="E136" s="13"/>
      <c r="F136" s="13"/>
      <c r="G136" s="14"/>
      <c r="H136" s="14"/>
      <c r="I136" s="15"/>
      <c r="J136" s="23"/>
      <c r="K136" s="41"/>
      <c r="L136" s="41"/>
      <c r="M136" s="41"/>
      <c r="N136" s="41"/>
      <c r="O136" s="41"/>
      <c r="P136" s="41"/>
      <c r="Q136" s="41"/>
      <c r="R136" s="41"/>
    </row>
    <row r="137" spans="5:21" x14ac:dyDescent="0.25">
      <c r="E137" s="13" t="s">
        <v>103</v>
      </c>
      <c r="F137" s="13"/>
      <c r="G137" s="14"/>
      <c r="H137" s="20"/>
      <c r="I137" s="21">
        <f>-(2*I128*I31)/(I135^2)</f>
        <v>-0.12399600000000001</v>
      </c>
    </row>
    <row r="138" spans="5:21" x14ac:dyDescent="0.25">
      <c r="E138" s="13"/>
      <c r="F138" s="13"/>
      <c r="G138" s="14"/>
      <c r="H138" s="20"/>
      <c r="I138" s="22"/>
    </row>
    <row r="139" spans="5:21" x14ac:dyDescent="0.25">
      <c r="E139" s="13" t="s">
        <v>104</v>
      </c>
      <c r="F139" s="13"/>
      <c r="G139" s="14"/>
      <c r="H139" s="14"/>
      <c r="I139" s="15">
        <f>-(2*I31*(I130))/(3*I63^2*(-I15))</f>
        <v>-1.440667525628311</v>
      </c>
    </row>
    <row r="140" spans="5:21" x14ac:dyDescent="0.25">
      <c r="E140" s="13"/>
      <c r="F140" s="13"/>
      <c r="G140" s="14"/>
      <c r="H140" s="14"/>
      <c r="I140" s="15"/>
    </row>
    <row r="141" spans="5:21" ht="15" customHeight="1" x14ac:dyDescent="0.25">
      <c r="E141" s="13" t="s">
        <v>105</v>
      </c>
      <c r="F141" s="13"/>
      <c r="G141" s="14"/>
      <c r="H141" s="14"/>
      <c r="I141" s="15">
        <f>I132/I31</f>
        <v>-1.2614583333333334E-3</v>
      </c>
    </row>
    <row r="142" spans="5:21" x14ac:dyDescent="0.25">
      <c r="E142" s="13"/>
      <c r="F142" s="13"/>
      <c r="G142" s="14"/>
      <c r="H142" s="14"/>
      <c r="I142" s="15"/>
    </row>
    <row r="143" spans="5:21" ht="15" customHeight="1" x14ac:dyDescent="0.25">
      <c r="E143" s="14" t="s">
        <v>108</v>
      </c>
      <c r="F143" s="14"/>
      <c r="G143" s="17"/>
      <c r="H143" s="17"/>
      <c r="I143" s="17"/>
      <c r="J143" s="18"/>
      <c r="K143" s="16">
        <f>(I137-0.84*(I139-0.08)^2)/(1-0.022*(I139-0.08)+0.002*(I139-0.08)^2)</f>
        <v>-1.9906345112684967</v>
      </c>
      <c r="L143" s="42" t="s">
        <v>110</v>
      </c>
      <c r="M143" s="43"/>
      <c r="N143" s="43"/>
      <c r="O143" s="43"/>
      <c r="P143" s="43"/>
      <c r="Q143" s="43"/>
      <c r="R143" s="43"/>
    </row>
    <row r="144" spans="5:21" ht="15" customHeight="1" x14ac:dyDescent="0.25">
      <c r="E144" s="14"/>
      <c r="F144" s="14"/>
      <c r="G144" s="17"/>
      <c r="H144" s="17"/>
      <c r="I144" s="17"/>
      <c r="J144" s="18"/>
      <c r="K144" s="16"/>
      <c r="L144" s="45"/>
      <c r="M144" s="46"/>
      <c r="N144" s="46"/>
      <c r="O144" s="46"/>
      <c r="P144" s="46"/>
      <c r="Q144" s="46"/>
      <c r="R144" s="46"/>
      <c r="T144" s="36">
        <f>I139</f>
        <v>-1.440667525628311</v>
      </c>
      <c r="U144" s="36">
        <f t="array" ref="U144">INDEX(T145:T146,MATCH(MIN(ABS(T145:T146-I139)),ABS(T145:T146-I139),0))</f>
        <v>0.1</v>
      </c>
    </row>
    <row r="145" spans="5:21" ht="15" customHeight="1" x14ac:dyDescent="0.25">
      <c r="E145" s="14" t="s">
        <v>109</v>
      </c>
      <c r="F145" s="14"/>
      <c r="G145" s="17"/>
      <c r="H145" s="17"/>
      <c r="I145" s="17"/>
      <c r="J145" s="18"/>
      <c r="K145" s="16">
        <f>(I137-0.84*(I139-0.21)^2)/(1-0.025*(I139-0.21)+0.002*(I139-0.21)^2)</f>
        <v>-2.3050632043895343</v>
      </c>
      <c r="L145" s="45"/>
      <c r="M145" s="46"/>
      <c r="N145" s="46"/>
      <c r="O145" s="46"/>
      <c r="P145" s="46"/>
      <c r="Q145" s="46"/>
      <c r="R145" s="46"/>
      <c r="T145" s="36">
        <v>0.1</v>
      </c>
      <c r="U145" s="36"/>
    </row>
    <row r="146" spans="5:21" ht="15" customHeight="1" x14ac:dyDescent="0.25">
      <c r="E146" s="14"/>
      <c r="F146" s="14"/>
      <c r="G146" s="17"/>
      <c r="H146" s="17"/>
      <c r="I146" s="17"/>
      <c r="J146" s="18"/>
      <c r="K146" s="16"/>
      <c r="L146" s="48"/>
      <c r="M146" s="49"/>
      <c r="N146" s="49"/>
      <c r="O146" s="49"/>
      <c r="P146" s="49"/>
      <c r="Q146" s="49"/>
      <c r="R146" s="49"/>
      <c r="T146" s="36">
        <v>0.2</v>
      </c>
      <c r="U146" s="36"/>
    </row>
    <row r="147" spans="5:21" x14ac:dyDescent="0.25">
      <c r="E147" s="13" t="s">
        <v>111</v>
      </c>
      <c r="F147" s="13"/>
      <c r="G147" s="13" t="s">
        <v>111</v>
      </c>
      <c r="H147" s="13"/>
      <c r="I147" s="15">
        <f>T150</f>
        <v>-2E-3</v>
      </c>
      <c r="S147" s="36">
        <v>-6.0000000000000001E-3</v>
      </c>
      <c r="T147" s="36"/>
    </row>
    <row r="148" spans="5:21" x14ac:dyDescent="0.25">
      <c r="E148" s="13"/>
      <c r="F148" s="13"/>
      <c r="G148" s="13"/>
      <c r="H148" s="13"/>
      <c r="I148" s="15"/>
      <c r="S148" s="36">
        <v>-4.0000000000000001E-3</v>
      </c>
      <c r="T148" s="36"/>
    </row>
    <row r="149" spans="5:21" x14ac:dyDescent="0.25">
      <c r="E149" s="13" t="s">
        <v>112</v>
      </c>
      <c r="F149" s="13"/>
      <c r="G149" s="13" t="s">
        <v>112</v>
      </c>
      <c r="H149" s="13"/>
      <c r="I149" s="15">
        <f>I147+0.002</f>
        <v>0</v>
      </c>
      <c r="S149" s="36">
        <v>-2E-3</v>
      </c>
      <c r="T149" s="36"/>
    </row>
    <row r="150" spans="5:21" x14ac:dyDescent="0.25">
      <c r="E150" s="13"/>
      <c r="F150" s="13"/>
      <c r="G150" s="13"/>
      <c r="H150" s="13"/>
      <c r="I150" s="15"/>
      <c r="S150" s="36">
        <v>0</v>
      </c>
      <c r="T150" s="36">
        <f t="array" ref="T150">INDEX(S147:S153,MATCH(MIN(ABS(S147:S153-I141)),ABS(S147:S153-I141),0))</f>
        <v>-2E-3</v>
      </c>
    </row>
    <row r="151" spans="5:21" x14ac:dyDescent="0.25">
      <c r="E151" s="13" t="s">
        <v>113</v>
      </c>
      <c r="F151" s="13"/>
      <c r="G151" s="13" t="s">
        <v>113</v>
      </c>
      <c r="H151" s="13"/>
      <c r="I151" s="15">
        <f>I149+0.002</f>
        <v>2E-3</v>
      </c>
      <c r="S151" s="36">
        <v>2E-3</v>
      </c>
      <c r="T151" s="36"/>
    </row>
    <row r="152" spans="5:21" x14ac:dyDescent="0.25">
      <c r="E152" s="13"/>
      <c r="F152" s="13"/>
      <c r="G152" s="13"/>
      <c r="H152" s="13"/>
      <c r="I152" s="15"/>
      <c r="S152" s="36">
        <v>4.0000000000000001E-3</v>
      </c>
      <c r="T152" s="36"/>
    </row>
    <row r="153" spans="5:21" x14ac:dyDescent="0.25">
      <c r="E153" s="13" t="s">
        <v>114</v>
      </c>
      <c r="F153" s="13"/>
      <c r="G153" s="14"/>
      <c r="H153" s="14"/>
      <c r="I153" s="15">
        <f>(I141-I147)/(I149-I147)</f>
        <v>0.36927083333333333</v>
      </c>
      <c r="S153" s="36">
        <v>6.0000000000000001E-3</v>
      </c>
      <c r="T153" s="36"/>
    </row>
    <row r="154" spans="5:21" x14ac:dyDescent="0.25">
      <c r="E154" s="13"/>
      <c r="F154" s="13"/>
      <c r="G154" s="14"/>
      <c r="H154" s="14"/>
      <c r="I154" s="15"/>
    </row>
    <row r="155" spans="5:21" ht="15" customHeight="1" x14ac:dyDescent="0.25">
      <c r="E155" s="13" t="s">
        <v>115</v>
      </c>
      <c r="F155" s="13"/>
      <c r="G155" s="13" t="s">
        <v>115</v>
      </c>
      <c r="H155" s="13"/>
      <c r="I155" s="24">
        <v>-1.607</v>
      </c>
      <c r="K155" s="42" t="s">
        <v>121</v>
      </c>
      <c r="L155" s="43"/>
      <c r="M155" s="43"/>
      <c r="N155" s="43"/>
      <c r="O155" s="43"/>
      <c r="P155" s="43"/>
      <c r="Q155" s="43"/>
      <c r="R155" s="44"/>
    </row>
    <row r="156" spans="5:21" ht="15" customHeight="1" x14ac:dyDescent="0.25">
      <c r="E156" s="13"/>
      <c r="F156" s="13"/>
      <c r="G156" s="13"/>
      <c r="H156" s="13"/>
      <c r="I156" s="24"/>
      <c r="K156" s="45"/>
      <c r="L156" s="46"/>
      <c r="M156" s="46"/>
      <c r="N156" s="46"/>
      <c r="O156" s="46"/>
      <c r="P156" s="46"/>
      <c r="Q156" s="46"/>
      <c r="R156" s="47"/>
    </row>
    <row r="157" spans="5:21" ht="15" customHeight="1" x14ac:dyDescent="0.25">
      <c r="E157" s="13" t="s">
        <v>116</v>
      </c>
      <c r="F157" s="13"/>
      <c r="G157" s="13" t="s">
        <v>116</v>
      </c>
      <c r="H157" s="13"/>
      <c r="I157" s="24">
        <v>-2.5720000000000001</v>
      </c>
      <c r="K157" s="45"/>
      <c r="L157" s="46"/>
      <c r="M157" s="46"/>
      <c r="N157" s="46"/>
      <c r="O157" s="46"/>
      <c r="P157" s="46"/>
      <c r="Q157" s="46"/>
      <c r="R157" s="47"/>
    </row>
    <row r="158" spans="5:21" ht="15" customHeight="1" x14ac:dyDescent="0.25">
      <c r="E158" s="13"/>
      <c r="F158" s="13"/>
      <c r="G158" s="13"/>
      <c r="H158" s="13"/>
      <c r="I158" s="24"/>
      <c r="K158" s="45"/>
      <c r="L158" s="46"/>
      <c r="M158" s="46"/>
      <c r="N158" s="46"/>
      <c r="O158" s="46"/>
      <c r="P158" s="46"/>
      <c r="Q158" s="46"/>
      <c r="R158" s="47"/>
    </row>
    <row r="159" spans="5:21" ht="15" customHeight="1" x14ac:dyDescent="0.25">
      <c r="E159" s="13" t="s">
        <v>117</v>
      </c>
      <c r="F159" s="13"/>
      <c r="G159" s="13" t="s">
        <v>117</v>
      </c>
      <c r="H159" s="13"/>
      <c r="I159" s="24">
        <v>-3.7</v>
      </c>
      <c r="K159" s="45"/>
      <c r="L159" s="46"/>
      <c r="M159" s="46"/>
      <c r="N159" s="46"/>
      <c r="O159" s="46"/>
      <c r="P159" s="46"/>
      <c r="Q159" s="46"/>
      <c r="R159" s="47"/>
    </row>
    <row r="160" spans="5:21" ht="15" customHeight="1" x14ac:dyDescent="0.25">
      <c r="E160" s="13"/>
      <c r="F160" s="13"/>
      <c r="G160" s="13"/>
      <c r="H160" s="13"/>
      <c r="I160" s="24"/>
      <c r="K160" s="48"/>
      <c r="L160" s="49"/>
      <c r="M160" s="49"/>
      <c r="N160" s="49"/>
      <c r="O160" s="49"/>
      <c r="P160" s="49"/>
      <c r="Q160" s="49"/>
      <c r="R160" s="50"/>
    </row>
    <row r="161" spans="5:18" ht="15" customHeight="1" x14ac:dyDescent="0.25">
      <c r="E161" s="37" t="s">
        <v>118</v>
      </c>
      <c r="F161" s="13"/>
      <c r="G161" s="37" t="s">
        <v>118</v>
      </c>
      <c r="H161" s="13"/>
      <c r="I161" s="15">
        <f>I157-I155</f>
        <v>-0.96500000000000008</v>
      </c>
    </row>
    <row r="162" spans="5:18" ht="15" customHeight="1" x14ac:dyDescent="0.25">
      <c r="E162" s="13"/>
      <c r="F162" s="13"/>
      <c r="G162" s="13"/>
      <c r="H162" s="13"/>
      <c r="I162" s="15"/>
    </row>
    <row r="163" spans="5:18" x14ac:dyDescent="0.25">
      <c r="E163" s="37" t="s">
        <v>119</v>
      </c>
      <c r="F163" s="13"/>
      <c r="G163" s="37" t="s">
        <v>119</v>
      </c>
      <c r="H163" s="13"/>
      <c r="I163" s="15">
        <f>I159-I157</f>
        <v>-1.1280000000000001</v>
      </c>
    </row>
    <row r="164" spans="5:18" x14ac:dyDescent="0.25">
      <c r="E164" s="13"/>
      <c r="F164" s="13"/>
      <c r="G164" s="13"/>
      <c r="H164" s="13"/>
      <c r="I164" s="15"/>
    </row>
    <row r="165" spans="5:18" x14ac:dyDescent="0.25">
      <c r="E165" s="13" t="s">
        <v>120</v>
      </c>
      <c r="F165" s="13"/>
      <c r="G165" s="13" t="s">
        <v>120</v>
      </c>
      <c r="H165" s="13"/>
      <c r="I165" s="15">
        <f>I155+I153*I161+0.5*I153*(I153-1)*(I163-I161)</f>
        <v>-1.9443641985405815</v>
      </c>
      <c r="K165" s="41" t="s">
        <v>122</v>
      </c>
      <c r="L165" s="41"/>
      <c r="M165" s="41"/>
      <c r="N165" s="41"/>
      <c r="O165" s="41"/>
      <c r="P165" s="41"/>
      <c r="Q165" s="41"/>
      <c r="R165" s="41"/>
    </row>
    <row r="166" spans="5:18" x14ac:dyDescent="0.25">
      <c r="E166" s="13"/>
      <c r="F166" s="13"/>
      <c r="G166" s="13"/>
      <c r="H166" s="13"/>
      <c r="I166" s="15"/>
      <c r="K166" s="41"/>
      <c r="L166" s="41"/>
      <c r="M166" s="41"/>
      <c r="N166" s="41"/>
      <c r="O166" s="41"/>
      <c r="P166" s="41"/>
      <c r="Q166" s="41"/>
      <c r="R166" s="41"/>
    </row>
    <row r="167" spans="5:18" ht="15" customHeight="1" x14ac:dyDescent="0.25">
      <c r="E167" s="13" t="s">
        <v>123</v>
      </c>
      <c r="F167" s="13"/>
      <c r="G167" s="13" t="s">
        <v>123</v>
      </c>
      <c r="H167" s="13"/>
      <c r="I167" s="24">
        <v>-5.173</v>
      </c>
      <c r="K167" s="42" t="s">
        <v>138</v>
      </c>
      <c r="L167" s="43"/>
      <c r="M167" s="43"/>
      <c r="N167" s="43"/>
      <c r="O167" s="43"/>
      <c r="P167" s="43"/>
      <c r="Q167" s="43"/>
      <c r="R167" s="44"/>
    </row>
    <row r="168" spans="5:18" ht="15" customHeight="1" x14ac:dyDescent="0.25">
      <c r="E168" s="13"/>
      <c r="F168" s="13"/>
      <c r="G168" s="13"/>
      <c r="H168" s="13"/>
      <c r="I168" s="24"/>
      <c r="K168" s="45"/>
      <c r="L168" s="46"/>
      <c r="M168" s="46"/>
      <c r="N168" s="46"/>
      <c r="O168" s="46"/>
      <c r="P168" s="46"/>
      <c r="Q168" s="46"/>
      <c r="R168" s="47"/>
    </row>
    <row r="169" spans="5:18" ht="15" customHeight="1" x14ac:dyDescent="0.25">
      <c r="E169" s="13" t="s">
        <v>124</v>
      </c>
      <c r="F169" s="13"/>
      <c r="G169" s="13" t="s">
        <v>124</v>
      </c>
      <c r="H169" s="13"/>
      <c r="I169" s="24">
        <v>0.01</v>
      </c>
      <c r="K169" s="45"/>
      <c r="L169" s="46"/>
      <c r="M169" s="46"/>
      <c r="N169" s="46"/>
      <c r="O169" s="46"/>
      <c r="P169" s="46"/>
      <c r="Q169" s="46"/>
      <c r="R169" s="47"/>
    </row>
    <row r="170" spans="5:18" ht="15" customHeight="1" x14ac:dyDescent="0.25">
      <c r="E170" s="13"/>
      <c r="F170" s="13"/>
      <c r="G170" s="13"/>
      <c r="H170" s="13"/>
      <c r="I170" s="24"/>
      <c r="K170" s="45"/>
      <c r="L170" s="46"/>
      <c r="M170" s="46"/>
      <c r="N170" s="46"/>
      <c r="O170" s="46"/>
      <c r="P170" s="46"/>
      <c r="Q170" s="46"/>
      <c r="R170" s="47"/>
    </row>
    <row r="171" spans="5:18" ht="15" customHeight="1" x14ac:dyDescent="0.25">
      <c r="E171" s="37" t="s">
        <v>125</v>
      </c>
      <c r="F171" s="13"/>
      <c r="G171" s="37" t="s">
        <v>125</v>
      </c>
      <c r="H171" s="13"/>
      <c r="I171" s="24">
        <v>2.4460000000000002</v>
      </c>
      <c r="K171" s="45"/>
      <c r="L171" s="46"/>
      <c r="M171" s="46"/>
      <c r="N171" s="46"/>
      <c r="O171" s="46"/>
      <c r="P171" s="46"/>
      <c r="Q171" s="46"/>
      <c r="R171" s="47"/>
    </row>
    <row r="172" spans="5:18" ht="15" customHeight="1" x14ac:dyDescent="0.25">
      <c r="E172" s="13"/>
      <c r="F172" s="13"/>
      <c r="G172" s="13"/>
      <c r="H172" s="13"/>
      <c r="I172" s="24"/>
      <c r="K172" s="45"/>
      <c r="L172" s="46"/>
      <c r="M172" s="46"/>
      <c r="N172" s="46"/>
      <c r="O172" s="46"/>
      <c r="P172" s="46"/>
      <c r="Q172" s="46"/>
      <c r="R172" s="47"/>
    </row>
    <row r="173" spans="5:18" ht="15" customHeight="1" x14ac:dyDescent="0.25">
      <c r="E173" s="37" t="s">
        <v>126</v>
      </c>
      <c r="F173" s="13"/>
      <c r="G173" s="37" t="s">
        <v>126</v>
      </c>
      <c r="H173" s="13"/>
      <c r="I173" s="24">
        <v>0.71499999999999997</v>
      </c>
      <c r="K173" s="45"/>
      <c r="L173" s="46"/>
      <c r="M173" s="46"/>
      <c r="N173" s="46"/>
      <c r="O173" s="46"/>
      <c r="P173" s="46"/>
      <c r="Q173" s="46"/>
      <c r="R173" s="47"/>
    </row>
    <row r="174" spans="5:18" ht="15" customHeight="1" x14ac:dyDescent="0.25">
      <c r="E174" s="13"/>
      <c r="F174" s="13"/>
      <c r="G174" s="13"/>
      <c r="H174" s="13"/>
      <c r="I174" s="24"/>
      <c r="K174" s="45"/>
      <c r="L174" s="46"/>
      <c r="M174" s="46"/>
      <c r="N174" s="46"/>
      <c r="O174" s="46"/>
      <c r="P174" s="46"/>
      <c r="Q174" s="46"/>
      <c r="R174" s="47"/>
    </row>
    <row r="175" spans="5:18" ht="15" customHeight="1" x14ac:dyDescent="0.25">
      <c r="E175" s="13" t="s">
        <v>127</v>
      </c>
      <c r="F175" s="13"/>
      <c r="G175" s="13" t="s">
        <v>127</v>
      </c>
      <c r="H175" s="13"/>
      <c r="I175" s="24">
        <v>-1.9339999999999999</v>
      </c>
      <c r="K175" s="45"/>
      <c r="L175" s="46"/>
      <c r="M175" s="46"/>
      <c r="N175" s="46"/>
      <c r="O175" s="46"/>
      <c r="P175" s="46"/>
      <c r="Q175" s="46"/>
      <c r="R175" s="47"/>
    </row>
    <row r="176" spans="5:18" ht="15" customHeight="1" x14ac:dyDescent="0.25">
      <c r="E176" s="13"/>
      <c r="F176" s="13"/>
      <c r="G176" s="13"/>
      <c r="H176" s="13"/>
      <c r="I176" s="24"/>
      <c r="K176" s="48"/>
      <c r="L176" s="49"/>
      <c r="M176" s="49"/>
      <c r="N176" s="49"/>
      <c r="O176" s="49"/>
      <c r="P176" s="49"/>
      <c r="Q176" s="49"/>
      <c r="R176" s="50"/>
    </row>
    <row r="177" spans="5:18" x14ac:dyDescent="0.25">
      <c r="E177" s="13" t="s">
        <v>128</v>
      </c>
      <c r="F177" s="13"/>
      <c r="G177" s="14" t="s">
        <v>129</v>
      </c>
      <c r="H177" s="14"/>
      <c r="I177" s="15">
        <f>I167-((I139-I169)/(1+I173))</f>
        <v>-4.3271297226657079</v>
      </c>
      <c r="K177" s="42" t="s">
        <v>131</v>
      </c>
      <c r="L177" s="43"/>
      <c r="M177" s="43"/>
      <c r="N177" s="43"/>
      <c r="O177" s="43"/>
      <c r="P177" s="43"/>
      <c r="Q177" s="43"/>
      <c r="R177" s="44"/>
    </row>
    <row r="178" spans="5:18" x14ac:dyDescent="0.25">
      <c r="E178" s="13"/>
      <c r="F178" s="13"/>
      <c r="G178" s="14"/>
      <c r="H178" s="14"/>
      <c r="I178" s="15"/>
      <c r="K178" s="45"/>
      <c r="L178" s="46"/>
      <c r="M178" s="46"/>
      <c r="N178" s="46"/>
      <c r="O178" s="46"/>
      <c r="P178" s="46"/>
      <c r="Q178" s="46"/>
      <c r="R178" s="47"/>
    </row>
    <row r="179" spans="5:18" x14ac:dyDescent="0.25">
      <c r="E179" s="13" t="s">
        <v>130</v>
      </c>
      <c r="F179" s="13"/>
      <c r="G179" s="14" t="s">
        <v>129</v>
      </c>
      <c r="H179" s="14"/>
      <c r="I179" s="15">
        <f>I167+SQRT((I137-I165)/(1+2*I173))</f>
        <v>-4.3074812448890558</v>
      </c>
      <c r="K179" s="45"/>
      <c r="L179" s="46"/>
      <c r="M179" s="46"/>
      <c r="N179" s="46"/>
      <c r="O179" s="46"/>
      <c r="P179" s="46"/>
      <c r="Q179" s="46"/>
      <c r="R179" s="47"/>
    </row>
    <row r="180" spans="5:18" x14ac:dyDescent="0.25">
      <c r="E180" s="13"/>
      <c r="F180" s="13"/>
      <c r="G180" s="14"/>
      <c r="H180" s="14"/>
      <c r="I180" s="15"/>
      <c r="K180" s="48"/>
      <c r="L180" s="49"/>
      <c r="M180" s="49"/>
      <c r="N180" s="49"/>
      <c r="O180" s="49"/>
      <c r="P180" s="49"/>
      <c r="Q180" s="49"/>
      <c r="R180" s="50"/>
    </row>
    <row r="181" spans="5:18" ht="15" customHeight="1" x14ac:dyDescent="0.25">
      <c r="E181" s="38" t="s">
        <v>134</v>
      </c>
      <c r="F181" s="13"/>
      <c r="G181" s="38" t="s">
        <v>134</v>
      </c>
      <c r="H181" s="13"/>
      <c r="I181" s="24">
        <v>1.5857000000000001</v>
      </c>
      <c r="K181" s="42" t="s">
        <v>139</v>
      </c>
      <c r="L181" s="43"/>
      <c r="M181" s="43"/>
      <c r="N181" s="43"/>
      <c r="O181" s="43"/>
      <c r="P181" s="43"/>
      <c r="Q181" s="43"/>
      <c r="R181" s="44"/>
    </row>
    <row r="182" spans="5:18" ht="15" customHeight="1" x14ac:dyDescent="0.25">
      <c r="E182" s="13"/>
      <c r="F182" s="13"/>
      <c r="G182" s="13"/>
      <c r="H182" s="13"/>
      <c r="I182" s="24"/>
      <c r="K182" s="45"/>
      <c r="L182" s="46"/>
      <c r="M182" s="46"/>
      <c r="N182" s="46"/>
      <c r="O182" s="46"/>
      <c r="P182" s="46"/>
      <c r="Q182" s="46"/>
      <c r="R182" s="47"/>
    </row>
    <row r="183" spans="5:18" ht="15" customHeight="1" x14ac:dyDescent="0.25">
      <c r="E183" s="38" t="s">
        <v>135</v>
      </c>
      <c r="F183" s="13"/>
      <c r="G183" s="38" t="s">
        <v>135</v>
      </c>
      <c r="H183" s="13"/>
      <c r="I183" s="24">
        <v>1.7462</v>
      </c>
      <c r="K183" s="45"/>
      <c r="L183" s="46"/>
      <c r="M183" s="46"/>
      <c r="N183" s="46"/>
      <c r="O183" s="46"/>
      <c r="P183" s="46"/>
      <c r="Q183" s="46"/>
      <c r="R183" s="47"/>
    </row>
    <row r="184" spans="5:18" ht="15" customHeight="1" x14ac:dyDescent="0.25">
      <c r="E184" s="13"/>
      <c r="F184" s="13"/>
      <c r="G184" s="13"/>
      <c r="H184" s="13"/>
      <c r="I184" s="24"/>
      <c r="K184" s="45"/>
      <c r="L184" s="46"/>
      <c r="M184" s="46"/>
      <c r="N184" s="46"/>
      <c r="O184" s="46"/>
      <c r="P184" s="46"/>
      <c r="Q184" s="46"/>
      <c r="R184" s="47"/>
    </row>
    <row r="185" spans="5:18" ht="15" customHeight="1" x14ac:dyDescent="0.25">
      <c r="E185" s="39" t="s">
        <v>136</v>
      </c>
      <c r="F185" s="13"/>
      <c r="G185" s="39" t="s">
        <v>136</v>
      </c>
      <c r="H185" s="13"/>
      <c r="I185" s="24">
        <v>46.154000000000003</v>
      </c>
      <c r="K185" s="45"/>
      <c r="L185" s="46"/>
      <c r="M185" s="46"/>
      <c r="N185" s="46"/>
      <c r="O185" s="46"/>
      <c r="P185" s="46"/>
      <c r="Q185" s="46"/>
      <c r="R185" s="47"/>
    </row>
    <row r="186" spans="5:18" ht="15" customHeight="1" x14ac:dyDescent="0.25">
      <c r="E186" s="13"/>
      <c r="F186" s="13"/>
      <c r="G186" s="13"/>
      <c r="H186" s="13"/>
      <c r="I186" s="24"/>
      <c r="K186" s="45"/>
      <c r="L186" s="46"/>
      <c r="M186" s="46"/>
      <c r="N186" s="46"/>
      <c r="O186" s="46"/>
      <c r="P186" s="46"/>
      <c r="Q186" s="46"/>
      <c r="R186" s="47"/>
    </row>
    <row r="187" spans="5:18" ht="15" customHeight="1" x14ac:dyDescent="0.25">
      <c r="E187" s="39" t="s">
        <v>137</v>
      </c>
      <c r="F187" s="13"/>
      <c r="G187" s="39" t="s">
        <v>137</v>
      </c>
      <c r="H187" s="13"/>
      <c r="I187" s="24">
        <v>27.948</v>
      </c>
      <c r="K187" s="45"/>
      <c r="L187" s="46"/>
      <c r="M187" s="46"/>
      <c r="N187" s="46"/>
      <c r="O187" s="46"/>
      <c r="P187" s="46"/>
      <c r="Q187" s="46"/>
      <c r="R187" s="47"/>
    </row>
    <row r="188" spans="5:18" ht="15" customHeight="1" x14ac:dyDescent="0.25">
      <c r="E188" s="13"/>
      <c r="F188" s="13"/>
      <c r="G188" s="13"/>
      <c r="H188" s="13"/>
      <c r="I188" s="24"/>
      <c r="K188" s="45"/>
      <c r="L188" s="46"/>
      <c r="M188" s="46"/>
      <c r="N188" s="46"/>
      <c r="O188" s="46"/>
      <c r="P188" s="46"/>
      <c r="Q188" s="46"/>
      <c r="R188" s="47"/>
    </row>
    <row r="189" spans="5:18" ht="15" customHeight="1" x14ac:dyDescent="0.25">
      <c r="E189" s="13" t="s">
        <v>132</v>
      </c>
      <c r="F189" s="13"/>
      <c r="G189" s="13" t="s">
        <v>132</v>
      </c>
      <c r="H189" s="13"/>
      <c r="I189" s="24">
        <v>1.2710000000000001E-2</v>
      </c>
      <c r="K189" s="45"/>
      <c r="L189" s="46"/>
      <c r="M189" s="46"/>
      <c r="N189" s="46"/>
      <c r="O189" s="46"/>
      <c r="P189" s="46"/>
      <c r="Q189" s="46"/>
      <c r="R189" s="47"/>
    </row>
    <row r="190" spans="5:18" ht="15" customHeight="1" x14ac:dyDescent="0.25">
      <c r="E190" s="13"/>
      <c r="F190" s="13"/>
      <c r="G190" s="13"/>
      <c r="H190" s="13"/>
      <c r="I190" s="24"/>
      <c r="K190" s="45"/>
      <c r="L190" s="46"/>
      <c r="M190" s="46"/>
      <c r="N190" s="46"/>
      <c r="O190" s="46"/>
      <c r="P190" s="46"/>
      <c r="Q190" s="46"/>
      <c r="R190" s="47"/>
    </row>
    <row r="191" spans="5:18" ht="15" customHeight="1" x14ac:dyDescent="0.25">
      <c r="E191" s="13" t="s">
        <v>133</v>
      </c>
      <c r="F191" s="13"/>
      <c r="G191" s="13" t="s">
        <v>133</v>
      </c>
      <c r="H191" s="13"/>
      <c r="I191" s="24">
        <v>2.6689999999999998E-2</v>
      </c>
      <c r="K191" s="45"/>
      <c r="L191" s="46"/>
      <c r="M191" s="46"/>
      <c r="N191" s="46"/>
      <c r="O191" s="46"/>
      <c r="P191" s="46"/>
      <c r="Q191" s="46"/>
      <c r="R191" s="47"/>
    </row>
    <row r="192" spans="5:18" x14ac:dyDescent="0.25">
      <c r="E192" s="13"/>
      <c r="F192" s="13"/>
      <c r="G192" s="13"/>
      <c r="H192" s="13"/>
      <c r="I192" s="24"/>
      <c r="K192" s="48"/>
      <c r="L192" s="49"/>
      <c r="M192" s="49"/>
      <c r="N192" s="49"/>
      <c r="O192" s="49"/>
      <c r="P192" s="49"/>
      <c r="Q192" s="49"/>
      <c r="R192" s="50"/>
    </row>
    <row r="193" spans="5:18" x14ac:dyDescent="0.25">
      <c r="E193" s="37" t="s">
        <v>140</v>
      </c>
      <c r="F193" s="13"/>
      <c r="G193" s="37" t="s">
        <v>140</v>
      </c>
      <c r="H193" s="13"/>
      <c r="I193" s="16">
        <v>0</v>
      </c>
      <c r="K193" s="41" t="s">
        <v>144</v>
      </c>
      <c r="L193" s="41"/>
      <c r="M193" s="41"/>
      <c r="N193" s="41"/>
      <c r="O193" s="41"/>
      <c r="P193" s="41"/>
      <c r="Q193" s="41"/>
      <c r="R193" s="41"/>
    </row>
    <row r="194" spans="5:18" x14ac:dyDescent="0.25">
      <c r="E194" s="13"/>
      <c r="F194" s="13"/>
      <c r="G194" s="13"/>
      <c r="H194" s="13"/>
      <c r="I194" s="16"/>
      <c r="K194" s="41"/>
      <c r="L194" s="41"/>
      <c r="M194" s="41"/>
      <c r="N194" s="41"/>
      <c r="O194" s="41"/>
      <c r="P194" s="41"/>
      <c r="Q194" s="41"/>
      <c r="R194" s="41"/>
    </row>
    <row r="195" spans="5:18" x14ac:dyDescent="0.25">
      <c r="E195" s="37" t="s">
        <v>141</v>
      </c>
      <c r="F195" s="13"/>
      <c r="G195" s="37"/>
      <c r="H195" s="13"/>
      <c r="I195" s="15">
        <f>(1-(1/I181))*I179+I171</f>
        <v>0.85497284156428077</v>
      </c>
    </row>
    <row r="196" spans="5:18" x14ac:dyDescent="0.25">
      <c r="E196" s="13"/>
      <c r="F196" s="13"/>
      <c r="G196" s="13"/>
      <c r="H196" s="13"/>
      <c r="I196" s="15"/>
    </row>
    <row r="197" spans="5:18" x14ac:dyDescent="0.25">
      <c r="E197" s="37" t="s">
        <v>142</v>
      </c>
      <c r="F197" s="13"/>
      <c r="G197" s="37"/>
      <c r="H197" s="13"/>
      <c r="I197" s="15">
        <f>(1-(1/I183))*I179+I171</f>
        <v>0.60529303348057906</v>
      </c>
    </row>
    <row r="198" spans="5:18" x14ac:dyDescent="0.25">
      <c r="E198" s="13"/>
      <c r="F198" s="13"/>
      <c r="G198" s="13"/>
      <c r="H198" s="13"/>
      <c r="I198" s="15"/>
    </row>
    <row r="199" spans="5:18" x14ac:dyDescent="0.25">
      <c r="E199" s="37" t="s">
        <v>143</v>
      </c>
      <c r="F199" s="13"/>
      <c r="G199" s="37" t="s">
        <v>143</v>
      </c>
      <c r="H199" s="13"/>
      <c r="I199" s="16">
        <v>1</v>
      </c>
      <c r="K199" s="41" t="s">
        <v>145</v>
      </c>
      <c r="L199" s="41"/>
      <c r="M199" s="41"/>
      <c r="N199" s="41"/>
      <c r="O199" s="41"/>
      <c r="P199" s="41"/>
      <c r="Q199" s="41"/>
      <c r="R199" s="41"/>
    </row>
    <row r="200" spans="5:18" x14ac:dyDescent="0.25">
      <c r="E200" s="13"/>
      <c r="F200" s="13"/>
      <c r="G200" s="13"/>
      <c r="H200" s="13"/>
      <c r="I200" s="16"/>
      <c r="K200" s="41"/>
      <c r="L200" s="41"/>
      <c r="M200" s="41"/>
      <c r="N200" s="41"/>
      <c r="O200" s="41"/>
      <c r="P200" s="41"/>
      <c r="Q200" s="41"/>
      <c r="R200" s="41"/>
    </row>
    <row r="201" spans="5:18" x14ac:dyDescent="0.25">
      <c r="E201" s="13" t="s">
        <v>146</v>
      </c>
      <c r="F201" s="13"/>
      <c r="G201" s="14"/>
      <c r="H201" s="14"/>
      <c r="I201" s="15">
        <f>((I181-1)/(I181*I195))*I31</f>
        <v>103.68432867234154</v>
      </c>
      <c r="J201" s="14" t="s">
        <v>14</v>
      </c>
    </row>
    <row r="202" spans="5:18" x14ac:dyDescent="0.25">
      <c r="E202" s="13"/>
      <c r="F202" s="13"/>
      <c r="G202" s="14"/>
      <c r="H202" s="14"/>
      <c r="I202" s="15"/>
      <c r="J202" s="14"/>
    </row>
    <row r="203" spans="5:18" x14ac:dyDescent="0.25">
      <c r="E203" s="13" t="s">
        <v>147</v>
      </c>
      <c r="F203" s="13"/>
      <c r="G203" s="14"/>
      <c r="H203" s="14"/>
      <c r="I203" s="15">
        <f>((I183-I181)/((I183*I197)-(I181*I195)))*I31</f>
        <v>-128.92958264229199</v>
      </c>
      <c r="J203" s="14" t="s">
        <v>14</v>
      </c>
    </row>
    <row r="204" spans="5:18" x14ac:dyDescent="0.25">
      <c r="E204" s="13"/>
      <c r="F204" s="13"/>
      <c r="G204" s="14"/>
      <c r="H204" s="14"/>
      <c r="I204" s="15"/>
      <c r="J204" s="14"/>
    </row>
    <row r="205" spans="5:18" x14ac:dyDescent="0.25">
      <c r="E205" s="13" t="s">
        <v>148</v>
      </c>
      <c r="F205" s="13"/>
      <c r="G205" s="14"/>
      <c r="H205" s="14"/>
      <c r="I205" s="15">
        <f>((1-I183)/(1-(I183*I197)))*I31</f>
        <v>3143.9523674126767</v>
      </c>
      <c r="J205" s="14" t="s">
        <v>14</v>
      </c>
    </row>
    <row r="206" spans="5:18" x14ac:dyDescent="0.25">
      <c r="E206" s="13"/>
      <c r="F206" s="13"/>
      <c r="G206" s="14"/>
      <c r="H206" s="14"/>
      <c r="I206" s="15"/>
      <c r="J206" s="14"/>
    </row>
    <row r="207" spans="5:18" x14ac:dyDescent="0.25">
      <c r="E207" s="37" t="s">
        <v>149</v>
      </c>
      <c r="F207" s="13"/>
      <c r="G207" s="14"/>
      <c r="H207" s="14"/>
      <c r="I207" s="15">
        <f>I179+(I171/(1-(1/I181)))</f>
        <v>2.3147181746089807</v>
      </c>
    </row>
    <row r="208" spans="5:18" x14ac:dyDescent="0.25">
      <c r="E208" s="13"/>
      <c r="F208" s="13"/>
      <c r="G208" s="14"/>
      <c r="H208" s="14"/>
      <c r="I208" s="15"/>
    </row>
    <row r="209" spans="5:18" x14ac:dyDescent="0.25">
      <c r="E209" s="37" t="s">
        <v>150</v>
      </c>
      <c r="F209" s="13"/>
      <c r="G209" s="14"/>
      <c r="H209" s="14"/>
      <c r="I209" s="15">
        <f>I179+I171</f>
        <v>-1.8614812448890556</v>
      </c>
    </row>
    <row r="210" spans="5:18" x14ac:dyDescent="0.25">
      <c r="E210" s="13"/>
      <c r="F210" s="13"/>
      <c r="G210" s="14"/>
      <c r="H210" s="14"/>
      <c r="I210" s="15"/>
    </row>
    <row r="211" spans="5:18" x14ac:dyDescent="0.25">
      <c r="E211" s="37" t="s">
        <v>151</v>
      </c>
      <c r="F211" s="13"/>
      <c r="G211" s="14"/>
      <c r="H211" s="14"/>
      <c r="I211" s="15">
        <f>I179+((I171-(1/I183))/(1-(1/I183)))</f>
        <v>7.6337034392638614E-2</v>
      </c>
    </row>
    <row r="212" spans="5:18" x14ac:dyDescent="0.25">
      <c r="E212" s="13"/>
      <c r="F212" s="13"/>
      <c r="G212" s="14"/>
      <c r="H212" s="14"/>
      <c r="I212" s="15"/>
    </row>
    <row r="213" spans="5:18" ht="15" customHeight="1" x14ac:dyDescent="0.25">
      <c r="E213" s="13" t="s">
        <v>153</v>
      </c>
      <c r="F213" s="13"/>
      <c r="G213" s="14"/>
      <c r="H213" s="14"/>
      <c r="I213" s="15">
        <f>$I$31/I207</f>
        <v>103.68432867234154</v>
      </c>
      <c r="J213" s="14" t="s">
        <v>14</v>
      </c>
      <c r="K213" s="51" t="s">
        <v>152</v>
      </c>
      <c r="L213" s="52"/>
      <c r="M213" s="52"/>
      <c r="N213" s="52"/>
      <c r="O213" s="52"/>
      <c r="P213" s="52"/>
      <c r="Q213" s="52"/>
      <c r="R213" s="53"/>
    </row>
    <row r="214" spans="5:18" x14ac:dyDescent="0.25">
      <c r="E214" s="13"/>
      <c r="F214" s="13"/>
      <c r="G214" s="14"/>
      <c r="H214" s="14"/>
      <c r="I214" s="15"/>
      <c r="J214" s="14"/>
      <c r="K214" s="54"/>
      <c r="L214" s="55"/>
      <c r="M214" s="55"/>
      <c r="N214" s="55"/>
      <c r="O214" s="55"/>
      <c r="P214" s="55"/>
      <c r="Q214" s="55"/>
      <c r="R214" s="56"/>
    </row>
    <row r="215" spans="5:18" ht="15" customHeight="1" x14ac:dyDescent="0.25">
      <c r="E215" s="13" t="s">
        <v>154</v>
      </c>
      <c r="F215" s="13"/>
      <c r="G215" s="14"/>
      <c r="H215" s="14"/>
      <c r="I215" s="15">
        <f t="shared" ref="I215" si="3">$I$31/I209</f>
        <v>-128.92958264229196</v>
      </c>
      <c r="J215" s="14" t="s">
        <v>14</v>
      </c>
      <c r="K215" s="54"/>
      <c r="L215" s="55"/>
      <c r="M215" s="55"/>
      <c r="N215" s="55"/>
      <c r="O215" s="55"/>
      <c r="P215" s="55"/>
      <c r="Q215" s="55"/>
      <c r="R215" s="56"/>
    </row>
    <row r="216" spans="5:18" x14ac:dyDescent="0.25">
      <c r="E216" s="13"/>
      <c r="F216" s="13"/>
      <c r="G216" s="14"/>
      <c r="H216" s="14"/>
      <c r="I216" s="15"/>
      <c r="J216" s="14"/>
      <c r="K216" s="54"/>
      <c r="L216" s="55"/>
      <c r="M216" s="55"/>
      <c r="N216" s="55"/>
      <c r="O216" s="55"/>
      <c r="P216" s="55"/>
      <c r="Q216" s="55"/>
      <c r="R216" s="56"/>
    </row>
    <row r="217" spans="5:18" ht="15" customHeight="1" x14ac:dyDescent="0.25">
      <c r="E217" s="13" t="s">
        <v>155</v>
      </c>
      <c r="F217" s="13"/>
      <c r="G217" s="14"/>
      <c r="H217" s="14"/>
      <c r="I217" s="15">
        <f>$I$31/I211</f>
        <v>3143.9523674126885</v>
      </c>
      <c r="J217" s="14" t="s">
        <v>14</v>
      </c>
      <c r="K217" s="54"/>
      <c r="L217" s="55"/>
      <c r="M217" s="55"/>
      <c r="N217" s="55"/>
      <c r="O217" s="55"/>
      <c r="P217" s="55"/>
      <c r="Q217" s="55"/>
      <c r="R217" s="56"/>
    </row>
    <row r="218" spans="5:18" x14ac:dyDescent="0.25">
      <c r="E218" s="13"/>
      <c r="F218" s="13"/>
      <c r="G218" s="14"/>
      <c r="H218" s="14"/>
      <c r="I218" s="15"/>
      <c r="J218" s="14"/>
      <c r="K218" s="57"/>
      <c r="L218" s="58"/>
      <c r="M218" s="58"/>
      <c r="N218" s="58"/>
      <c r="O218" s="58"/>
      <c r="P218" s="58"/>
      <c r="Q218" s="58"/>
      <c r="R218" s="59"/>
    </row>
    <row r="219" spans="5:18" x14ac:dyDescent="0.25">
      <c r="E219" s="13" t="s">
        <v>158</v>
      </c>
      <c r="F219" s="13"/>
      <c r="G219" s="13" t="s">
        <v>156</v>
      </c>
      <c r="H219" s="13"/>
      <c r="I219" s="24">
        <v>2</v>
      </c>
      <c r="J219" s="14" t="s">
        <v>14</v>
      </c>
      <c r="K219" s="41" t="s">
        <v>157</v>
      </c>
      <c r="L219" s="41"/>
      <c r="M219" s="41"/>
      <c r="N219" s="41"/>
      <c r="O219" s="41"/>
      <c r="P219" s="41"/>
      <c r="Q219" s="41"/>
      <c r="R219" s="41"/>
    </row>
    <row r="220" spans="5:18" x14ac:dyDescent="0.25">
      <c r="E220" s="13"/>
      <c r="F220" s="13"/>
      <c r="G220" s="13"/>
      <c r="H220" s="13"/>
      <c r="I220" s="24"/>
      <c r="J220" s="14"/>
      <c r="K220" s="41"/>
      <c r="L220" s="41"/>
      <c r="M220" s="41"/>
      <c r="N220" s="41"/>
      <c r="O220" s="41"/>
      <c r="P220" s="41"/>
      <c r="Q220" s="41"/>
      <c r="R220" s="41"/>
    </row>
    <row r="221" spans="5:18" x14ac:dyDescent="0.25">
      <c r="E221" s="13" t="s">
        <v>159</v>
      </c>
      <c r="F221" s="13"/>
      <c r="G221" s="14"/>
      <c r="H221" s="14"/>
      <c r="I221" s="15">
        <f>0.75*(I34^2/I31)+I219</f>
        <v>7</v>
      </c>
      <c r="J221" s="14" t="s">
        <v>14</v>
      </c>
    </row>
    <row r="222" spans="5:18" x14ac:dyDescent="0.25">
      <c r="E222" s="13"/>
      <c r="F222" s="13"/>
      <c r="G222" s="14"/>
      <c r="H222" s="14"/>
      <c r="I222" s="15"/>
      <c r="J222" s="14"/>
    </row>
    <row r="223" spans="5:18" ht="15" customHeight="1" x14ac:dyDescent="0.25">
      <c r="E223" s="13" t="s">
        <v>164</v>
      </c>
      <c r="F223" s="13"/>
      <c r="G223" s="13" t="s">
        <v>161</v>
      </c>
      <c r="H223" s="13"/>
      <c r="I223" s="14" t="s">
        <v>162</v>
      </c>
      <c r="J223" s="15">
        <f>0.08*$I$34</f>
        <v>3.2</v>
      </c>
      <c r="K223" s="14" t="s">
        <v>14</v>
      </c>
      <c r="L223" s="51" t="s">
        <v>165</v>
      </c>
      <c r="M223" s="52"/>
      <c r="N223" s="52"/>
      <c r="O223" s="52"/>
      <c r="P223" s="52"/>
      <c r="Q223" s="52"/>
      <c r="R223" s="53"/>
    </row>
    <row r="224" spans="5:18" x14ac:dyDescent="0.25">
      <c r="E224" s="13"/>
      <c r="F224" s="13"/>
      <c r="G224" s="13"/>
      <c r="H224" s="13"/>
      <c r="I224" s="14"/>
      <c r="J224" s="15"/>
      <c r="K224" s="14"/>
      <c r="L224" s="54"/>
      <c r="M224" s="55"/>
      <c r="N224" s="55"/>
      <c r="O224" s="55"/>
      <c r="P224" s="55"/>
      <c r="Q224" s="55"/>
      <c r="R224" s="56"/>
    </row>
    <row r="225" spans="5:18" ht="15" customHeight="1" x14ac:dyDescent="0.25">
      <c r="I225" s="14" t="s">
        <v>163</v>
      </c>
      <c r="J225" s="15">
        <f>0.15*$I$34</f>
        <v>6</v>
      </c>
      <c r="K225" s="14" t="s">
        <v>14</v>
      </c>
      <c r="L225" s="54"/>
      <c r="M225" s="55"/>
      <c r="N225" s="55"/>
      <c r="O225" s="55"/>
      <c r="P225" s="55"/>
      <c r="Q225" s="55"/>
      <c r="R225" s="56"/>
    </row>
    <row r="226" spans="5:18" x14ac:dyDescent="0.25">
      <c r="I226" s="14"/>
      <c r="J226" s="15"/>
      <c r="K226" s="14"/>
      <c r="L226" s="57"/>
      <c r="M226" s="58"/>
      <c r="N226" s="58"/>
      <c r="O226" s="58"/>
      <c r="P226" s="58"/>
      <c r="Q226" s="58"/>
      <c r="R226" s="59"/>
    </row>
    <row r="227" spans="5:18" ht="15" customHeight="1" x14ac:dyDescent="0.25">
      <c r="E227" s="13" t="s">
        <v>160</v>
      </c>
      <c r="F227" s="13"/>
      <c r="G227" s="13" t="s">
        <v>161</v>
      </c>
      <c r="H227" s="13"/>
      <c r="I227" s="24">
        <v>4</v>
      </c>
      <c r="J227" s="14" t="s">
        <v>14</v>
      </c>
    </row>
    <row r="228" spans="5:18" x14ac:dyDescent="0.25">
      <c r="E228" s="13"/>
      <c r="F228" s="13"/>
      <c r="G228" s="13"/>
      <c r="H228" s="13"/>
      <c r="I228" s="24"/>
      <c r="J228" s="14"/>
    </row>
    <row r="229" spans="5:18" x14ac:dyDescent="0.25">
      <c r="E229" s="13" t="s">
        <v>46</v>
      </c>
      <c r="F229" s="13"/>
      <c r="G229" s="14"/>
      <c r="H229" s="14"/>
      <c r="I229" s="15">
        <f>I31</f>
        <v>240</v>
      </c>
      <c r="J229" s="14" t="s">
        <v>14</v>
      </c>
    </row>
    <row r="230" spans="5:18" x14ac:dyDescent="0.25">
      <c r="E230" s="13"/>
      <c r="F230" s="13"/>
      <c r="G230" s="14"/>
      <c r="H230" s="14"/>
      <c r="I230" s="15"/>
      <c r="J230" s="14"/>
    </row>
    <row r="231" spans="5:18" x14ac:dyDescent="0.25">
      <c r="E231" s="13" t="s">
        <v>166</v>
      </c>
      <c r="F231" s="13"/>
      <c r="G231" s="14"/>
      <c r="H231" s="14"/>
      <c r="I231" s="15">
        <f>I229-I195*I221</f>
        <v>234.01519010905002</v>
      </c>
      <c r="J231" s="14" t="s">
        <v>14</v>
      </c>
    </row>
    <row r="232" spans="5:18" x14ac:dyDescent="0.25">
      <c r="E232" s="13"/>
      <c r="F232" s="13"/>
      <c r="G232" s="14"/>
      <c r="H232" s="14"/>
      <c r="I232" s="15"/>
      <c r="J232" s="14"/>
    </row>
    <row r="233" spans="5:18" x14ac:dyDescent="0.25">
      <c r="E233" s="13" t="s">
        <v>167</v>
      </c>
      <c r="F233" s="13"/>
      <c r="G233" s="14"/>
      <c r="H233" s="14"/>
      <c r="I233" s="15">
        <f>I231-I197*I227</f>
        <v>231.59401797512771</v>
      </c>
      <c r="J233" s="14" t="s">
        <v>14</v>
      </c>
    </row>
    <row r="234" spans="5:18" x14ac:dyDescent="0.25">
      <c r="E234" s="13"/>
      <c r="F234" s="13"/>
      <c r="G234" s="14"/>
      <c r="H234" s="14"/>
      <c r="I234" s="15"/>
      <c r="J234" s="14"/>
    </row>
    <row r="235" spans="5:18" x14ac:dyDescent="0.25">
      <c r="E235" s="13" t="s">
        <v>168</v>
      </c>
      <c r="F235" s="13"/>
      <c r="G235" s="14"/>
      <c r="H235" s="14"/>
      <c r="I235" s="15">
        <f>I201*(I229/$I$31)</f>
        <v>103.68432867234154</v>
      </c>
      <c r="J235" s="14" t="s">
        <v>14</v>
      </c>
    </row>
    <row r="236" spans="5:18" x14ac:dyDescent="0.25">
      <c r="E236" s="13"/>
      <c r="F236" s="13"/>
      <c r="G236" s="14"/>
      <c r="H236" s="14"/>
      <c r="I236" s="15"/>
      <c r="J236" s="14"/>
    </row>
    <row r="237" spans="5:18" x14ac:dyDescent="0.25">
      <c r="E237" s="13" t="s">
        <v>169</v>
      </c>
      <c r="F237" s="13"/>
      <c r="G237" s="14"/>
      <c r="H237" s="14"/>
      <c r="I237" s="15">
        <f>I203*(I231/$I$31)</f>
        <v>-125.71450330298515</v>
      </c>
      <c r="J237" s="14" t="s">
        <v>14</v>
      </c>
    </row>
    <row r="238" spans="5:18" x14ac:dyDescent="0.25">
      <c r="E238" s="13"/>
      <c r="F238" s="13"/>
      <c r="G238" s="14"/>
      <c r="H238" s="14"/>
      <c r="I238" s="15"/>
      <c r="J238" s="14"/>
    </row>
    <row r="239" spans="5:18" x14ac:dyDescent="0.25">
      <c r="E239" s="13" t="s">
        <v>170</v>
      </c>
      <c r="F239" s="13"/>
      <c r="G239" s="14"/>
      <c r="H239" s="14"/>
      <c r="I239" s="15">
        <f>I205*(I233/$I$31)</f>
        <v>3033.8356712146533</v>
      </c>
      <c r="J239" s="14" t="s">
        <v>14</v>
      </c>
    </row>
    <row r="240" spans="5:18" x14ac:dyDescent="0.25">
      <c r="E240" s="13"/>
      <c r="F240" s="13"/>
      <c r="G240" s="14"/>
      <c r="H240" s="14"/>
      <c r="I240" s="15"/>
      <c r="J240" s="14"/>
    </row>
    <row r="241" spans="5:18" x14ac:dyDescent="0.25">
      <c r="E241" s="13" t="s">
        <v>172</v>
      </c>
      <c r="F241" s="13"/>
      <c r="G241" s="13" t="s">
        <v>168</v>
      </c>
      <c r="H241" s="13"/>
      <c r="I241" s="24"/>
      <c r="J241" s="14" t="s">
        <v>14</v>
      </c>
      <c r="K241" s="51" t="s">
        <v>171</v>
      </c>
      <c r="L241" s="52"/>
      <c r="M241" s="52"/>
      <c r="N241" s="52"/>
      <c r="O241" s="52"/>
      <c r="P241" s="52"/>
      <c r="Q241" s="52"/>
      <c r="R241" s="53"/>
    </row>
    <row r="242" spans="5:18" x14ac:dyDescent="0.25">
      <c r="E242" s="13"/>
      <c r="F242" s="13"/>
      <c r="G242" s="13"/>
      <c r="H242" s="13"/>
      <c r="I242" s="24"/>
      <c r="J242" s="14"/>
      <c r="K242" s="54"/>
      <c r="L242" s="55"/>
      <c r="M242" s="55"/>
      <c r="N242" s="55"/>
      <c r="O242" s="55"/>
      <c r="P242" s="55"/>
      <c r="Q242" s="55"/>
      <c r="R242" s="56"/>
    </row>
    <row r="243" spans="5:18" ht="15" customHeight="1" x14ac:dyDescent="0.25">
      <c r="E243" s="13" t="s">
        <v>173</v>
      </c>
      <c r="F243" s="13"/>
      <c r="G243" s="13" t="s">
        <v>169</v>
      </c>
      <c r="H243" s="13"/>
      <c r="I243" s="24"/>
      <c r="J243" s="14" t="s">
        <v>14</v>
      </c>
      <c r="K243" s="54"/>
      <c r="L243" s="55"/>
      <c r="M243" s="55"/>
      <c r="N243" s="55"/>
      <c r="O243" s="55"/>
      <c r="P243" s="55"/>
      <c r="Q243" s="55"/>
      <c r="R243" s="56"/>
    </row>
    <row r="244" spans="5:18" x14ac:dyDescent="0.25">
      <c r="E244" s="13"/>
      <c r="F244" s="13"/>
      <c r="G244" s="13"/>
      <c r="H244" s="13"/>
      <c r="I244" s="24"/>
      <c r="J244" s="14"/>
      <c r="K244" s="54"/>
      <c r="L244" s="55"/>
      <c r="M244" s="55"/>
      <c r="N244" s="55"/>
      <c r="O244" s="55"/>
      <c r="P244" s="55"/>
      <c r="Q244" s="55"/>
      <c r="R244" s="56"/>
    </row>
    <row r="245" spans="5:18" ht="15" customHeight="1" x14ac:dyDescent="0.25">
      <c r="E245" s="13" t="s">
        <v>174</v>
      </c>
      <c r="F245" s="13"/>
      <c r="G245" s="13" t="s">
        <v>170</v>
      </c>
      <c r="H245" s="13"/>
      <c r="I245" s="24"/>
      <c r="J245" s="14" t="s">
        <v>14</v>
      </c>
      <c r="K245" s="54"/>
      <c r="L245" s="55"/>
      <c r="M245" s="55"/>
      <c r="N245" s="55"/>
      <c r="O245" s="55"/>
      <c r="P245" s="55"/>
      <c r="Q245" s="55"/>
      <c r="R245" s="56"/>
    </row>
    <row r="246" spans="5:18" x14ac:dyDescent="0.25">
      <c r="E246" s="13"/>
      <c r="F246" s="13"/>
      <c r="G246" s="13"/>
      <c r="H246" s="13"/>
      <c r="I246" s="24"/>
      <c r="J246" s="14"/>
      <c r="K246" s="57"/>
      <c r="L246" s="58"/>
      <c r="M246" s="58"/>
      <c r="N246" s="58"/>
      <c r="O246" s="58"/>
      <c r="P246" s="58"/>
      <c r="Q246" s="58"/>
      <c r="R246" s="59"/>
    </row>
    <row r="247" spans="5:18" ht="21" x14ac:dyDescent="0.35">
      <c r="E247" s="60" t="s">
        <v>175</v>
      </c>
      <c r="F247" s="60"/>
      <c r="G247" s="60"/>
      <c r="H247" s="60"/>
      <c r="I247" s="60"/>
      <c r="J247" s="60"/>
      <c r="K247" s="60"/>
    </row>
    <row r="248" spans="5:18" ht="15" customHeight="1" x14ac:dyDescent="0.25">
      <c r="E248" s="13" t="s">
        <v>177</v>
      </c>
      <c r="F248" s="13"/>
      <c r="G248" s="13" t="s">
        <v>177</v>
      </c>
      <c r="H248" s="13"/>
      <c r="I248" s="24">
        <v>231.208</v>
      </c>
      <c r="J248" s="14" t="s">
        <v>14</v>
      </c>
      <c r="K248" s="52" t="s">
        <v>178</v>
      </c>
      <c r="L248" s="52"/>
      <c r="M248" s="52"/>
      <c r="N248" s="52"/>
      <c r="O248" s="52"/>
      <c r="P248" s="52"/>
      <c r="Q248" s="52"/>
      <c r="R248" s="52"/>
    </row>
    <row r="249" spans="5:18" x14ac:dyDescent="0.25">
      <c r="E249" s="13"/>
      <c r="F249" s="13"/>
      <c r="G249" s="13"/>
      <c r="H249" s="13"/>
      <c r="I249" s="24"/>
      <c r="J249" s="14"/>
      <c r="K249" s="55"/>
      <c r="L249" s="55"/>
      <c r="M249" s="55"/>
      <c r="N249" s="55"/>
      <c r="O249" s="55"/>
      <c r="P249" s="55"/>
      <c r="Q249" s="55"/>
      <c r="R249" s="55"/>
    </row>
    <row r="250" spans="5:18" x14ac:dyDescent="0.25">
      <c r="E250" s="13" t="s">
        <v>179</v>
      </c>
      <c r="F250" s="13"/>
      <c r="G250" s="13" t="s">
        <v>179</v>
      </c>
      <c r="H250" s="13"/>
      <c r="I250" s="24">
        <v>105.84</v>
      </c>
      <c r="J250" s="14" t="s">
        <v>14</v>
      </c>
      <c r="K250" s="55"/>
      <c r="L250" s="55"/>
      <c r="M250" s="55"/>
      <c r="N250" s="55"/>
      <c r="O250" s="55"/>
      <c r="P250" s="55"/>
      <c r="Q250" s="55"/>
      <c r="R250" s="55"/>
    </row>
    <row r="251" spans="5:18" x14ac:dyDescent="0.25">
      <c r="E251" s="13"/>
      <c r="F251" s="13"/>
      <c r="G251" s="13"/>
      <c r="H251" s="13"/>
      <c r="I251" s="24"/>
      <c r="J251" s="14"/>
      <c r="K251" s="55"/>
      <c r="L251" s="55"/>
      <c r="M251" s="55"/>
      <c r="N251" s="55"/>
      <c r="O251" s="55"/>
      <c r="P251" s="55"/>
      <c r="Q251" s="55"/>
      <c r="R251" s="55"/>
    </row>
    <row r="252" spans="5:18" x14ac:dyDescent="0.25">
      <c r="E252" s="13" t="s">
        <v>180</v>
      </c>
      <c r="F252" s="13"/>
      <c r="G252" s="13" t="s">
        <v>180</v>
      </c>
      <c r="H252" s="13"/>
      <c r="I252" s="24">
        <v>1.5183</v>
      </c>
      <c r="K252" s="55"/>
      <c r="L252" s="55"/>
      <c r="M252" s="55"/>
      <c r="N252" s="55"/>
      <c r="O252" s="55"/>
      <c r="P252" s="55"/>
      <c r="Q252" s="55"/>
      <c r="R252" s="55"/>
    </row>
    <row r="253" spans="5:18" x14ac:dyDescent="0.25">
      <c r="E253" s="13"/>
      <c r="F253" s="13"/>
      <c r="G253" s="13"/>
      <c r="H253" s="13"/>
      <c r="I253" s="24"/>
      <c r="K253" s="55"/>
      <c r="L253" s="55"/>
      <c r="M253" s="55"/>
      <c r="N253" s="55"/>
      <c r="O253" s="55"/>
      <c r="P253" s="55"/>
      <c r="Q253" s="55"/>
      <c r="R253" s="55"/>
    </row>
    <row r="254" spans="5:18" x14ac:dyDescent="0.25">
      <c r="E254" s="13" t="s">
        <v>176</v>
      </c>
      <c r="F254" s="13"/>
      <c r="G254" s="14"/>
      <c r="H254" s="14"/>
      <c r="I254" s="15">
        <f>I248-(I250/I252)-I55</f>
        <v>148.89845643153527</v>
      </c>
      <c r="J254" s="14" t="s">
        <v>14</v>
      </c>
    </row>
    <row r="255" spans="5:18" x14ac:dyDescent="0.25">
      <c r="E255" s="13"/>
      <c r="F255" s="13"/>
      <c r="G255" s="14"/>
      <c r="H255" s="14"/>
      <c r="I255" s="15"/>
      <c r="J255" s="14"/>
    </row>
  </sheetData>
  <mergeCells count="473">
    <mergeCell ref="K241:R246"/>
    <mergeCell ref="E247:K247"/>
    <mergeCell ref="E248:F249"/>
    <mergeCell ref="G248:H249"/>
    <mergeCell ref="I248:I249"/>
    <mergeCell ref="J248:J249"/>
    <mergeCell ref="E254:F255"/>
    <mergeCell ref="G254:H255"/>
    <mergeCell ref="I254:I255"/>
    <mergeCell ref="J254:J255"/>
    <mergeCell ref="E250:F251"/>
    <mergeCell ref="G250:H251"/>
    <mergeCell ref="I250:I251"/>
    <mergeCell ref="J250:J251"/>
    <mergeCell ref="E252:F253"/>
    <mergeCell ref="G252:H253"/>
    <mergeCell ref="I252:I253"/>
    <mergeCell ref="K248:R253"/>
    <mergeCell ref="E241:F242"/>
    <mergeCell ref="G241:H242"/>
    <mergeCell ref="I241:I242"/>
    <mergeCell ref="J241:J242"/>
    <mergeCell ref="E243:F244"/>
    <mergeCell ref="G243:H244"/>
    <mergeCell ref="I243:I244"/>
    <mergeCell ref="J243:J244"/>
    <mergeCell ref="E245:F246"/>
    <mergeCell ref="G245:H246"/>
    <mergeCell ref="I245:I246"/>
    <mergeCell ref="J245:J246"/>
    <mergeCell ref="E235:F236"/>
    <mergeCell ref="G235:H236"/>
    <mergeCell ref="I235:I236"/>
    <mergeCell ref="J235:J236"/>
    <mergeCell ref="E237:F238"/>
    <mergeCell ref="G237:H238"/>
    <mergeCell ref="I237:I238"/>
    <mergeCell ref="J237:J238"/>
    <mergeCell ref="E239:F240"/>
    <mergeCell ref="G239:H240"/>
    <mergeCell ref="I239:I240"/>
    <mergeCell ref="J239:J240"/>
    <mergeCell ref="E229:F230"/>
    <mergeCell ref="G229:H230"/>
    <mergeCell ref="I229:I230"/>
    <mergeCell ref="J229:J230"/>
    <mergeCell ref="E231:F232"/>
    <mergeCell ref="G231:H232"/>
    <mergeCell ref="I231:I232"/>
    <mergeCell ref="J231:J232"/>
    <mergeCell ref="E233:F234"/>
    <mergeCell ref="G233:H234"/>
    <mergeCell ref="I233:I234"/>
    <mergeCell ref="J233:J234"/>
    <mergeCell ref="I225:I226"/>
    <mergeCell ref="J225:J226"/>
    <mergeCell ref="K225:K226"/>
    <mergeCell ref="E227:F228"/>
    <mergeCell ref="G227:H228"/>
    <mergeCell ref="I227:I228"/>
    <mergeCell ref="J227:J228"/>
    <mergeCell ref="L223:R226"/>
    <mergeCell ref="E221:F222"/>
    <mergeCell ref="G221:H222"/>
    <mergeCell ref="I221:I222"/>
    <mergeCell ref="J221:J222"/>
    <mergeCell ref="E223:F224"/>
    <mergeCell ref="G223:H224"/>
    <mergeCell ref="I223:I224"/>
    <mergeCell ref="J223:J224"/>
    <mergeCell ref="K223:K224"/>
    <mergeCell ref="K213:R218"/>
    <mergeCell ref="E219:F220"/>
    <mergeCell ref="G219:H220"/>
    <mergeCell ref="I219:I220"/>
    <mergeCell ref="J219:J220"/>
    <mergeCell ref="K219:R220"/>
    <mergeCell ref="E207:F208"/>
    <mergeCell ref="G207:H208"/>
    <mergeCell ref="I207:I208"/>
    <mergeCell ref="E209:F210"/>
    <mergeCell ref="G209:H210"/>
    <mergeCell ref="I209:I210"/>
    <mergeCell ref="E211:F212"/>
    <mergeCell ref="G211:H212"/>
    <mergeCell ref="I211:I212"/>
    <mergeCell ref="E213:F214"/>
    <mergeCell ref="G213:H214"/>
    <mergeCell ref="I213:I214"/>
    <mergeCell ref="J213:J214"/>
    <mergeCell ref="E215:F216"/>
    <mergeCell ref="G215:H216"/>
    <mergeCell ref="I215:I216"/>
    <mergeCell ref="J215:J216"/>
    <mergeCell ref="E217:F218"/>
    <mergeCell ref="G217:H218"/>
    <mergeCell ref="I217:I218"/>
    <mergeCell ref="J217:J218"/>
    <mergeCell ref="E201:F202"/>
    <mergeCell ref="G201:H202"/>
    <mergeCell ref="I201:I202"/>
    <mergeCell ref="J201:J202"/>
    <mergeCell ref="E203:F204"/>
    <mergeCell ref="G203:H204"/>
    <mergeCell ref="I203:I204"/>
    <mergeCell ref="J203:J204"/>
    <mergeCell ref="E205:F206"/>
    <mergeCell ref="G205:H206"/>
    <mergeCell ref="I205:I206"/>
    <mergeCell ref="J205:J206"/>
    <mergeCell ref="K181:R192"/>
    <mergeCell ref="E193:F194"/>
    <mergeCell ref="G193:H194"/>
    <mergeCell ref="I193:I194"/>
    <mergeCell ref="E195:F196"/>
    <mergeCell ref="E197:F198"/>
    <mergeCell ref="E199:F200"/>
    <mergeCell ref="G195:H196"/>
    <mergeCell ref="G197:H198"/>
    <mergeCell ref="G199:H200"/>
    <mergeCell ref="I195:I196"/>
    <mergeCell ref="I197:I198"/>
    <mergeCell ref="I199:I200"/>
    <mergeCell ref="K193:R194"/>
    <mergeCell ref="K199:R200"/>
    <mergeCell ref="E187:F188"/>
    <mergeCell ref="G187:H188"/>
    <mergeCell ref="I187:I188"/>
    <mergeCell ref="E189:F190"/>
    <mergeCell ref="G189:H190"/>
    <mergeCell ref="I189:I190"/>
    <mergeCell ref="E191:F192"/>
    <mergeCell ref="G191:H192"/>
    <mergeCell ref="I191:I192"/>
    <mergeCell ref="E181:F182"/>
    <mergeCell ref="G181:H182"/>
    <mergeCell ref="I181:I182"/>
    <mergeCell ref="E183:F184"/>
    <mergeCell ref="G183:H184"/>
    <mergeCell ref="I183:I184"/>
    <mergeCell ref="E185:F186"/>
    <mergeCell ref="G185:H186"/>
    <mergeCell ref="I185:I186"/>
    <mergeCell ref="K167:R176"/>
    <mergeCell ref="E177:F178"/>
    <mergeCell ref="G177:H178"/>
    <mergeCell ref="I177:I178"/>
    <mergeCell ref="E179:F180"/>
    <mergeCell ref="G179:H180"/>
    <mergeCell ref="I179:I180"/>
    <mergeCell ref="K177:R180"/>
    <mergeCell ref="E171:F172"/>
    <mergeCell ref="G171:H172"/>
    <mergeCell ref="I171:I172"/>
    <mergeCell ref="E173:F174"/>
    <mergeCell ref="G173:H174"/>
    <mergeCell ref="I173:I174"/>
    <mergeCell ref="E175:F176"/>
    <mergeCell ref="G175:H176"/>
    <mergeCell ref="I175:I176"/>
    <mergeCell ref="K155:R160"/>
    <mergeCell ref="K165:R166"/>
    <mergeCell ref="E167:F168"/>
    <mergeCell ref="G167:H168"/>
    <mergeCell ref="I167:I168"/>
    <mergeCell ref="E169:F170"/>
    <mergeCell ref="G169:H170"/>
    <mergeCell ref="I169:I170"/>
    <mergeCell ref="E161:F162"/>
    <mergeCell ref="G161:H162"/>
    <mergeCell ref="I161:I162"/>
    <mergeCell ref="E163:F164"/>
    <mergeCell ref="G163:H164"/>
    <mergeCell ref="I163:I164"/>
    <mergeCell ref="E165:F166"/>
    <mergeCell ref="G165:H166"/>
    <mergeCell ref="I165:I166"/>
    <mergeCell ref="E155:F156"/>
    <mergeCell ref="G155:H156"/>
    <mergeCell ref="I155:I156"/>
    <mergeCell ref="E157:F158"/>
    <mergeCell ref="G157:H158"/>
    <mergeCell ref="I157:I158"/>
    <mergeCell ref="E159:F160"/>
    <mergeCell ref="G159:H160"/>
    <mergeCell ref="I159:I160"/>
    <mergeCell ref="L3:L4"/>
    <mergeCell ref="K9:K10"/>
    <mergeCell ref="E2:I2"/>
    <mergeCell ref="G7:H8"/>
    <mergeCell ref="E3:F4"/>
    <mergeCell ref="G3:H4"/>
    <mergeCell ref="J3:J4"/>
    <mergeCell ref="I3:I4"/>
    <mergeCell ref="I7:I8"/>
    <mergeCell ref="J7:J8"/>
    <mergeCell ref="E9:F10"/>
    <mergeCell ref="G9:H10"/>
    <mergeCell ref="E5:F6"/>
    <mergeCell ref="G5:H6"/>
    <mergeCell ref="E7:F8"/>
    <mergeCell ref="E11:F12"/>
    <mergeCell ref="G11:H12"/>
    <mergeCell ref="I11:I12"/>
    <mergeCell ref="E13:F14"/>
    <mergeCell ref="G13:H14"/>
    <mergeCell ref="I13:I14"/>
    <mergeCell ref="I9:I10"/>
    <mergeCell ref="A2:B2"/>
    <mergeCell ref="K3:K4"/>
    <mergeCell ref="J17:J18"/>
    <mergeCell ref="K17:R18"/>
    <mergeCell ref="E19:F20"/>
    <mergeCell ref="G19:H20"/>
    <mergeCell ref="I19:I20"/>
    <mergeCell ref="J19:J20"/>
    <mergeCell ref="E15:F16"/>
    <mergeCell ref="G15:H16"/>
    <mergeCell ref="E17:F18"/>
    <mergeCell ref="I15:I16"/>
    <mergeCell ref="J15:J16"/>
    <mergeCell ref="G17:H18"/>
    <mergeCell ref="I17:I18"/>
    <mergeCell ref="K25:R26"/>
    <mergeCell ref="E22:H22"/>
    <mergeCell ref="E27:H27"/>
    <mergeCell ref="E28:F29"/>
    <mergeCell ref="G28:H29"/>
    <mergeCell ref="I28:I29"/>
    <mergeCell ref="J28:J29"/>
    <mergeCell ref="E21:F21"/>
    <mergeCell ref="E23:F24"/>
    <mergeCell ref="G23:H24"/>
    <mergeCell ref="I23:I24"/>
    <mergeCell ref="J23:J24"/>
    <mergeCell ref="E25:F26"/>
    <mergeCell ref="G25:H26"/>
    <mergeCell ref="I25:I26"/>
    <mergeCell ref="J25:J26"/>
    <mergeCell ref="E33:H33"/>
    <mergeCell ref="E34:F35"/>
    <mergeCell ref="G34:H35"/>
    <mergeCell ref="I34:I35"/>
    <mergeCell ref="J34:J35"/>
    <mergeCell ref="E30:I30"/>
    <mergeCell ref="E31:F32"/>
    <mergeCell ref="G31:H32"/>
    <mergeCell ref="I31:I32"/>
    <mergeCell ref="J31:J32"/>
    <mergeCell ref="K38:R38"/>
    <mergeCell ref="E39:F40"/>
    <mergeCell ref="G39:H40"/>
    <mergeCell ref="I39:I40"/>
    <mergeCell ref="E41:F42"/>
    <mergeCell ref="G41:H42"/>
    <mergeCell ref="I41:I42"/>
    <mergeCell ref="K39:R46"/>
    <mergeCell ref="E36:G36"/>
    <mergeCell ref="E37:F38"/>
    <mergeCell ref="G37:H38"/>
    <mergeCell ref="E47:F48"/>
    <mergeCell ref="G47:H48"/>
    <mergeCell ref="I47:I48"/>
    <mergeCell ref="J47:J48"/>
    <mergeCell ref="K47:K48"/>
    <mergeCell ref="E43:F44"/>
    <mergeCell ref="G43:H44"/>
    <mergeCell ref="I43:I44"/>
    <mergeCell ref="E45:F46"/>
    <mergeCell ref="G45:H46"/>
    <mergeCell ref="I45:I46"/>
    <mergeCell ref="E53:F54"/>
    <mergeCell ref="G53:H54"/>
    <mergeCell ref="I53:I54"/>
    <mergeCell ref="J53:J54"/>
    <mergeCell ref="K53:K54"/>
    <mergeCell ref="L53:R54"/>
    <mergeCell ref="I49:I50"/>
    <mergeCell ref="J49:J50"/>
    <mergeCell ref="I51:I52"/>
    <mergeCell ref="J51:J52"/>
    <mergeCell ref="K49:K50"/>
    <mergeCell ref="K51:K52"/>
    <mergeCell ref="E55:F56"/>
    <mergeCell ref="G55:H56"/>
    <mergeCell ref="I55:I56"/>
    <mergeCell ref="J55:J56"/>
    <mergeCell ref="E57:F58"/>
    <mergeCell ref="E59:F60"/>
    <mergeCell ref="G57:H58"/>
    <mergeCell ref="G59:H60"/>
    <mergeCell ref="I57:I58"/>
    <mergeCell ref="I59:I60"/>
    <mergeCell ref="I69:I70"/>
    <mergeCell ref="J69:J70"/>
    <mergeCell ref="G63:H64"/>
    <mergeCell ref="I63:I64"/>
    <mergeCell ref="J63:J64"/>
    <mergeCell ref="E65:F66"/>
    <mergeCell ref="G65:H66"/>
    <mergeCell ref="I65:I66"/>
    <mergeCell ref="J57:J58"/>
    <mergeCell ref="E63:F64"/>
    <mergeCell ref="G61:H62"/>
    <mergeCell ref="I61:I62"/>
    <mergeCell ref="E61:F62"/>
    <mergeCell ref="E75:F76"/>
    <mergeCell ref="K71:R72"/>
    <mergeCell ref="E77:F78"/>
    <mergeCell ref="G77:H78"/>
    <mergeCell ref="I77:I78"/>
    <mergeCell ref="J77:J78"/>
    <mergeCell ref="K59:R60"/>
    <mergeCell ref="K61:R62"/>
    <mergeCell ref="G67:I68"/>
    <mergeCell ref="K67:K68"/>
    <mergeCell ref="G75:H76"/>
    <mergeCell ref="I75:I76"/>
    <mergeCell ref="J75:J76"/>
    <mergeCell ref="E71:F72"/>
    <mergeCell ref="G71:H72"/>
    <mergeCell ref="I71:I72"/>
    <mergeCell ref="E73:F74"/>
    <mergeCell ref="G73:H74"/>
    <mergeCell ref="I73:I74"/>
    <mergeCell ref="J73:J74"/>
    <mergeCell ref="E67:F68"/>
    <mergeCell ref="J67:J68"/>
    <mergeCell ref="E69:F70"/>
    <mergeCell ref="G69:H70"/>
    <mergeCell ref="E89:F90"/>
    <mergeCell ref="G89:H90"/>
    <mergeCell ref="I89:I90"/>
    <mergeCell ref="J89:J90"/>
    <mergeCell ref="E83:F84"/>
    <mergeCell ref="G83:H84"/>
    <mergeCell ref="I83:I84"/>
    <mergeCell ref="J83:J84"/>
    <mergeCell ref="E79:F80"/>
    <mergeCell ref="G79:H80"/>
    <mergeCell ref="I79:I80"/>
    <mergeCell ref="J79:J80"/>
    <mergeCell ref="J85:J86"/>
    <mergeCell ref="I85:I86"/>
    <mergeCell ref="G85:H86"/>
    <mergeCell ref="E85:F86"/>
    <mergeCell ref="E81:F82"/>
    <mergeCell ref="G81:H82"/>
    <mergeCell ref="I81:I82"/>
    <mergeCell ref="J81:J82"/>
    <mergeCell ref="E87:F88"/>
    <mergeCell ref="G87:H88"/>
    <mergeCell ref="I87:I88"/>
    <mergeCell ref="J87:J88"/>
    <mergeCell ref="E101:F102"/>
    <mergeCell ref="G101:H102"/>
    <mergeCell ref="E96:F96"/>
    <mergeCell ref="E97:F98"/>
    <mergeCell ref="G97:H98"/>
    <mergeCell ref="I97:I98"/>
    <mergeCell ref="J97:J98"/>
    <mergeCell ref="E91:F92"/>
    <mergeCell ref="G91:H92"/>
    <mergeCell ref="I91:I92"/>
    <mergeCell ref="J91:J92"/>
    <mergeCell ref="E93:H93"/>
    <mergeCell ref="E94:F95"/>
    <mergeCell ref="G94:H95"/>
    <mergeCell ref="I94:I95"/>
    <mergeCell ref="J94:J95"/>
    <mergeCell ref="K97:R98"/>
    <mergeCell ref="E107:F108"/>
    <mergeCell ref="G107:H108"/>
    <mergeCell ref="I107:I108"/>
    <mergeCell ref="J107:J108"/>
    <mergeCell ref="E109:F110"/>
    <mergeCell ref="G109:H110"/>
    <mergeCell ref="I109:I110"/>
    <mergeCell ref="J109:J110"/>
    <mergeCell ref="E105:F106"/>
    <mergeCell ref="G105:H106"/>
    <mergeCell ref="I105:I106"/>
    <mergeCell ref="J105:J106"/>
    <mergeCell ref="K101:R106"/>
    <mergeCell ref="I101:I102"/>
    <mergeCell ref="J101:J102"/>
    <mergeCell ref="E103:F104"/>
    <mergeCell ref="G103:H104"/>
    <mergeCell ref="I103:I104"/>
    <mergeCell ref="J103:J104"/>
    <mergeCell ref="E99:F100"/>
    <mergeCell ref="G99:H100"/>
    <mergeCell ref="I99:I100"/>
    <mergeCell ref="J99:J100"/>
    <mergeCell ref="E115:F116"/>
    <mergeCell ref="G115:H116"/>
    <mergeCell ref="I115:I116"/>
    <mergeCell ref="J115:J116"/>
    <mergeCell ref="E111:F112"/>
    <mergeCell ref="G111:H112"/>
    <mergeCell ref="I111:I112"/>
    <mergeCell ref="J111:J112"/>
    <mergeCell ref="E113:F114"/>
    <mergeCell ref="G113:H114"/>
    <mergeCell ref="I113:I114"/>
    <mergeCell ref="J113:J114"/>
    <mergeCell ref="E117:J117"/>
    <mergeCell ref="E118:F119"/>
    <mergeCell ref="G118:H119"/>
    <mergeCell ref="I118:I119"/>
    <mergeCell ref="J118:J119"/>
    <mergeCell ref="E120:F121"/>
    <mergeCell ref="G120:H121"/>
    <mergeCell ref="I120:I121"/>
    <mergeCell ref="J120:J121"/>
    <mergeCell ref="E122:F123"/>
    <mergeCell ref="G122:H123"/>
    <mergeCell ref="I122:I123"/>
    <mergeCell ref="J122:J123"/>
    <mergeCell ref="E124:F125"/>
    <mergeCell ref="G124:H125"/>
    <mergeCell ref="I124:I125"/>
    <mergeCell ref="J124:J125"/>
    <mergeCell ref="E126:F127"/>
    <mergeCell ref="G126:H127"/>
    <mergeCell ref="I126:I127"/>
    <mergeCell ref="J126:J127"/>
    <mergeCell ref="E134:J134"/>
    <mergeCell ref="E137:F138"/>
    <mergeCell ref="G137:H138"/>
    <mergeCell ref="I137:I138"/>
    <mergeCell ref="J135:J136"/>
    <mergeCell ref="E139:F140"/>
    <mergeCell ref="G139:H140"/>
    <mergeCell ref="I139:I140"/>
    <mergeCell ref="E128:F129"/>
    <mergeCell ref="G128:H129"/>
    <mergeCell ref="I128:I129"/>
    <mergeCell ref="J128:J129"/>
    <mergeCell ref="E130:F131"/>
    <mergeCell ref="G130:H131"/>
    <mergeCell ref="I130:I131"/>
    <mergeCell ref="J130:J131"/>
    <mergeCell ref="E132:F133"/>
    <mergeCell ref="G132:H133"/>
    <mergeCell ref="I132:I133"/>
    <mergeCell ref="J132:J133"/>
    <mergeCell ref="E141:F142"/>
    <mergeCell ref="G141:H142"/>
    <mergeCell ref="I141:I142"/>
    <mergeCell ref="E135:F136"/>
    <mergeCell ref="G135:H136"/>
    <mergeCell ref="I135:I136"/>
    <mergeCell ref="K135:R136"/>
    <mergeCell ref="K143:K144"/>
    <mergeCell ref="K145:K146"/>
    <mergeCell ref="E143:F144"/>
    <mergeCell ref="E145:F146"/>
    <mergeCell ref="G145:J146"/>
    <mergeCell ref="G143:J144"/>
    <mergeCell ref="L143:R146"/>
    <mergeCell ref="E153:F154"/>
    <mergeCell ref="G153:H154"/>
    <mergeCell ref="I153:I154"/>
    <mergeCell ref="E147:F148"/>
    <mergeCell ref="G147:H148"/>
    <mergeCell ref="I147:I148"/>
    <mergeCell ref="E149:F150"/>
    <mergeCell ref="G149:H150"/>
    <mergeCell ref="I149:I150"/>
    <mergeCell ref="E151:F152"/>
    <mergeCell ref="G151:H152"/>
    <mergeCell ref="I151:I152"/>
  </mergeCells>
  <conditionalFormatting sqref="K143:K144">
    <cfRule type="expression" dxfId="3" priority="6">
      <formula>IF($U$144=0.2,1,0)</formula>
    </cfRule>
    <cfRule type="expression" dxfId="2" priority="7">
      <formula>IF($U$144=0.1,1,0)</formula>
    </cfRule>
  </conditionalFormatting>
  <conditionalFormatting sqref="K145:K146">
    <cfRule type="expression" dxfId="1" priority="8">
      <formula>IF($U$144=0.2,1,0)</formula>
    </cfRule>
    <cfRule type="expression" dxfId="0" priority="9">
      <formula>IF($U$144=0.1,1,0)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zoomScaleNormal="100" workbookViewId="0">
      <selection activeCell="M30" sqref="M30"/>
    </sheetView>
  </sheetViews>
  <sheetFormatPr defaultRowHeight="15" x14ac:dyDescent="0.25"/>
  <sheetData>
    <row r="1" spans="2:19" x14ac:dyDescent="0.25">
      <c r="B1" s="35" t="s">
        <v>38</v>
      </c>
      <c r="C1" s="35"/>
      <c r="D1" s="35"/>
      <c r="E1" s="35"/>
      <c r="F1" s="35"/>
      <c r="G1" s="35"/>
      <c r="M1" s="35" t="s">
        <v>39</v>
      </c>
      <c r="N1" s="35"/>
      <c r="O1" s="35"/>
      <c r="P1" s="35"/>
      <c r="Q1" s="35"/>
      <c r="R1" s="35"/>
    </row>
    <row r="2" spans="2:19" x14ac:dyDescent="0.25">
      <c r="B2" s="35"/>
      <c r="C2" s="35"/>
      <c r="D2" s="35"/>
      <c r="E2" s="35"/>
      <c r="F2" s="35"/>
      <c r="G2" s="35"/>
      <c r="M2" s="35"/>
      <c r="N2" s="35"/>
      <c r="O2" s="35"/>
      <c r="P2" s="35"/>
      <c r="Q2" s="35"/>
      <c r="R2" s="35"/>
    </row>
    <row r="5" spans="2:19" x14ac:dyDescent="0.25">
      <c r="J5" s="24">
        <v>1</v>
      </c>
      <c r="S5" s="24">
        <v>1</v>
      </c>
    </row>
    <row r="6" spans="2:19" x14ac:dyDescent="0.25">
      <c r="J6" s="24"/>
      <c r="S6" s="24"/>
    </row>
    <row r="7" spans="2:19" x14ac:dyDescent="0.25">
      <c r="J7" s="24">
        <v>2</v>
      </c>
      <c r="S7" s="24">
        <v>2.613</v>
      </c>
    </row>
    <row r="8" spans="2:19" x14ac:dyDescent="0.25">
      <c r="J8" s="24"/>
      <c r="S8" s="24"/>
    </row>
    <row r="9" spans="2:19" x14ac:dyDescent="0.25">
      <c r="J9" s="24">
        <v>1.0940000000000001</v>
      </c>
      <c r="S9" s="24">
        <v>1.143</v>
      </c>
    </row>
    <row r="10" spans="2:19" x14ac:dyDescent="0.25">
      <c r="J10" s="24"/>
      <c r="S10" s="24"/>
    </row>
    <row r="11" spans="2:19" x14ac:dyDescent="0.25">
      <c r="J11" s="24">
        <v>2.6459999999999999</v>
      </c>
      <c r="S11" s="24">
        <v>3.5579999999999998</v>
      </c>
    </row>
    <row r="12" spans="2:19" x14ac:dyDescent="0.25">
      <c r="J12" s="24"/>
      <c r="S12" s="24"/>
    </row>
    <row r="27" spans="2:9" x14ac:dyDescent="0.25">
      <c r="B27" s="35" t="s">
        <v>40</v>
      </c>
      <c r="C27" s="35"/>
      <c r="D27" s="35"/>
      <c r="E27" s="35"/>
      <c r="F27" s="35"/>
      <c r="G27" s="35"/>
    </row>
    <row r="28" spans="2:9" x14ac:dyDescent="0.25">
      <c r="B28" s="35"/>
      <c r="C28" s="35"/>
      <c r="D28" s="35"/>
      <c r="E28" s="35"/>
      <c r="F28" s="35"/>
      <c r="G28" s="35"/>
    </row>
    <row r="30" spans="2:9" x14ac:dyDescent="0.25">
      <c r="I30" s="24">
        <v>1</v>
      </c>
    </row>
    <row r="31" spans="2:9" x14ac:dyDescent="0.25">
      <c r="I31" s="24"/>
    </row>
    <row r="32" spans="2:9" x14ac:dyDescent="0.25">
      <c r="I32" s="24">
        <v>1.4139999999999999</v>
      </c>
    </row>
    <row r="33" spans="9:9" x14ac:dyDescent="0.25">
      <c r="I33" s="24"/>
    </row>
    <row r="34" spans="9:9" x14ac:dyDescent="0.25">
      <c r="I34" s="24">
        <v>1.732</v>
      </c>
    </row>
    <row r="35" spans="9:9" x14ac:dyDescent="0.25">
      <c r="I35" s="24"/>
    </row>
    <row r="36" spans="9:9" x14ac:dyDescent="0.25">
      <c r="I36" s="24">
        <v>1.732</v>
      </c>
    </row>
    <row r="37" spans="9:9" x14ac:dyDescent="0.25">
      <c r="I37" s="24"/>
    </row>
  </sheetData>
  <mergeCells count="15">
    <mergeCell ref="I30:I31"/>
    <mergeCell ref="I32:I33"/>
    <mergeCell ref="I34:I35"/>
    <mergeCell ref="I36:I37"/>
    <mergeCell ref="B27:G28"/>
    <mergeCell ref="J11:J12"/>
    <mergeCell ref="S5:S6"/>
    <mergeCell ref="S7:S8"/>
    <mergeCell ref="S9:S10"/>
    <mergeCell ref="S11:S12"/>
    <mergeCell ref="B1:G2"/>
    <mergeCell ref="M1:R2"/>
    <mergeCell ref="J5:J6"/>
    <mergeCell ref="J7:J8"/>
    <mergeCell ref="J9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sheetData>
    <row r="1" spans="1:6" x14ac:dyDescent="0.25">
      <c r="A1" s="13"/>
      <c r="B1" s="13"/>
      <c r="C1" s="14"/>
      <c r="D1" s="14"/>
      <c r="E1" s="14"/>
      <c r="F1" s="14"/>
    </row>
    <row r="2" spans="1:6" x14ac:dyDescent="0.25">
      <c r="A2" s="13"/>
      <c r="B2" s="13"/>
      <c r="C2" s="14"/>
      <c r="D2" s="14"/>
      <c r="E2" s="14"/>
      <c r="F2" s="14"/>
    </row>
  </sheetData>
  <mergeCells count="4">
    <mergeCell ref="A1:B2"/>
    <mergeCell ref="C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 Расчёт</vt:lpstr>
      <vt:lpstr>2. Примеры призм</vt:lpstr>
      <vt:lpstr>3. Показатели преломл.</vt:lpstr>
      <vt:lpstr>_шаблоны разметки_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Балаев</dc:creator>
  <cp:lastModifiedBy>Иван Балаев</cp:lastModifiedBy>
  <dcterms:created xsi:type="dcterms:W3CDTF">2020-03-17T00:25:02Z</dcterms:created>
  <dcterms:modified xsi:type="dcterms:W3CDTF">2020-03-23T19:04:26Z</dcterms:modified>
</cp:coreProperties>
</file>