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1" l="1"/>
  <c r="L62" i="1"/>
  <c r="K62" i="1"/>
  <c r="J62" i="1"/>
  <c r="I62" i="1"/>
  <c r="H62" i="1"/>
  <c r="G62" i="1"/>
  <c r="F62" i="1"/>
  <c r="E62" i="1"/>
  <c r="D62" i="1"/>
  <c r="M21" i="1"/>
  <c r="L21" i="1"/>
  <c r="K21" i="1"/>
  <c r="J21" i="1"/>
  <c r="I21" i="1"/>
  <c r="H21" i="1"/>
  <c r="G21" i="1"/>
  <c r="F21" i="1"/>
  <c r="E21" i="1"/>
  <c r="D21" i="1"/>
  <c r="M58" i="1"/>
  <c r="L58" i="1"/>
  <c r="K58" i="1"/>
  <c r="J58" i="1"/>
  <c r="I58" i="1"/>
  <c r="H58" i="1"/>
  <c r="G58" i="1"/>
  <c r="F58" i="1"/>
  <c r="E58" i="1"/>
  <c r="D58" i="1"/>
  <c r="M57" i="1"/>
  <c r="L57" i="1"/>
  <c r="K57" i="1"/>
  <c r="J57" i="1"/>
  <c r="I57" i="1"/>
  <c r="H57" i="1"/>
  <c r="G57" i="1"/>
  <c r="F57" i="1"/>
  <c r="E57" i="1"/>
  <c r="D57" i="1"/>
  <c r="M56" i="1"/>
  <c r="L56" i="1"/>
  <c r="K56" i="1"/>
  <c r="J56" i="1"/>
  <c r="I56" i="1"/>
  <c r="H56" i="1"/>
  <c r="G56" i="1"/>
  <c r="F56" i="1"/>
  <c r="E56" i="1"/>
  <c r="D56" i="1"/>
  <c r="M55" i="1"/>
  <c r="L55" i="1"/>
  <c r="K55" i="1"/>
  <c r="J55" i="1"/>
  <c r="I55" i="1"/>
  <c r="H55" i="1"/>
  <c r="G55" i="1"/>
  <c r="F55" i="1"/>
  <c r="E55" i="1"/>
  <c r="D55" i="1"/>
  <c r="M54" i="1"/>
  <c r="L54" i="1"/>
  <c r="K54" i="1"/>
  <c r="J54" i="1"/>
  <c r="I54" i="1"/>
  <c r="H54" i="1"/>
  <c r="G54" i="1"/>
  <c r="F54" i="1"/>
  <c r="E54" i="1"/>
  <c r="D54" i="1"/>
  <c r="M44" i="1"/>
  <c r="L44" i="1"/>
  <c r="K44" i="1"/>
  <c r="J44" i="1"/>
  <c r="I44" i="1"/>
  <c r="H44" i="1"/>
  <c r="G44" i="1"/>
  <c r="F44" i="1"/>
  <c r="F45" i="1" s="1"/>
  <c r="E44" i="1"/>
  <c r="D44" i="1"/>
  <c r="M43" i="1"/>
  <c r="L43" i="1"/>
  <c r="K43" i="1"/>
  <c r="J43" i="1"/>
  <c r="I43" i="1"/>
  <c r="I45" i="1" s="1"/>
  <c r="H43" i="1"/>
  <c r="H45" i="1" s="1"/>
  <c r="G43" i="1"/>
  <c r="F43" i="1"/>
  <c r="E43" i="1"/>
  <c r="D43" i="1"/>
  <c r="M42" i="1"/>
  <c r="L42" i="1"/>
  <c r="L45" i="1" s="1"/>
  <c r="K42" i="1"/>
  <c r="K45" i="1" s="1"/>
  <c r="J42" i="1"/>
  <c r="J45" i="1" s="1"/>
  <c r="I42" i="1"/>
  <c r="H42" i="1"/>
  <c r="G42" i="1"/>
  <c r="F42" i="1"/>
  <c r="E42" i="1"/>
  <c r="D42" i="1"/>
  <c r="D45" i="1" s="1"/>
  <c r="M40" i="1"/>
  <c r="L40" i="1"/>
  <c r="K40" i="1"/>
  <c r="J40" i="1"/>
  <c r="I40" i="1"/>
  <c r="H40" i="1"/>
  <c r="G40" i="1"/>
  <c r="F40" i="1"/>
  <c r="E40" i="1"/>
  <c r="D40" i="1"/>
  <c r="M39" i="1"/>
  <c r="L39" i="1"/>
  <c r="K39" i="1"/>
  <c r="J39" i="1"/>
  <c r="I39" i="1"/>
  <c r="H39" i="1"/>
  <c r="G39" i="1"/>
  <c r="F39" i="1"/>
  <c r="E39" i="1"/>
  <c r="D39" i="1"/>
  <c r="M38" i="1"/>
  <c r="L38" i="1"/>
  <c r="K38" i="1"/>
  <c r="J38" i="1"/>
  <c r="I38" i="1"/>
  <c r="H38" i="1"/>
  <c r="G38" i="1"/>
  <c r="F38" i="1"/>
  <c r="E38" i="1"/>
  <c r="D38" i="1"/>
  <c r="M37" i="1"/>
  <c r="L37" i="1"/>
  <c r="K37" i="1"/>
  <c r="J37" i="1"/>
  <c r="I37" i="1"/>
  <c r="H37" i="1"/>
  <c r="G37" i="1"/>
  <c r="F37" i="1"/>
  <c r="E37" i="1"/>
  <c r="D37" i="1"/>
  <c r="M36" i="1"/>
  <c r="L36" i="1"/>
  <c r="K36" i="1"/>
  <c r="K41" i="1" s="1"/>
  <c r="J36" i="1"/>
  <c r="J41" i="1" s="1"/>
  <c r="I36" i="1"/>
  <c r="H36" i="1"/>
  <c r="G36" i="1"/>
  <c r="F36" i="1"/>
  <c r="E36" i="1"/>
  <c r="D36" i="1"/>
  <c r="M35" i="1"/>
  <c r="L35" i="1"/>
  <c r="K35" i="1"/>
  <c r="J35" i="1"/>
  <c r="I35" i="1"/>
  <c r="H35" i="1"/>
  <c r="G35" i="1"/>
  <c r="F35" i="1"/>
  <c r="E35" i="1"/>
  <c r="D35" i="1"/>
  <c r="M34" i="1"/>
  <c r="L34" i="1"/>
  <c r="K34" i="1"/>
  <c r="J34" i="1"/>
  <c r="I34" i="1"/>
  <c r="I41" i="1" s="1"/>
  <c r="H34" i="1"/>
  <c r="H41" i="1" s="1"/>
  <c r="G34" i="1"/>
  <c r="G41" i="1" s="1"/>
  <c r="F34" i="1"/>
  <c r="F41" i="1" s="1"/>
  <c r="E34" i="1"/>
  <c r="D34" i="1"/>
  <c r="M27" i="1"/>
  <c r="L27" i="1"/>
  <c r="K27" i="1"/>
  <c r="J27" i="1"/>
  <c r="I27" i="1"/>
  <c r="H27" i="1"/>
  <c r="G27" i="1"/>
  <c r="F27" i="1"/>
  <c r="E27" i="1"/>
  <c r="D27" i="1"/>
  <c r="M26" i="1"/>
  <c r="L26" i="1"/>
  <c r="K26" i="1"/>
  <c r="J26" i="1"/>
  <c r="I26" i="1"/>
  <c r="H26" i="1"/>
  <c r="G26" i="1"/>
  <c r="F26" i="1"/>
  <c r="E26" i="1"/>
  <c r="D26" i="1"/>
  <c r="M25" i="1"/>
  <c r="L25" i="1"/>
  <c r="K25" i="1"/>
  <c r="J25" i="1"/>
  <c r="I25" i="1"/>
  <c r="I28" i="1" s="1"/>
  <c r="H25" i="1"/>
  <c r="G25" i="1"/>
  <c r="F25" i="1"/>
  <c r="E25" i="1"/>
  <c r="D25" i="1"/>
  <c r="M24" i="1"/>
  <c r="L24" i="1"/>
  <c r="K24" i="1"/>
  <c r="J24" i="1"/>
  <c r="J28" i="1" s="1"/>
  <c r="I24" i="1"/>
  <c r="H24" i="1"/>
  <c r="G24" i="1"/>
  <c r="F24" i="1"/>
  <c r="E24" i="1"/>
  <c r="D24" i="1"/>
  <c r="M23" i="1"/>
  <c r="M28" i="1" s="1"/>
  <c r="L23" i="1"/>
  <c r="K23" i="1"/>
  <c r="J23" i="1"/>
  <c r="I23" i="1"/>
  <c r="H23" i="1"/>
  <c r="G23" i="1"/>
  <c r="F23" i="1"/>
  <c r="E23" i="1"/>
  <c r="E28" i="1" s="1"/>
  <c r="D23" i="1"/>
  <c r="M22" i="1"/>
  <c r="L22" i="1"/>
  <c r="K22" i="1"/>
  <c r="J22" i="1"/>
  <c r="I22" i="1"/>
  <c r="H22" i="1"/>
  <c r="H28" i="1" s="1"/>
  <c r="G22" i="1"/>
  <c r="G28" i="1" s="1"/>
  <c r="F22" i="1"/>
  <c r="F28" i="1" s="1"/>
  <c r="E22" i="1"/>
  <c r="D22" i="1"/>
  <c r="M10" i="1"/>
  <c r="L10" i="1"/>
  <c r="K10" i="1"/>
  <c r="J10" i="1"/>
  <c r="I10" i="1"/>
  <c r="H10" i="1"/>
  <c r="G10" i="1"/>
  <c r="F10" i="1"/>
  <c r="E10" i="1"/>
  <c r="D10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M7" i="1"/>
  <c r="M11" i="1" s="1"/>
  <c r="L7" i="1"/>
  <c r="L11" i="1" s="1"/>
  <c r="K7" i="1"/>
  <c r="J7" i="1"/>
  <c r="I7" i="1"/>
  <c r="H7" i="1"/>
  <c r="G7" i="1"/>
  <c r="F7" i="1"/>
  <c r="E7" i="1"/>
  <c r="E11" i="1" s="1"/>
  <c r="D7" i="1"/>
  <c r="D11" i="1" s="1"/>
  <c r="M6" i="1"/>
  <c r="L6" i="1"/>
  <c r="K6" i="1"/>
  <c r="J6" i="1"/>
  <c r="J11" i="1" s="1"/>
  <c r="I6" i="1"/>
  <c r="H6" i="1"/>
  <c r="G6" i="1"/>
  <c r="F6" i="1"/>
  <c r="F11" i="1" s="1"/>
  <c r="E6" i="1"/>
  <c r="D6" i="1"/>
  <c r="M5" i="1"/>
  <c r="L5" i="1"/>
  <c r="K5" i="1"/>
  <c r="K11" i="1" s="1"/>
  <c r="J5" i="1"/>
  <c r="I5" i="1"/>
  <c r="I11" i="1" s="1"/>
  <c r="H5" i="1"/>
  <c r="H11" i="1" s="1"/>
  <c r="G5" i="1"/>
  <c r="F5" i="1"/>
  <c r="E5" i="1"/>
  <c r="D5" i="1"/>
  <c r="G11" i="1"/>
  <c r="D28" i="1"/>
  <c r="K28" i="1"/>
  <c r="L28" i="1"/>
  <c r="D41" i="1"/>
  <c r="E41" i="1"/>
  <c r="L41" i="1"/>
  <c r="M41" i="1"/>
  <c r="E45" i="1"/>
  <c r="G45" i="1"/>
  <c r="M45" i="1"/>
  <c r="D49" i="1"/>
  <c r="E49" i="1"/>
  <c r="F49" i="1"/>
  <c r="G49" i="1"/>
  <c r="H49" i="1"/>
  <c r="I49" i="1"/>
  <c r="J49" i="1"/>
  <c r="K49" i="1"/>
  <c r="L49" i="1"/>
  <c r="M49" i="1"/>
  <c r="O5" i="1"/>
  <c r="M51" i="1" l="1"/>
  <c r="L51" i="1"/>
  <c r="E51" i="1"/>
  <c r="F51" i="1"/>
  <c r="D51" i="1"/>
  <c r="G51" i="1"/>
  <c r="I51" i="1"/>
  <c r="K51" i="1"/>
  <c r="H51" i="1"/>
  <c r="J51" i="1"/>
  <c r="G30" i="1"/>
  <c r="G60" i="1" s="1"/>
  <c r="J30" i="1"/>
  <c r="J60" i="1" s="1"/>
  <c r="K30" i="1"/>
  <c r="K60" i="1" s="1"/>
  <c r="F30" i="1"/>
  <c r="F60" i="1" s="1"/>
  <c r="D30" i="1"/>
  <c r="L30" i="1"/>
  <c r="L60" i="1" s="1"/>
  <c r="E30" i="1"/>
  <c r="E60" i="1" s="1"/>
  <c r="M30" i="1"/>
  <c r="M60" i="1" s="1"/>
  <c r="H30" i="1"/>
  <c r="H60" i="1" s="1"/>
  <c r="I30" i="1"/>
  <c r="I60" i="1" s="1"/>
  <c r="D60" i="1" l="1"/>
</calcChain>
</file>

<file path=xl/sharedStrings.xml><?xml version="1.0" encoding="utf-8"?>
<sst xmlns="http://schemas.openxmlformats.org/spreadsheetml/2006/main" count="72" uniqueCount="64">
  <si>
    <t>Energiebilanzen</t>
  </si>
  <si>
    <t>Aggregat</t>
  </si>
  <si>
    <t>Energieträger</t>
  </si>
  <si>
    <t>Fossil-fest</t>
  </si>
  <si>
    <t>Steinkohle</t>
  </si>
  <si>
    <t>Braunkohle</t>
  </si>
  <si>
    <t>Braunkohlen-Briketts</t>
  </si>
  <si>
    <t>Brenntorf</t>
  </si>
  <si>
    <t>Koks</t>
  </si>
  <si>
    <t>Brennbare Abfälle</t>
  </si>
  <si>
    <t>Fossil-flüssig</t>
  </si>
  <si>
    <t>Erdöl</t>
  </si>
  <si>
    <t>Sonstiger Raffinerieeinsatz</t>
  </si>
  <si>
    <t>Benzin</t>
  </si>
  <si>
    <t>Petroleum</t>
  </si>
  <si>
    <t>Diesel</t>
  </si>
  <si>
    <t>Gasöl für Heizzwecke</t>
  </si>
  <si>
    <t>Heizöl</t>
  </si>
  <si>
    <t>Flüssiggas (LPG)</t>
  </si>
  <si>
    <t>Sonstige Produkte d. Erdölverarbeitung</t>
  </si>
  <si>
    <t>Fossil-gasformig</t>
  </si>
  <si>
    <t>Gichtgas</t>
  </si>
  <si>
    <t>Kokereigas</t>
  </si>
  <si>
    <t>Raffinerierestgas</t>
  </si>
  <si>
    <t>Mischgas</t>
  </si>
  <si>
    <t>Erdgas</t>
  </si>
  <si>
    <t>Generatorgas</t>
  </si>
  <si>
    <t>Biogen-fest</t>
  </si>
  <si>
    <t>Scheitholz</t>
  </si>
  <si>
    <t>Pellets+Holzbriketts</t>
  </si>
  <si>
    <t>Holzabfall</t>
  </si>
  <si>
    <t>Holzkohle</t>
  </si>
  <si>
    <t>Ablaugen</t>
  </si>
  <si>
    <t>Sonst. Biogene fest</t>
  </si>
  <si>
    <t>Hausmüll Bioanteil</t>
  </si>
  <si>
    <t>Biogen-gasformig</t>
  </si>
  <si>
    <t>Deponiegas</t>
  </si>
  <si>
    <t>Klärgas</t>
  </si>
  <si>
    <t>Biogas</t>
  </si>
  <si>
    <t>Biogen-flüssig</t>
  </si>
  <si>
    <t>Bioethanol</t>
  </si>
  <si>
    <t>Biodiesel</t>
  </si>
  <si>
    <t>Sonst. Biogene flüssig</t>
  </si>
  <si>
    <t>Bgd</t>
  </si>
  <si>
    <t>Ktn</t>
  </si>
  <si>
    <t>Noe</t>
  </si>
  <si>
    <t>Ooe</t>
  </si>
  <si>
    <t>Sbg</t>
  </si>
  <si>
    <t>Stk</t>
  </si>
  <si>
    <t>Tir</t>
  </si>
  <si>
    <t>Vbg</t>
  </si>
  <si>
    <t>Wie</t>
  </si>
  <si>
    <t>AT</t>
  </si>
  <si>
    <t>SUM</t>
  </si>
  <si>
    <t>Biogene</t>
  </si>
  <si>
    <t>CHECK FROM OUTPUT</t>
  </si>
  <si>
    <t>Wind</t>
  </si>
  <si>
    <t>PV</t>
  </si>
  <si>
    <t>Wasserkraft</t>
  </si>
  <si>
    <t>Fossile</t>
  </si>
  <si>
    <t>SUMME UA</t>
  </si>
  <si>
    <t>Importe</t>
  </si>
  <si>
    <t>Exporte</t>
  </si>
  <si>
    <t>TJ_2_TWH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</si>
</sst>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9">
    <xf numFmtId="0" fontId="0" fillId="0" borderId="0" xfId="0"/>
    <xf numFmtId="0" fontId="0" fillId="0" borderId="0" xfId="0" applyBorder="1"/>
    <xf numFmtId="0" fontId="7" fillId="0" borderId="0" xfId="0" applyFont="1" applyFill="1" applyBorder="1"/>
    <xf numFmtId="0" fontId="5" fillId="0" borderId="0" xfId="0" applyFont="1" applyFill="1" applyBorder="1"/>
    <xf numFmtId="0" fontId="8" fillId="0" borderId="0" xfId="0" applyFont="1" applyFill="1" applyBorder="1" applyAlignment="1">
      <alignment horizontal="center" vertical="top"/>
    </xf>
    <xf numFmtId="0" fontId="2" fillId="0" borderId="0" xfId="2" applyBorder="1" applyAlignment="1">
      <alignment horizontal="left"/>
    </xf>
    <xf numFmtId="0" fontId="3" fillId="0" borderId="0" xfId="3" applyBorder="1" applyAlignment="1">
      <alignment horizontal="center"/>
    </xf>
    <xf numFmtId="0" fontId="6" fillId="5" borderId="0" xfId="0" applyFont="1" applyFill="1" applyBorder="1"/>
    <xf numFmtId="0" fontId="0" fillId="0" borderId="0" xfId="0" applyFill="1" applyBorder="1"/>
    <xf numFmtId="0" fontId="4" fillId="5" borderId="0" xfId="0" applyFont="1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4" borderId="0" xfId="0" applyFill="1" applyBorder="1"/>
    <xf numFmtId="0" fontId="6" fillId="6" borderId="0" xfId="0" applyFont="1" applyFill="1" applyBorder="1"/>
    <xf numFmtId="164" fontId="0" fillId="0" borderId="0" xfId="1" applyNumberFormat="1" applyFont="1" applyFill="1" applyBorder="1"/>
    <xf numFmtId="164" fontId="8" fillId="0" borderId="0" xfId="1" applyNumberFormat="1" applyFont="1" applyFill="1" applyBorder="1" applyAlignment="1">
      <alignment horizontal="center" vertical="top"/>
    </xf>
    <xf numFmtId="164" fontId="0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0" fontId="6" fillId="3" borderId="0" xfId="0" applyFont="1" applyFill="1" applyBorder="1"/>
  </cellXfs>
  <cellStyles count="4">
    <cellStyle name="Komma" xfId="1" builtinId="3"/>
    <cellStyle name="Standard" xfId="0" builtinId="0"/>
    <cellStyle name="Überschrift 1" xfId="2" builtinId="16"/>
    <cellStyle name="Überschrift 2" xfId="3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4"/>
  <sheetViews>
    <sheetView tabSelected="1" workbookViewId="0">
      <selection activeCell="C52" sqref="C51:C52"/>
    </sheetView>
  </sheetViews>
  <sheetFormatPr baseColWidth="10" defaultColWidth="9.140625" defaultRowHeight="15" x14ac:dyDescent="0.25"/>
  <cols>
    <col min="2" max="2" width="16.7109375" style="1" bestFit="1" customWidth="1"/>
    <col min="3" max="3" width="36.28515625" style="1" bestFit="1" customWidth="1"/>
    <col min="4" max="9" width="9.42578125" style="14" bestFit="1" customWidth="1"/>
    <col min="10" max="10" width="8" style="14" bestFit="1" customWidth="1"/>
    <col min="11" max="11" width="7" style="14" bestFit="1" customWidth="1"/>
    <col min="12" max="12" width="8" style="14" bestFit="1" customWidth="1"/>
    <col min="13" max="13" width="10.42578125" style="14" bestFit="1" customWidth="1"/>
  </cols>
  <sheetData>
    <row r="2" spans="2:15" ht="19.5" x14ac:dyDescent="0.3">
      <c r="B2" s="5" t="s">
        <v>0</v>
      </c>
      <c r="C2" s="5"/>
    </row>
    <row r="3" spans="2:15" ht="17.25" x14ac:dyDescent="0.3">
      <c r="B3" s="6" t="s">
        <v>1</v>
      </c>
      <c r="C3" s="6" t="s">
        <v>2</v>
      </c>
    </row>
    <row r="4" spans="2:15" x14ac:dyDescent="0.25">
      <c r="D4" s="15" t="s">
        <v>43</v>
      </c>
      <c r="E4" s="15" t="s">
        <v>44</v>
      </c>
      <c r="F4" s="15" t="s">
        <v>45</v>
      </c>
      <c r="G4" s="15" t="s">
        <v>46</v>
      </c>
      <c r="H4" s="15" t="s">
        <v>47</v>
      </c>
      <c r="I4" s="15" t="s">
        <v>48</v>
      </c>
      <c r="J4" s="15" t="s">
        <v>49</v>
      </c>
      <c r="K4" s="15" t="s">
        <v>50</v>
      </c>
      <c r="L4" s="15" t="s">
        <v>51</v>
      </c>
      <c r="M4" s="15" t="s">
        <v>52</v>
      </c>
      <c r="O4" s="4" t="s">
        <v>63</v>
      </c>
    </row>
    <row r="5" spans="2:15" x14ac:dyDescent="0.25">
      <c r="B5" s="7" t="s">
        <v>3</v>
      </c>
      <c r="C5" s="8" t="s">
        <v>4</v>
      </c>
      <c r="D5" s="14">
        <f>0*(0.2778 /1000)</f>
        <v>0</v>
      </c>
      <c r="E5" s="14">
        <f>0*(0.2778 /1000)</f>
        <v>0</v>
      </c>
      <c r="F5" s="14">
        <f>2892.3*(0.2778 /1000)</f>
        <v>0.80348094000000003</v>
      </c>
      <c r="G5" s="14">
        <f>188.35*(0.2778 /1000)</f>
        <v>5.2323629999999996E-2</v>
      </c>
      <c r="H5" s="14">
        <f>0*(0.2778 /1000)</f>
        <v>0</v>
      </c>
      <c r="I5" s="14">
        <f>3418.36*(0.2778 /1000)</f>
        <v>0.94962040799999992</v>
      </c>
      <c r="J5" s="14">
        <f>0*(0.2778 /1000)</f>
        <v>0</v>
      </c>
      <c r="K5" s="14">
        <f>0*(0.2778 /1000)</f>
        <v>0</v>
      </c>
      <c r="L5" s="14">
        <f>0*(0.2778 /1000)</f>
        <v>0</v>
      </c>
      <c r="M5" s="14">
        <f>6499.02*(0.2778 /1000)</f>
        <v>1.8054277559999996</v>
      </c>
      <c r="O5">
        <f>0.2778 /1000</f>
        <v>2.7779999999999998E-4</v>
      </c>
    </row>
    <row r="6" spans="2:15" x14ac:dyDescent="0.25">
      <c r="C6" s="8" t="s">
        <v>5</v>
      </c>
      <c r="D6" s="14">
        <f>0*(0.2778 /1000)</f>
        <v>0</v>
      </c>
      <c r="E6" s="14">
        <f>0*(0.2778 /1000)</f>
        <v>0</v>
      </c>
      <c r="F6" s="14">
        <f>0*(0.2778 /1000)</f>
        <v>0</v>
      </c>
      <c r="G6" s="14">
        <f>0*(0.2778 /1000)</f>
        <v>0</v>
      </c>
      <c r="H6" s="14">
        <f>0*(0.2778 /1000)</f>
        <v>0</v>
      </c>
      <c r="I6" s="14">
        <f>0*(0.2778 /1000)</f>
        <v>0</v>
      </c>
      <c r="J6" s="14">
        <f>0*(0.2778 /1000)</f>
        <v>0</v>
      </c>
      <c r="K6" s="14">
        <f>0*(0.2778 /1000)</f>
        <v>0</v>
      </c>
      <c r="L6" s="14">
        <f>0*(0.2778 /1000)</f>
        <v>0</v>
      </c>
      <c r="M6" s="14">
        <f>0*(0.2778 /1000)</f>
        <v>0</v>
      </c>
    </row>
    <row r="7" spans="2:15" x14ac:dyDescent="0.25">
      <c r="C7" s="8" t="s">
        <v>6</v>
      </c>
      <c r="D7" s="14">
        <f>0*(0.2778 /1000)</f>
        <v>0</v>
      </c>
      <c r="E7" s="14">
        <f>0*(0.2778 /1000)</f>
        <v>0</v>
      </c>
      <c r="F7" s="14">
        <f>0*(0.2778 /1000)</f>
        <v>0</v>
      </c>
      <c r="G7" s="14">
        <f>0*(0.2778 /1000)</f>
        <v>0</v>
      </c>
      <c r="H7" s="14">
        <f>0*(0.2778 /1000)</f>
        <v>0</v>
      </c>
      <c r="I7" s="14">
        <f>0*(0.2778 /1000)</f>
        <v>0</v>
      </c>
      <c r="J7" s="14">
        <f>0*(0.2778 /1000)</f>
        <v>0</v>
      </c>
      <c r="K7" s="14">
        <f>0*(0.2778 /1000)</f>
        <v>0</v>
      </c>
      <c r="L7" s="14">
        <f>0*(0.2778 /1000)</f>
        <v>0</v>
      </c>
      <c r="M7" s="14">
        <f>0*(0.2778 /1000)</f>
        <v>0</v>
      </c>
    </row>
    <row r="8" spans="2:15" x14ac:dyDescent="0.25">
      <c r="C8" s="8" t="s">
        <v>7</v>
      </c>
      <c r="D8" s="14">
        <f>0*(0.2778 /1000)</f>
        <v>0</v>
      </c>
      <c r="E8" s="14">
        <f>0*(0.2778 /1000)</f>
        <v>0</v>
      </c>
      <c r="F8" s="14">
        <f>0*(0.2778 /1000)</f>
        <v>0</v>
      </c>
      <c r="G8" s="14">
        <f>0*(0.2778 /1000)</f>
        <v>0</v>
      </c>
      <c r="H8" s="14">
        <f>0*(0.2778 /1000)</f>
        <v>0</v>
      </c>
      <c r="I8" s="14">
        <f>0*(0.2778 /1000)</f>
        <v>0</v>
      </c>
      <c r="J8" s="14">
        <f>0*(0.2778 /1000)</f>
        <v>0</v>
      </c>
      <c r="K8" s="14">
        <f>0*(0.2778 /1000)</f>
        <v>0</v>
      </c>
      <c r="L8" s="14">
        <f>0*(0.2778 /1000)</f>
        <v>0</v>
      </c>
      <c r="M8" s="14">
        <f>0*(0.2778 /1000)</f>
        <v>0</v>
      </c>
    </row>
    <row r="9" spans="2:15" x14ac:dyDescent="0.25">
      <c r="C9" s="8" t="s">
        <v>8</v>
      </c>
      <c r="D9" s="14">
        <f>0*(0.2778 /1000)</f>
        <v>0</v>
      </c>
      <c r="E9" s="14">
        <f>0*(0.2778 /1000)</f>
        <v>0</v>
      </c>
      <c r="F9" s="14">
        <f>0*(0.2778 /1000)</f>
        <v>0</v>
      </c>
      <c r="G9" s="14">
        <f>0*(0.2778 /1000)</f>
        <v>0</v>
      </c>
      <c r="H9" s="14">
        <f>0*(0.2778 /1000)</f>
        <v>0</v>
      </c>
      <c r="I9" s="14">
        <f>0*(0.2778 /1000)</f>
        <v>0</v>
      </c>
      <c r="J9" s="14">
        <f>0*(0.2778 /1000)</f>
        <v>0</v>
      </c>
      <c r="K9" s="14">
        <f>0*(0.2778 /1000)</f>
        <v>0</v>
      </c>
      <c r="L9" s="14">
        <f>0*(0.2778 /1000)</f>
        <v>0</v>
      </c>
      <c r="M9" s="14">
        <f>0*(0.2778 /1000)</f>
        <v>0</v>
      </c>
    </row>
    <row r="10" spans="2:15" x14ac:dyDescent="0.25">
      <c r="C10" s="8" t="s">
        <v>9</v>
      </c>
      <c r="D10" s="14">
        <f>0*(0.2778 /1000)</f>
        <v>0</v>
      </c>
      <c r="E10" s="14">
        <f>112.3*(0.2778 /1000)</f>
        <v>3.1196939999999996E-2</v>
      </c>
      <c r="F10" s="14">
        <f>1030.63*(0.2778 /1000)</f>
        <v>0.28630901399999992</v>
      </c>
      <c r="G10" s="14">
        <f>803.32*(0.2778 /1000)</f>
        <v>0.22316229599999995</v>
      </c>
      <c r="H10" s="14">
        <f>0*(0.2778 /1000)</f>
        <v>0</v>
      </c>
      <c r="I10" s="14">
        <f>118.37*(0.2778 /1000)</f>
        <v>3.2883186000000002E-2</v>
      </c>
      <c r="J10" s="14">
        <f>0*(0.2778 /1000)</f>
        <v>0</v>
      </c>
      <c r="K10" s="14">
        <f>0*(0.2778 /1000)</f>
        <v>0</v>
      </c>
      <c r="L10" s="14">
        <f>514.57*(0.2778 /1000)</f>
        <v>0.14294754600000001</v>
      </c>
      <c r="M10" s="14">
        <f>2579.19*(0.2778 /1000)</f>
        <v>0.71649898199999995</v>
      </c>
    </row>
    <row r="11" spans="2:15" x14ac:dyDescent="0.25">
      <c r="C11" s="3" t="s">
        <v>53</v>
      </c>
      <c r="D11" s="16">
        <f>SUM(D5:D10)</f>
        <v>0</v>
      </c>
      <c r="E11" s="16">
        <f t="shared" ref="E11:M11" si="0">SUM(E5:E10)</f>
        <v>3.1196939999999996E-2</v>
      </c>
      <c r="F11" s="16">
        <f t="shared" si="0"/>
        <v>1.089789954</v>
      </c>
      <c r="G11" s="16">
        <f t="shared" si="0"/>
        <v>0.27548592599999994</v>
      </c>
      <c r="H11" s="16">
        <f t="shared" si="0"/>
        <v>0</v>
      </c>
      <c r="I11" s="16">
        <f t="shared" si="0"/>
        <v>0.98250359399999987</v>
      </c>
      <c r="J11" s="16">
        <f t="shared" si="0"/>
        <v>0</v>
      </c>
      <c r="K11" s="16">
        <f t="shared" si="0"/>
        <v>0</v>
      </c>
      <c r="L11" s="16">
        <f t="shared" si="0"/>
        <v>0.14294754600000001</v>
      </c>
      <c r="M11" s="16">
        <f t="shared" si="0"/>
        <v>2.5219267379999994</v>
      </c>
    </row>
    <row r="12" spans="2:15" x14ac:dyDescent="0.25">
      <c r="B12" s="7" t="s">
        <v>10</v>
      </c>
      <c r="C12" s="8" t="s">
        <v>11</v>
      </c>
    </row>
    <row r="13" spans="2:15" x14ac:dyDescent="0.25">
      <c r="C13" s="8" t="s">
        <v>12</v>
      </c>
    </row>
    <row r="14" spans="2:15" x14ac:dyDescent="0.25">
      <c r="C14" s="8" t="s">
        <v>13</v>
      </c>
    </row>
    <row r="15" spans="2:15" x14ac:dyDescent="0.25">
      <c r="C15" s="8" t="s">
        <v>14</v>
      </c>
    </row>
    <row r="16" spans="2:15" x14ac:dyDescent="0.25">
      <c r="C16" s="8" t="s">
        <v>15</v>
      </c>
    </row>
    <row r="17" spans="2:13" x14ac:dyDescent="0.25">
      <c r="C17" s="8" t="s">
        <v>16</v>
      </c>
    </row>
    <row r="18" spans="2:13" x14ac:dyDescent="0.25">
      <c r="C18" s="8" t="s">
        <v>17</v>
      </c>
    </row>
    <row r="19" spans="2:13" x14ac:dyDescent="0.25">
      <c r="C19" s="8" t="s">
        <v>18</v>
      </c>
    </row>
    <row r="20" spans="2:13" x14ac:dyDescent="0.25">
      <c r="C20" s="8" t="s">
        <v>19</v>
      </c>
    </row>
    <row r="21" spans="2:13" x14ac:dyDescent="0.25">
      <c r="C21" s="3" t="s">
        <v>53</v>
      </c>
      <c r="D21" s="14">
        <f>0*(0.2778 /1000)</f>
        <v>0</v>
      </c>
      <c r="E21" s="14">
        <f>15.12*(0.2778 /1000)</f>
        <v>4.2003359999999998E-3</v>
      </c>
      <c r="F21" s="14">
        <f>2523.16*(0.2778 /1000)</f>
        <v>0.70093384799999991</v>
      </c>
      <c r="G21" s="14">
        <f>23.95*(0.2778 /1000)</f>
        <v>6.65331E-3</v>
      </c>
      <c r="H21" s="14">
        <f>0*(0.2778 /1000)</f>
        <v>0</v>
      </c>
      <c r="I21" s="14">
        <f>2.75*(0.2778 /1000)</f>
        <v>7.6394999999999989E-4</v>
      </c>
      <c r="J21" s="14">
        <f>0*(0.2778 /1000)</f>
        <v>0</v>
      </c>
      <c r="K21" s="14">
        <f>0*(0.2778 /1000)</f>
        <v>0</v>
      </c>
      <c r="L21" s="14">
        <f>12.88*(0.2778 /1000)</f>
        <v>3.5780639999999997E-3</v>
      </c>
      <c r="M21" s="14">
        <f>2577.85*(0.2778 /1000)</f>
        <v>0.71612673000000004</v>
      </c>
    </row>
    <row r="22" spans="2:13" x14ac:dyDescent="0.25">
      <c r="B22" s="7" t="s">
        <v>20</v>
      </c>
      <c r="C22" s="8" t="s">
        <v>21</v>
      </c>
      <c r="D22" s="14">
        <f>0*(0.2778 /1000)</f>
        <v>0</v>
      </c>
      <c r="E22" s="14">
        <f>0*(0.2778 /1000)</f>
        <v>0</v>
      </c>
      <c r="F22" s="14">
        <f>0*(0.2778 /1000)</f>
        <v>0</v>
      </c>
      <c r="G22" s="14">
        <f>0*(0.2778 /1000)</f>
        <v>0</v>
      </c>
      <c r="H22" s="14">
        <f>0*(0.2778 /1000)</f>
        <v>0</v>
      </c>
      <c r="I22" s="14">
        <f>0*(0.2778 /1000)</f>
        <v>0</v>
      </c>
      <c r="J22" s="14">
        <f>0*(0.2778 /1000)</f>
        <v>0</v>
      </c>
      <c r="K22" s="14">
        <f>0*(0.2778 /1000)</f>
        <v>0</v>
      </c>
      <c r="L22" s="14">
        <f>0*(0.2778 /1000)</f>
        <v>0</v>
      </c>
      <c r="M22" s="14">
        <f>0*(0.2778 /1000)</f>
        <v>0</v>
      </c>
    </row>
    <row r="23" spans="2:13" x14ac:dyDescent="0.25">
      <c r="C23" s="8" t="s">
        <v>22</v>
      </c>
      <c r="D23" s="14">
        <f>0*(0.2778 /1000)</f>
        <v>0</v>
      </c>
      <c r="E23" s="14">
        <f>0*(0.2778 /1000)</f>
        <v>0</v>
      </c>
      <c r="F23" s="14">
        <f>0*(0.2778 /1000)</f>
        <v>0</v>
      </c>
      <c r="G23" s="14">
        <f>5080.61*(0.2778 /1000)</f>
        <v>1.4113934579999998</v>
      </c>
      <c r="H23" s="14">
        <f>0*(0.2778 /1000)</f>
        <v>0</v>
      </c>
      <c r="I23" s="14">
        <f>1451.46*(0.2778 /1000)</f>
        <v>0.40321558799999996</v>
      </c>
      <c r="J23" s="14">
        <f>0*(0.2778 /1000)</f>
        <v>0</v>
      </c>
      <c r="K23" s="14">
        <f>0*(0.2778 /1000)</f>
        <v>0</v>
      </c>
      <c r="L23" s="14">
        <f>0*(0.2778 /1000)</f>
        <v>0</v>
      </c>
      <c r="M23" s="14">
        <f>6532.07*(0.2778 /1000)</f>
        <v>1.8146090459999997</v>
      </c>
    </row>
    <row r="24" spans="2:13" x14ac:dyDescent="0.25">
      <c r="C24" s="8" t="s">
        <v>23</v>
      </c>
      <c r="D24" s="14">
        <f>0*(0.2778 /1000)</f>
        <v>0</v>
      </c>
      <c r="E24" s="14">
        <f>0*(0.2778 /1000)</f>
        <v>0</v>
      </c>
      <c r="F24" s="14">
        <f>0*(0.2778 /1000)</f>
        <v>0</v>
      </c>
      <c r="G24" s="14">
        <f>0*(0.2778 /1000)</f>
        <v>0</v>
      </c>
      <c r="H24" s="14">
        <f>0*(0.2778 /1000)</f>
        <v>0</v>
      </c>
      <c r="I24" s="14">
        <f>0*(0.2778 /1000)</f>
        <v>0</v>
      </c>
      <c r="J24" s="14">
        <f>0*(0.2778 /1000)</f>
        <v>0</v>
      </c>
      <c r="K24" s="14">
        <f>0*(0.2778 /1000)</f>
        <v>0</v>
      </c>
      <c r="L24" s="14">
        <f>0*(0.2778 /1000)</f>
        <v>0</v>
      </c>
      <c r="M24" s="14">
        <f>0*(0.2778 /1000)</f>
        <v>0</v>
      </c>
    </row>
    <row r="25" spans="2:13" ht="16.5" customHeight="1" x14ac:dyDescent="0.25">
      <c r="C25" s="8" t="s">
        <v>24</v>
      </c>
      <c r="D25" s="14">
        <f>0*(0.2778 /1000)</f>
        <v>0</v>
      </c>
      <c r="E25" s="14">
        <f>0*(0.2778 /1000)</f>
        <v>0</v>
      </c>
      <c r="F25" s="14">
        <f>0*(0.2778 /1000)</f>
        <v>0</v>
      </c>
      <c r="G25" s="14">
        <f>0*(0.2778 /1000)</f>
        <v>0</v>
      </c>
      <c r="H25" s="14">
        <f>0*(0.2778 /1000)</f>
        <v>0</v>
      </c>
      <c r="I25" s="14">
        <f>0*(0.2778 /1000)</f>
        <v>0</v>
      </c>
      <c r="J25" s="14">
        <f>0*(0.2778 /1000)</f>
        <v>0</v>
      </c>
      <c r="K25" s="14">
        <f>0*(0.2778 /1000)</f>
        <v>0</v>
      </c>
      <c r="L25" s="14">
        <f>0*(0.2778 /1000)</f>
        <v>0</v>
      </c>
      <c r="M25" s="14">
        <f>0*(0.2778 /1000)</f>
        <v>0</v>
      </c>
    </row>
    <row r="26" spans="2:13" ht="16.5" customHeight="1" x14ac:dyDescent="0.25">
      <c r="C26" s="8" t="s">
        <v>25</v>
      </c>
      <c r="D26" s="14">
        <f>307.26*(0.2778 /1000)</f>
        <v>8.5356827999999996E-2</v>
      </c>
      <c r="E26" s="14">
        <f>32.38*(0.2778 /1000)</f>
        <v>8.9951639999999982E-3</v>
      </c>
      <c r="F26" s="14">
        <f>5491.61*(0.2778 /1000)</f>
        <v>1.5255692579999998</v>
      </c>
      <c r="G26" s="14">
        <f>6625.86*(0.2778 /1000)</f>
        <v>1.840663908</v>
      </c>
      <c r="H26" s="14">
        <f>981.66*(0.2778 /1000)</f>
        <v>0.27270514799999995</v>
      </c>
      <c r="I26" s="14">
        <f>5866.34*(0.2778 /1000)</f>
        <v>1.6296692519999996</v>
      </c>
      <c r="J26" s="14">
        <f>362.23*(0.2778 /1000)</f>
        <v>0.100627494</v>
      </c>
      <c r="K26" s="14">
        <f>0*(0.2778 /1000)</f>
        <v>0</v>
      </c>
      <c r="L26" s="14">
        <f>16036.52*(0.2778 /1000)</f>
        <v>4.4549452559999994</v>
      </c>
      <c r="M26" s="14">
        <f>35703.85*(0.2778 /1000)</f>
        <v>9.9185295299999989</v>
      </c>
    </row>
    <row r="27" spans="2:13" ht="16.5" customHeight="1" x14ac:dyDescent="0.25">
      <c r="C27" s="2" t="s">
        <v>26</v>
      </c>
      <c r="D27" s="14">
        <f>0*(0.2778 /1000)</f>
        <v>0</v>
      </c>
      <c r="E27" s="14">
        <f>0*(0.2778 /1000)</f>
        <v>0</v>
      </c>
      <c r="F27" s="14">
        <f>0*(0.2778 /1000)</f>
        <v>0</v>
      </c>
      <c r="G27" s="14">
        <f>0*(0.2778 /1000)</f>
        <v>0</v>
      </c>
      <c r="H27" s="14">
        <f>0*(0.2778 /1000)</f>
        <v>0</v>
      </c>
      <c r="I27" s="14">
        <f>0*(0.2778 /1000)</f>
        <v>0</v>
      </c>
      <c r="J27" s="14">
        <f>0*(0.2778 /1000)</f>
        <v>0</v>
      </c>
      <c r="K27" s="14">
        <f>0*(0.2778 /1000)</f>
        <v>0</v>
      </c>
      <c r="L27" s="14">
        <f>0*(0.2778 /1000)</f>
        <v>0</v>
      </c>
      <c r="M27" s="14">
        <f>0*(0.2778 /1000)</f>
        <v>0</v>
      </c>
    </row>
    <row r="28" spans="2:13" ht="16.5" customHeight="1" x14ac:dyDescent="0.25">
      <c r="C28" s="3" t="s">
        <v>53</v>
      </c>
      <c r="D28" s="16">
        <f>SUM(D22:D27)</f>
        <v>8.5356827999999996E-2</v>
      </c>
      <c r="E28" s="16">
        <f t="shared" ref="E28:L28" si="1">SUM(E22:E27)</f>
        <v>8.9951639999999982E-3</v>
      </c>
      <c r="F28" s="16">
        <f t="shared" si="1"/>
        <v>1.5255692579999998</v>
      </c>
      <c r="G28" s="16">
        <f t="shared" si="1"/>
        <v>3.2520573659999998</v>
      </c>
      <c r="H28" s="16">
        <f t="shared" si="1"/>
        <v>0.27270514799999995</v>
      </c>
      <c r="I28" s="16">
        <f t="shared" si="1"/>
        <v>2.0328848399999995</v>
      </c>
      <c r="J28" s="16">
        <f t="shared" si="1"/>
        <v>0.100627494</v>
      </c>
      <c r="K28" s="16">
        <f t="shared" si="1"/>
        <v>0</v>
      </c>
      <c r="L28" s="16">
        <f t="shared" si="1"/>
        <v>4.4549452559999994</v>
      </c>
      <c r="M28" s="16">
        <f>SUM(M22:M27)</f>
        <v>11.733138575999998</v>
      </c>
    </row>
    <row r="29" spans="2:13" ht="16.5" customHeight="1" x14ac:dyDescent="0.25">
      <c r="C29" s="3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2:13" ht="16.5" customHeight="1" x14ac:dyDescent="0.25">
      <c r="B30" s="9" t="s">
        <v>59</v>
      </c>
      <c r="C30" s="3" t="s">
        <v>53</v>
      </c>
      <c r="D30" s="17">
        <f>SUM(D28,D21,D11)</f>
        <v>8.5356827999999996E-2</v>
      </c>
      <c r="E30" s="17">
        <f t="shared" ref="E30:M30" si="2">SUM(E28,E21,E11)</f>
        <v>4.4392439999999991E-2</v>
      </c>
      <c r="F30" s="17">
        <f t="shared" si="2"/>
        <v>3.3162930599999996</v>
      </c>
      <c r="G30" s="17">
        <f t="shared" si="2"/>
        <v>3.5341966019999997</v>
      </c>
      <c r="H30" s="17">
        <f t="shared" si="2"/>
        <v>0.27270514799999995</v>
      </c>
      <c r="I30" s="17">
        <f t="shared" si="2"/>
        <v>3.0161523839999993</v>
      </c>
      <c r="J30" s="17">
        <f t="shared" si="2"/>
        <v>0.100627494</v>
      </c>
      <c r="K30" s="17">
        <f t="shared" si="2"/>
        <v>0</v>
      </c>
      <c r="L30" s="17">
        <f t="shared" si="2"/>
        <v>4.6014708659999997</v>
      </c>
      <c r="M30" s="17">
        <f t="shared" si="2"/>
        <v>14.971192043999997</v>
      </c>
    </row>
    <row r="31" spans="2:13" ht="16.5" customHeight="1" x14ac:dyDescent="0.25">
      <c r="C31" s="8" t="s">
        <v>55</v>
      </c>
    </row>
    <row r="32" spans="2:13" ht="16.5" customHeight="1" x14ac:dyDescent="0.25">
      <c r="C32" s="3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2:13" ht="16.5" customHeight="1" x14ac:dyDescent="0.25">
      <c r="C33" s="2"/>
    </row>
    <row r="34" spans="2:13" x14ac:dyDescent="0.25">
      <c r="B34" s="10" t="s">
        <v>27</v>
      </c>
      <c r="C34" s="8" t="s">
        <v>28</v>
      </c>
      <c r="D34" s="14">
        <f>0*(0.2778 /1000)</f>
        <v>0</v>
      </c>
      <c r="E34" s="14">
        <f>0*(0.2778 /1000)</f>
        <v>0</v>
      </c>
      <c r="F34" s="14">
        <f>0*(0.2778 /1000)</f>
        <v>0</v>
      </c>
      <c r="G34" s="14">
        <f>0*(0.2778 /1000)</f>
        <v>0</v>
      </c>
      <c r="H34" s="14">
        <f>0*(0.2778 /1000)</f>
        <v>0</v>
      </c>
      <c r="I34" s="14">
        <f>0*(0.2778 /1000)</f>
        <v>0</v>
      </c>
      <c r="J34" s="14">
        <f>0*(0.2778 /1000)</f>
        <v>0</v>
      </c>
      <c r="K34" s="14">
        <f>0*(0.2778 /1000)</f>
        <v>0</v>
      </c>
      <c r="L34" s="14">
        <f>0*(0.2778 /1000)</f>
        <v>0</v>
      </c>
      <c r="M34" s="14">
        <f>0*(0.2778 /1000)</f>
        <v>0</v>
      </c>
    </row>
    <row r="35" spans="2:13" x14ac:dyDescent="0.25">
      <c r="C35" s="8" t="s">
        <v>29</v>
      </c>
      <c r="D35" s="14">
        <f>0*(0.2778 /1000)</f>
        <v>0</v>
      </c>
      <c r="E35" s="14">
        <f>0*(0.2778 /1000)</f>
        <v>0</v>
      </c>
      <c r="F35" s="14">
        <f>0*(0.2778 /1000)</f>
        <v>0</v>
      </c>
      <c r="G35" s="14">
        <f>0*(0.2778 /1000)</f>
        <v>0</v>
      </c>
      <c r="H35" s="14">
        <f>0*(0.2778 /1000)</f>
        <v>0</v>
      </c>
      <c r="I35" s="14">
        <f>0*(0.2778 /1000)</f>
        <v>0</v>
      </c>
      <c r="J35" s="14">
        <f>0*(0.2778 /1000)</f>
        <v>0</v>
      </c>
      <c r="K35" s="14">
        <f>0*(0.2778 /1000)</f>
        <v>0</v>
      </c>
      <c r="L35" s="14">
        <f>0*(0.2778 /1000)</f>
        <v>0</v>
      </c>
      <c r="M35" s="14">
        <f>0*(0.2778 /1000)</f>
        <v>0</v>
      </c>
    </row>
    <row r="36" spans="2:13" x14ac:dyDescent="0.25">
      <c r="C36" s="8" t="s">
        <v>30</v>
      </c>
      <c r="D36" s="14">
        <f>813.32*(0.2778 /1000)</f>
        <v>0.22594029600000001</v>
      </c>
      <c r="E36" s="14">
        <f>1676.81*(0.2778 /1000)</f>
        <v>0.46581781799999994</v>
      </c>
      <c r="F36" s="14">
        <f>2013*(0.2778 /1000)</f>
        <v>0.55921139999999991</v>
      </c>
      <c r="G36" s="14">
        <f>1154.31*(0.2778 /1000)</f>
        <v>0.32066731799999998</v>
      </c>
      <c r="H36" s="14">
        <f>460.77*(0.2778 /1000)</f>
        <v>0.12800190599999997</v>
      </c>
      <c r="I36" s="14">
        <f>441.34*(0.2778 /1000)</f>
        <v>0.122604252</v>
      </c>
      <c r="J36" s="14">
        <f>646.97*(0.2778 /1000)</f>
        <v>0.179728266</v>
      </c>
      <c r="K36" s="14">
        <f>24.4*(0.2778 /1000)</f>
        <v>6.77832E-3</v>
      </c>
      <c r="L36" s="14">
        <f>524.04*(0.2778 /1000)</f>
        <v>0.14557831199999999</v>
      </c>
      <c r="M36" s="14">
        <f>7754.97*(0.2778 /1000)</f>
        <v>2.1543306660000003</v>
      </c>
    </row>
    <row r="37" spans="2:13" x14ac:dyDescent="0.25">
      <c r="C37" s="8" t="s">
        <v>31</v>
      </c>
      <c r="D37" s="14">
        <f>0*(0.2778 /1000)</f>
        <v>0</v>
      </c>
      <c r="E37" s="14">
        <f>0*(0.2778 /1000)</f>
        <v>0</v>
      </c>
      <c r="F37" s="14">
        <f>0*(0.2778 /1000)</f>
        <v>0</v>
      </c>
      <c r="G37" s="14">
        <f>0*(0.2778 /1000)</f>
        <v>0</v>
      </c>
      <c r="H37" s="14">
        <f>0*(0.2778 /1000)</f>
        <v>0</v>
      </c>
      <c r="I37" s="14">
        <f>0*(0.2778 /1000)</f>
        <v>0</v>
      </c>
      <c r="J37" s="14">
        <f>0*(0.2778 /1000)</f>
        <v>0</v>
      </c>
      <c r="K37" s="14">
        <f>0*(0.2778 /1000)</f>
        <v>0</v>
      </c>
      <c r="L37" s="14">
        <f>0*(0.2778 /1000)</f>
        <v>0</v>
      </c>
      <c r="M37" s="14">
        <f>0*(0.2778 /1000)</f>
        <v>0</v>
      </c>
    </row>
    <row r="38" spans="2:13" x14ac:dyDescent="0.25">
      <c r="C38" s="8" t="s">
        <v>32</v>
      </c>
      <c r="D38" s="14">
        <f>0*(0.2778 /1000)</f>
        <v>0</v>
      </c>
      <c r="E38" s="14">
        <f>870.75*(0.2778 /1000)</f>
        <v>0.24189434999999998</v>
      </c>
      <c r="F38" s="14">
        <f>100.13*(0.2778 /1000)</f>
        <v>2.7816113999999996E-2</v>
      </c>
      <c r="G38" s="14">
        <f>1473.48*(0.2778 /1000)</f>
        <v>0.40933274399999997</v>
      </c>
      <c r="H38" s="14">
        <f>558.88*(0.2778 /1000)</f>
        <v>0.15525686399999999</v>
      </c>
      <c r="I38" s="14">
        <f>2277.47*(0.2778 /1000)</f>
        <v>0.63268116599999991</v>
      </c>
      <c r="J38" s="14">
        <f>0*(0.2778 /1000)</f>
        <v>0</v>
      </c>
      <c r="K38" s="14">
        <f>0*(0.2778 /1000)</f>
        <v>0</v>
      </c>
      <c r="L38" s="14">
        <f>0*(0.2778 /1000)</f>
        <v>0</v>
      </c>
      <c r="M38" s="14">
        <f>5280.71*(0.2778 /1000)</f>
        <v>1.4669812379999998</v>
      </c>
    </row>
    <row r="39" spans="2:13" x14ac:dyDescent="0.25">
      <c r="C39" s="8" t="s">
        <v>33</v>
      </c>
      <c r="D39" s="14">
        <f>4.81*(0.2778 /1000)</f>
        <v>1.3362179999999997E-3</v>
      </c>
      <c r="E39" s="14">
        <f>73.08*(0.2778 /1000)</f>
        <v>2.0301623999999997E-2</v>
      </c>
      <c r="F39" s="14">
        <f>17.17*(0.2778 /1000)</f>
        <v>4.7698260000000004E-3</v>
      </c>
      <c r="G39" s="14">
        <f>745.79*(0.2778 /1000)</f>
        <v>0.20718046200000001</v>
      </c>
      <c r="H39" s="14">
        <f>36*(0.2778 /1000)</f>
        <v>1.0000799999999999E-2</v>
      </c>
      <c r="I39" s="14">
        <f>287.24*(0.2778 /1000)</f>
        <v>7.9795272E-2</v>
      </c>
      <c r="J39" s="14">
        <f>20.32*(0.2778 /1000)</f>
        <v>5.6448959999999999E-3</v>
      </c>
      <c r="K39" s="14">
        <f>12.47*(0.2778 /1000)</f>
        <v>3.4641659999999999E-3</v>
      </c>
      <c r="L39" s="14">
        <f>43.54*(0.2778 /1000)</f>
        <v>1.2095411999999998E-2</v>
      </c>
      <c r="M39" s="14">
        <f>1240.43*(0.2778 /1000)</f>
        <v>0.34459145399999996</v>
      </c>
    </row>
    <row r="40" spans="2:13" x14ac:dyDescent="0.25">
      <c r="C40" s="8" t="s">
        <v>34</v>
      </c>
      <c r="D40" s="14">
        <f>0*(0.2778 /1000)</f>
        <v>0</v>
      </c>
      <c r="E40" s="14">
        <f>116.36*(0.2778 /1000)</f>
        <v>3.2324807999999997E-2</v>
      </c>
      <c r="F40" s="14">
        <f>499.32*(0.2778 /1000)</f>
        <v>0.13871109600000001</v>
      </c>
      <c r="G40" s="14">
        <f>247.48*(0.2778 /1000)</f>
        <v>6.8749943999999993E-2</v>
      </c>
      <c r="H40" s="14">
        <f>0*(0.2778 /1000)</f>
        <v>0</v>
      </c>
      <c r="I40" s="14">
        <f>69.83*(0.2778 /1000)</f>
        <v>1.9398773999999997E-2</v>
      </c>
      <c r="J40" s="14">
        <f>0*(0.2778 /1000)</f>
        <v>0</v>
      </c>
      <c r="K40" s="14">
        <f>0*(0.2778 /1000)</f>
        <v>0</v>
      </c>
      <c r="L40" s="14">
        <f>275.89*(0.2778 /1000)</f>
        <v>7.6642241999999985E-2</v>
      </c>
      <c r="M40" s="14">
        <f>1208.89*(0.2778 /1000)</f>
        <v>0.33582964199999993</v>
      </c>
    </row>
    <row r="41" spans="2:13" x14ac:dyDescent="0.25">
      <c r="C41" s="3" t="s">
        <v>53</v>
      </c>
      <c r="D41" s="16">
        <f>SUM(D34:D40)</f>
        <v>0.22727651400000001</v>
      </c>
      <c r="E41" s="16">
        <f t="shared" ref="E41:M41" si="3">SUM(E34:E40)</f>
        <v>0.76033859999999998</v>
      </c>
      <c r="F41" s="16">
        <f t="shared" si="3"/>
        <v>0.73050843599999982</v>
      </c>
      <c r="G41" s="16">
        <f t="shared" si="3"/>
        <v>1.0059304679999999</v>
      </c>
      <c r="H41" s="16">
        <f t="shared" si="3"/>
        <v>0.29325956999999997</v>
      </c>
      <c r="I41" s="16">
        <f t="shared" si="3"/>
        <v>0.85447946399999997</v>
      </c>
      <c r="J41" s="16">
        <f t="shared" si="3"/>
        <v>0.18537316200000001</v>
      </c>
      <c r="K41" s="16">
        <f t="shared" si="3"/>
        <v>1.0242486E-2</v>
      </c>
      <c r="L41" s="16">
        <f t="shared" si="3"/>
        <v>0.23431596599999999</v>
      </c>
      <c r="M41" s="16">
        <f t="shared" si="3"/>
        <v>4.3017330000000005</v>
      </c>
    </row>
    <row r="42" spans="2:13" x14ac:dyDescent="0.25">
      <c r="B42" s="10" t="s">
        <v>35</v>
      </c>
      <c r="C42" s="8" t="s">
        <v>36</v>
      </c>
      <c r="D42" s="14">
        <f>0*(0.2778 /1000)</f>
        <v>0</v>
      </c>
      <c r="E42" s="14">
        <f>0*(0.2778 /1000)</f>
        <v>0</v>
      </c>
      <c r="F42" s="14">
        <f>0*(0.2778 /1000)</f>
        <v>0</v>
      </c>
      <c r="G42" s="14">
        <f>6.88*(0.2778 /1000)</f>
        <v>1.9112639999999998E-3</v>
      </c>
      <c r="H42" s="14">
        <f>0*(0.2778 /1000)</f>
        <v>0</v>
      </c>
      <c r="I42" s="14">
        <f>0*(0.2778 /1000)</f>
        <v>0</v>
      </c>
      <c r="J42" s="14">
        <f>18.9*(0.2778 /1000)</f>
        <v>5.2504199999999996E-3</v>
      </c>
      <c r="K42" s="14">
        <f>0*(0.2778 /1000)</f>
        <v>0</v>
      </c>
      <c r="L42" s="14">
        <f>11.95*(0.2778 /1000)</f>
        <v>3.3197099999999996E-3</v>
      </c>
      <c r="M42" s="14">
        <f>37.73*(0.2778 /1000)</f>
        <v>1.0481393999999998E-2</v>
      </c>
    </row>
    <row r="43" spans="2:13" x14ac:dyDescent="0.25">
      <c r="C43" s="8" t="s">
        <v>37</v>
      </c>
      <c r="D43" s="14">
        <f>0*(0.2778 /1000)</f>
        <v>0</v>
      </c>
      <c r="E43" s="14">
        <f>10.4*(0.2778 /1000)</f>
        <v>2.8891199999999998E-3</v>
      </c>
      <c r="F43" s="14">
        <f>2.88*(0.2778 /1000)</f>
        <v>8.0006399999999985E-4</v>
      </c>
      <c r="G43" s="14">
        <f>27.38*(0.2778 /1000)</f>
        <v>7.6061640000000003E-3</v>
      </c>
      <c r="H43" s="14">
        <f>0.14*(0.2778 /1000)</f>
        <v>3.8892E-5</v>
      </c>
      <c r="I43" s="14">
        <f>7.22*(0.2778 /1000)</f>
        <v>2.0057159999999998E-3</v>
      </c>
      <c r="J43" s="14">
        <f>18.54*(0.2778 /1000)</f>
        <v>5.1504119999999992E-3</v>
      </c>
      <c r="K43" s="14">
        <f>0.96*(0.2778 /1000)</f>
        <v>2.6668799999999995E-4</v>
      </c>
      <c r="L43" s="14">
        <f>0*(0.2778 /1000)</f>
        <v>0</v>
      </c>
      <c r="M43" s="14">
        <f>67.52*(0.2778 /1000)</f>
        <v>1.8757056000000001E-2</v>
      </c>
    </row>
    <row r="44" spans="2:13" x14ac:dyDescent="0.25">
      <c r="C44" s="8" t="s">
        <v>38</v>
      </c>
      <c r="D44" s="14">
        <f>219.22*(0.2778 /1000)</f>
        <v>6.0899315999999995E-2</v>
      </c>
      <c r="E44" s="14">
        <f>90.91*(0.2778 /1000)</f>
        <v>2.5254797999999998E-2</v>
      </c>
      <c r="F44" s="14">
        <f>804.25*(0.2778 /1000)</f>
        <v>0.22342064999999997</v>
      </c>
      <c r="G44" s="14">
        <f>367.25*(0.2778 /1000)</f>
        <v>0.10202204999999999</v>
      </c>
      <c r="H44" s="14">
        <f>161.63*(0.2778 /1000)</f>
        <v>4.4900813999999997E-2</v>
      </c>
      <c r="I44" s="14">
        <f>382.26*(0.2778 /1000)</f>
        <v>0.10619182799999999</v>
      </c>
      <c r="J44" s="14">
        <f>70.17*(0.2778 /1000)</f>
        <v>1.9493225999999999E-2</v>
      </c>
      <c r="K44" s="14">
        <f>54.74*(0.2778 /1000)</f>
        <v>1.5206771999999999E-2</v>
      </c>
      <c r="L44" s="14">
        <f>6.81*(0.2778 /1000)</f>
        <v>1.8918179999999998E-3</v>
      </c>
      <c r="M44" s="14">
        <f>2157.24*(0.2778 /1000)</f>
        <v>0.59928127200000003</v>
      </c>
    </row>
    <row r="45" spans="2:13" x14ac:dyDescent="0.25">
      <c r="C45" s="3" t="s">
        <v>53</v>
      </c>
      <c r="D45" s="16">
        <f>SUM(D42:D44)</f>
        <v>6.0899315999999995E-2</v>
      </c>
      <c r="E45" s="16">
        <f t="shared" ref="E45:M45" si="4">SUM(E42:E44)</f>
        <v>2.8143917999999997E-2</v>
      </c>
      <c r="F45" s="16">
        <f t="shared" si="4"/>
        <v>0.22422071399999996</v>
      </c>
      <c r="G45" s="16">
        <f t="shared" si="4"/>
        <v>0.11153947799999998</v>
      </c>
      <c r="H45" s="16">
        <f t="shared" si="4"/>
        <v>4.4939705999999996E-2</v>
      </c>
      <c r="I45" s="16">
        <f t="shared" si="4"/>
        <v>0.10819754399999999</v>
      </c>
      <c r="J45" s="16">
        <f t="shared" si="4"/>
        <v>2.9894057999999998E-2</v>
      </c>
      <c r="K45" s="16">
        <f t="shared" si="4"/>
        <v>1.5473459999999998E-2</v>
      </c>
      <c r="L45" s="16">
        <f t="shared" si="4"/>
        <v>5.2115279999999991E-3</v>
      </c>
      <c r="M45" s="16">
        <f t="shared" si="4"/>
        <v>0.62851972200000006</v>
      </c>
    </row>
    <row r="46" spans="2:13" x14ac:dyDescent="0.25">
      <c r="B46" s="10" t="s">
        <v>39</v>
      </c>
      <c r="C46" s="8" t="s">
        <v>40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2:13" x14ac:dyDescent="0.25">
      <c r="C47" s="8" t="s">
        <v>41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2:13" x14ac:dyDescent="0.25">
      <c r="C48" s="8" t="s">
        <v>42</v>
      </c>
      <c r="D48" s="16">
        <v>0</v>
      </c>
      <c r="E48" s="16">
        <v>0</v>
      </c>
      <c r="F48" s="16">
        <v>0.12</v>
      </c>
      <c r="G48" s="16">
        <v>0.1</v>
      </c>
      <c r="H48" s="16">
        <v>0</v>
      </c>
      <c r="I48" s="16">
        <v>0.13</v>
      </c>
      <c r="J48" s="16">
        <v>0</v>
      </c>
      <c r="K48" s="16">
        <v>0</v>
      </c>
      <c r="L48" s="16">
        <v>0</v>
      </c>
      <c r="M48" s="16">
        <v>0.35</v>
      </c>
    </row>
    <row r="49" spans="2:13" x14ac:dyDescent="0.25">
      <c r="C49" s="3" t="s">
        <v>53</v>
      </c>
      <c r="D49" s="16">
        <f>SUM(D46:D48)</f>
        <v>0</v>
      </c>
      <c r="E49" s="16">
        <f t="shared" ref="E49:M49" si="5">SUM(E46:E48)</f>
        <v>0</v>
      </c>
      <c r="F49" s="16">
        <f t="shared" si="5"/>
        <v>0.12</v>
      </c>
      <c r="G49" s="16">
        <f t="shared" si="5"/>
        <v>0.1</v>
      </c>
      <c r="H49" s="16">
        <f t="shared" si="5"/>
        <v>0</v>
      </c>
      <c r="I49" s="16">
        <f t="shared" si="5"/>
        <v>0.13</v>
      </c>
      <c r="J49" s="16">
        <f t="shared" si="5"/>
        <v>0</v>
      </c>
      <c r="K49" s="16">
        <f t="shared" si="5"/>
        <v>0</v>
      </c>
      <c r="L49" s="16">
        <f t="shared" si="5"/>
        <v>0</v>
      </c>
      <c r="M49" s="16">
        <f t="shared" si="5"/>
        <v>0.35</v>
      </c>
    </row>
    <row r="51" spans="2:13" x14ac:dyDescent="0.25">
      <c r="B51" s="11" t="s">
        <v>54</v>
      </c>
      <c r="C51" s="3" t="s">
        <v>53</v>
      </c>
      <c r="D51" s="17">
        <f>SUM(D49,D45,D41)</f>
        <v>0.28817583000000002</v>
      </c>
      <c r="E51" s="17">
        <f>SUM(E49,E45,E41)</f>
        <v>0.78848251800000002</v>
      </c>
      <c r="F51" s="17">
        <f>SUM(F49,F45,F41)</f>
        <v>1.0747291499999998</v>
      </c>
      <c r="G51" s="17">
        <f>SUM(G49,G45,G41)</f>
        <v>1.2174699459999998</v>
      </c>
      <c r="H51" s="17">
        <f>SUM(H49,H45,H41)</f>
        <v>0.33819927599999999</v>
      </c>
      <c r="I51" s="17">
        <f>SUM(I49,I45,I41)</f>
        <v>1.0926770079999999</v>
      </c>
      <c r="J51" s="17">
        <f>SUM(J49,J45,J41)</f>
        <v>0.21526722000000001</v>
      </c>
      <c r="K51" s="17">
        <f>SUM(K49,K45,K41)</f>
        <v>2.5715945999999996E-2</v>
      </c>
      <c r="L51" s="17">
        <f>SUM(L49,L45,L41)</f>
        <v>0.23952749399999998</v>
      </c>
      <c r="M51" s="17">
        <f>SUM(M49,M45,M41)</f>
        <v>5.2802527220000002</v>
      </c>
    </row>
    <row r="52" spans="2:13" x14ac:dyDescent="0.25">
      <c r="C52" s="8" t="s">
        <v>55</v>
      </c>
      <c r="D52" s="14">
        <v>1037.3500000000001</v>
      </c>
      <c r="E52" s="14">
        <v>2838.3199999999997</v>
      </c>
      <c r="F52" s="14">
        <v>3436.87</v>
      </c>
      <c r="G52" s="14">
        <v>4022.66</v>
      </c>
      <c r="H52" s="14">
        <v>1217.42</v>
      </c>
      <c r="I52" s="14">
        <v>3465.5099999999998</v>
      </c>
      <c r="J52" s="14">
        <v>774.90000000000009</v>
      </c>
      <c r="K52" s="14">
        <v>92.570000000000007</v>
      </c>
      <c r="L52" s="14">
        <v>862.24000000000012</v>
      </c>
      <c r="M52" s="14">
        <v>17747.849999999999</v>
      </c>
    </row>
    <row r="54" spans="2:13" x14ac:dyDescent="0.25">
      <c r="B54" s="12" t="s">
        <v>56</v>
      </c>
      <c r="D54" s="14">
        <f>7277.98*(0.2778 /1000)</f>
        <v>2.0218228439999999</v>
      </c>
      <c r="E54" s="14">
        <f>2.45*(0.2778 /1000)</f>
        <v>6.8061E-4</v>
      </c>
      <c r="F54" s="14">
        <f>12567.39*(0.2778 /1000)</f>
        <v>3.4912209419999995</v>
      </c>
      <c r="G54" s="14">
        <f>302*(0.2778 /1000)</f>
        <v>8.3895599999999987E-2</v>
      </c>
      <c r="H54" s="14">
        <f>0*(0.2778 /1000)</f>
        <v>0</v>
      </c>
      <c r="I54" s="14">
        <f>1523.08*(0.2778 /1000)</f>
        <v>0.42311162399999996</v>
      </c>
      <c r="J54" s="14">
        <f>0*(0.2778 /1000)</f>
        <v>0</v>
      </c>
      <c r="K54" s="14">
        <f>0*(0.2778 /1000)</f>
        <v>0</v>
      </c>
      <c r="L54" s="14">
        <f>36.64*(0.2778 /1000)</f>
        <v>1.0178591999999998E-2</v>
      </c>
      <c r="M54" s="14">
        <f>21709.55*(0.2778 /1000)</f>
        <v>6.0309129899999991</v>
      </c>
    </row>
    <row r="55" spans="2:13" x14ac:dyDescent="0.25">
      <c r="D55" s="14">
        <f>0*(0.2778 /1000)</f>
        <v>0</v>
      </c>
      <c r="E55" s="14">
        <f>0*(0.2778 /1000)</f>
        <v>0</v>
      </c>
      <c r="F55" s="14">
        <f>0*(0.2778 /1000)</f>
        <v>0</v>
      </c>
      <c r="G55" s="14">
        <f>0*(0.2778 /1000)</f>
        <v>0</v>
      </c>
      <c r="H55" s="14">
        <f>0*(0.2778 /1000)</f>
        <v>0</v>
      </c>
      <c r="I55" s="14">
        <f>0*(0.2778 /1000)</f>
        <v>0</v>
      </c>
      <c r="J55" s="14">
        <f>0*(0.2778 /1000)</f>
        <v>0</v>
      </c>
      <c r="K55" s="14">
        <f>0*(0.2778 /1000)</f>
        <v>0</v>
      </c>
      <c r="L55" s="14">
        <f>0*(0.2778 /1000)</f>
        <v>0</v>
      </c>
      <c r="M55" s="14">
        <f>0*(0.2778 /1000)</f>
        <v>0</v>
      </c>
    </row>
    <row r="56" spans="2:13" x14ac:dyDescent="0.25">
      <c r="B56" s="12" t="s">
        <v>57</v>
      </c>
      <c r="D56" s="14">
        <f>179.21*(0.2778 /1000)</f>
        <v>4.9784537999999996E-2</v>
      </c>
      <c r="E56" s="14">
        <f>406.21*(0.2778 /1000)</f>
        <v>0.11284513799999998</v>
      </c>
      <c r="F56" s="14">
        <f>1227.06*(0.2778 /1000)</f>
        <v>0.34087726799999996</v>
      </c>
      <c r="G56" s="14">
        <f>1068.13*(0.2778 /1000)</f>
        <v>0.296726514</v>
      </c>
      <c r="H56" s="14">
        <f>249.49*(0.2778 /1000)</f>
        <v>6.9308321999999992E-2</v>
      </c>
      <c r="I56" s="14">
        <f>1232.9*(0.2778 /1000)</f>
        <v>0.34249962</v>
      </c>
      <c r="J56" s="14">
        <f>340.83*(0.2778 /1000)</f>
        <v>9.4682573999999992E-2</v>
      </c>
      <c r="K56" s="14">
        <f>338.54*(0.2778 /1000)</f>
        <v>9.4046411999999996E-2</v>
      </c>
      <c r="L56" s="14">
        <f>133.13*(0.2778 /1000)</f>
        <v>3.6983513999999995E-2</v>
      </c>
      <c r="M56" s="14">
        <f>5175.51*(0.2778 /1000)</f>
        <v>1.437756678</v>
      </c>
    </row>
    <row r="57" spans="2:13" x14ac:dyDescent="0.25">
      <c r="D57" s="14">
        <f>0*(0.2778 /1000)</f>
        <v>0</v>
      </c>
      <c r="E57" s="14">
        <f>0*(0.2778 /1000)</f>
        <v>0</v>
      </c>
      <c r="F57" s="14">
        <f>0*(0.2778 /1000)</f>
        <v>0</v>
      </c>
      <c r="G57" s="14">
        <f>0*(0.2778 /1000)</f>
        <v>0</v>
      </c>
      <c r="H57" s="14">
        <f>0*(0.2778 /1000)</f>
        <v>0</v>
      </c>
      <c r="I57" s="14">
        <f>0*(0.2778 /1000)</f>
        <v>0</v>
      </c>
      <c r="J57" s="14">
        <f>0*(0.2778 /1000)</f>
        <v>0</v>
      </c>
      <c r="K57" s="14">
        <f>0*(0.2778 /1000)</f>
        <v>0</v>
      </c>
      <c r="L57" s="14">
        <f>0*(0.2778 /1000)</f>
        <v>0</v>
      </c>
      <c r="M57" s="14">
        <f>0*(0.2778 /1000)</f>
        <v>0</v>
      </c>
    </row>
    <row r="58" spans="2:13" x14ac:dyDescent="0.25">
      <c r="B58" s="12" t="s">
        <v>58</v>
      </c>
      <c r="D58" s="14">
        <f>21.91*(0.2778 /1000)</f>
        <v>6.0865979999999995E-3</v>
      </c>
      <c r="E58" s="14">
        <f>18609.99*(0.2778 /1000)</f>
        <v>5.1698552219999989</v>
      </c>
      <c r="F58" s="14">
        <f>23443.89*(0.2778 /1000)</f>
        <v>6.5127126420000003</v>
      </c>
      <c r="G58" s="14">
        <f>31322.08*(0.2778 /1000)</f>
        <v>8.7012738239999994</v>
      </c>
      <c r="H58" s="14">
        <f>13819.65*(0.2778 /1000)</f>
        <v>3.8390987699999997</v>
      </c>
      <c r="I58" s="14">
        <f>13879.35*(0.2778 /1000)</f>
        <v>3.8556834299999991</v>
      </c>
      <c r="J58" s="14">
        <f>22684.14*(0.2778 /1000)</f>
        <v>6.3016540919999997</v>
      </c>
      <c r="K58" s="14">
        <f>8011.36*(0.2778 /1000)</f>
        <v>2.2255558079999997</v>
      </c>
      <c r="L58" s="14">
        <f>3704.1*(0.2778 /1000)</f>
        <v>1.0289989799999999</v>
      </c>
      <c r="M58" s="14">
        <f>135496.48*(0.2778 /1000)</f>
        <v>37.640922144000001</v>
      </c>
    </row>
    <row r="60" spans="2:13" x14ac:dyDescent="0.25">
      <c r="B60" s="18" t="s">
        <v>60</v>
      </c>
      <c r="D60" s="14">
        <f>SUM(D58,D56,D54,D51,D30)</f>
        <v>2.4512266380000001</v>
      </c>
      <c r="E60" s="14">
        <f t="shared" ref="E60:M60" si="6">SUM(E58,E56,E54,E51,E30)</f>
        <v>6.1162559279999993</v>
      </c>
      <c r="F60" s="14">
        <f t="shared" si="6"/>
        <v>14.735833061999999</v>
      </c>
      <c r="G60" s="14">
        <f t="shared" si="6"/>
        <v>13.833562485999998</v>
      </c>
      <c r="H60" s="14">
        <f t="shared" si="6"/>
        <v>4.5193115159999993</v>
      </c>
      <c r="I60" s="14">
        <f t="shared" si="6"/>
        <v>8.7301240659999984</v>
      </c>
      <c r="J60" s="14">
        <f t="shared" si="6"/>
        <v>6.7122313800000004</v>
      </c>
      <c r="K60" s="14">
        <f t="shared" si="6"/>
        <v>2.3453181659999998</v>
      </c>
      <c r="L60" s="14">
        <f t="shared" si="6"/>
        <v>5.9171594459999994</v>
      </c>
      <c r="M60" s="14">
        <f t="shared" si="6"/>
        <v>65.361036577999997</v>
      </c>
    </row>
    <row r="62" spans="2:13" x14ac:dyDescent="0.25">
      <c r="B62" s="13" t="s">
        <v>61</v>
      </c>
      <c r="D62" s="14">
        <f>11125.49*(0.2778 /1000)</f>
        <v>3.0906611219999998</v>
      </c>
      <c r="E62" s="14">
        <f>6648.32*(0.2778 /1000)</f>
        <v>1.8469032959999998</v>
      </c>
      <c r="F62" s="14">
        <f>39110.85*(0.2778 /1000)</f>
        <v>10.864994129999999</v>
      </c>
      <c r="G62" s="14">
        <f>21287.39*(0.2778 /1000)</f>
        <v>5.9136369419999992</v>
      </c>
      <c r="H62" s="14">
        <f>3752.51*(0.2778 /1000)</f>
        <v>1.042447278</v>
      </c>
      <c r="I62" s="14">
        <f>19063.45*(0.2778 /1000)</f>
        <v>5.2958264100000001</v>
      </c>
      <c r="J62" s="14">
        <f>23665.05*(0.2778 /1000)</f>
        <v>6.5741508899999994</v>
      </c>
      <c r="K62" s="14">
        <f>5239.52*(0.2778 /1000)</f>
        <v>1.4555386560000001</v>
      </c>
      <c r="L62" s="14">
        <f>13153.75*(0.2778 /1000)</f>
        <v>3.6541117499999998</v>
      </c>
      <c r="M62" s="14">
        <f>101074.09*(0.2778 /1000)</f>
        <v>28.078382201999997</v>
      </c>
    </row>
    <row r="64" spans="2:13" x14ac:dyDescent="0.25">
      <c r="B64" s="13" t="s">
        <v>62</v>
      </c>
      <c r="D64" s="14">
        <v>3.753438360600001</v>
      </c>
      <c r="E64" s="14">
        <v>2.0286440068</v>
      </c>
      <c r="F64" s="14">
        <v>11.619948514400001</v>
      </c>
      <c r="G64" s="14">
        <v>2.7646887840000001</v>
      </c>
      <c r="H64" s="14">
        <v>1.3905000128</v>
      </c>
      <c r="I64" s="14">
        <v>2.0481080513999999</v>
      </c>
      <c r="J64" s="14">
        <v>6.8810911594000013</v>
      </c>
      <c r="K64" s="14">
        <v>0.30211630579999998</v>
      </c>
      <c r="L64" s="14">
        <v>0</v>
      </c>
      <c r="M64" s="14">
        <v>19.1294835902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2020-08-18T11:42:18Z</dcterms:modified>
</cp:coreProperties>
</file>