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illson Acevedo\Documents\Anteproyecto\Anteproyecto\DiseñoCalcLosa\complementos\"/>
    </mc:Choice>
  </mc:AlternateContent>
  <bookViews>
    <workbookView xWindow="0" yWindow="0" windowWidth="21600" windowHeight="9735" activeTab="1"/>
  </bookViews>
  <sheets>
    <sheet name="Present" sheetId="35" r:id="rId1"/>
    <sheet name="Espesor" sheetId="19" r:id="rId2"/>
    <sheet name="Cargas" sheetId="20" r:id="rId3"/>
    <sheet name="Moms de Empt" sheetId="39" r:id="rId4"/>
    <sheet name="Compesaciones" sheetId="40" r:id="rId5"/>
    <sheet name="M+" sheetId="41" r:id="rId6"/>
    <sheet name="M-" sheetId="43" r:id="rId7"/>
    <sheet name="COEFICIENTES" sheetId="4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TC220" localSheetId="0">[1]Ana!$L$3703</definedName>
    <definedName name="__TC220">[2]Ana!$L$3703</definedName>
    <definedName name="__ZC1" localSheetId="6">#REF!</definedName>
    <definedName name="__ZC1" localSheetId="0">#REF!</definedName>
    <definedName name="__ZC1">#REF!</definedName>
    <definedName name="__ZE1" localSheetId="6">#REF!</definedName>
    <definedName name="__ZE1" localSheetId="0">#REF!</definedName>
    <definedName name="__ZE1">#REF!</definedName>
    <definedName name="__ZE2" localSheetId="6">#REF!</definedName>
    <definedName name="__ZE2" localSheetId="0">#REF!</definedName>
    <definedName name="__ZE2">#REF!</definedName>
    <definedName name="__ZE3" localSheetId="6">#REF!</definedName>
    <definedName name="__ZE3" localSheetId="0">#REF!</definedName>
    <definedName name="__ZE3">#REF!</definedName>
    <definedName name="__ZE4" localSheetId="6">#REF!</definedName>
    <definedName name="__ZE4" localSheetId="0">#REF!</definedName>
    <definedName name="__ZE4">#REF!</definedName>
    <definedName name="__ZE5" localSheetId="6">#REF!</definedName>
    <definedName name="__ZE5" localSheetId="0">#REF!</definedName>
    <definedName name="__ZE5">#REF!</definedName>
    <definedName name="__ZE6" localSheetId="6">#REF!</definedName>
    <definedName name="__ZE6" localSheetId="0">#REF!</definedName>
    <definedName name="__ZE6">#REF!</definedName>
    <definedName name="_xlnm._FilterDatabase" localSheetId="1" hidden="1">Espesor!#REF!</definedName>
    <definedName name="_OP1" localSheetId="0">[1]M.O.!$C$542</definedName>
    <definedName name="_OP1">[3]M.O.!$D$621</definedName>
    <definedName name="_OP2" localSheetId="0">[1]M.O.!$C$543</definedName>
    <definedName name="_OP2">[3]M.O.!$D$622</definedName>
    <definedName name="_OP3" localSheetId="0">[1]M.O.!$C$544</definedName>
    <definedName name="_OP3">[3]M.O.!$D$623</definedName>
    <definedName name="_TC110" localSheetId="0">[1]Ana!$L$3691</definedName>
    <definedName name="_TC220" localSheetId="0">[4]Ana!$F$3433</definedName>
    <definedName name="_ZC1" localSheetId="6">#REF!</definedName>
    <definedName name="_ZC1" localSheetId="0">#REF!</definedName>
    <definedName name="_ZC1">#REF!</definedName>
    <definedName name="_ZE1" localSheetId="6">#REF!</definedName>
    <definedName name="_ZE1" localSheetId="0">#REF!</definedName>
    <definedName name="_ZE1">#REF!</definedName>
    <definedName name="_ZE2" localSheetId="6">#REF!</definedName>
    <definedName name="_ZE2" localSheetId="0">#REF!</definedName>
    <definedName name="_ZE2">#REF!</definedName>
    <definedName name="_ZE3" localSheetId="6">#REF!</definedName>
    <definedName name="_ZE3" localSheetId="0">#REF!</definedName>
    <definedName name="_ZE3">#REF!</definedName>
    <definedName name="_ZE4" localSheetId="6">#REF!</definedName>
    <definedName name="_ZE4" localSheetId="0">#REF!</definedName>
    <definedName name="_ZE4">#REF!</definedName>
    <definedName name="_ZE5" localSheetId="6">#REF!</definedName>
    <definedName name="_ZE5" localSheetId="0">#REF!</definedName>
    <definedName name="_ZE5">#REF!</definedName>
    <definedName name="_ZE6" localSheetId="6">#REF!</definedName>
    <definedName name="_ZE6" localSheetId="0">#REF!</definedName>
    <definedName name="_ZE6">#REF!</definedName>
    <definedName name="ABULT" localSheetId="6">#REF!</definedName>
    <definedName name="ABULT" localSheetId="0">#REF!</definedName>
    <definedName name="ABULT">#REF!</definedName>
    <definedName name="ACERA" localSheetId="0">[1]Ana!$L$4998</definedName>
    <definedName name="ACERO1" localSheetId="0">[1]Ana!$L$35</definedName>
    <definedName name="ACERO12" localSheetId="0">[1]Ana!$L$23</definedName>
    <definedName name="ACERO1225" localSheetId="0">[1]Ana!$L$27</definedName>
    <definedName name="ACERO14" localSheetId="0">[1]Ana!$L$11</definedName>
    <definedName name="ACERO34" localSheetId="0">[1]Ana!$L$31</definedName>
    <definedName name="ACERO38" localSheetId="0">[1]Ana!$L$15</definedName>
    <definedName name="ACERO3825" localSheetId="0">[1]Ana!$L$19</definedName>
    <definedName name="ACERO601" localSheetId="0">[1]Ana!$L$59</definedName>
    <definedName name="ACERO6012" localSheetId="0">[1]Ana!$L$47</definedName>
    <definedName name="ACERO601225" localSheetId="0">[1]Ana!$L$51</definedName>
    <definedName name="ACERO6034" localSheetId="0">[1]Ana!$L$55</definedName>
    <definedName name="ACERO6038" localSheetId="0">[1]Ana!$L$39</definedName>
    <definedName name="ACERO603825" localSheetId="0">[1]Ana!$L$43</definedName>
    <definedName name="ACOMALTATENSIONCONTRA" localSheetId="6">#REF!</definedName>
    <definedName name="ACOMALTATENSIONCONTRA" localSheetId="0">#REF!</definedName>
    <definedName name="ACOMALTATENSIONCONTRA">#REF!</definedName>
    <definedName name="ACOMDEPLANTANUEAEQUIPO800ACONTRA" localSheetId="6">#REF!</definedName>
    <definedName name="ACOMDEPLANTANUEAEQUIPO800ACONTRA" localSheetId="0">#REF!</definedName>
    <definedName name="ACOMDEPLANTANUEAEQUIPO800ACONTRA">#REF!</definedName>
    <definedName name="ACOMDESDEEQUIPOAPANELAA" localSheetId="6">#REF!</definedName>
    <definedName name="ACOMDESDEEQUIPOAPANELAA" localSheetId="0">#REF!</definedName>
    <definedName name="ACOMDESDEEQUIPOAPANELAA">#REF!</definedName>
    <definedName name="ACOMELEC" localSheetId="6">#REF!</definedName>
    <definedName name="ACOMELEC" localSheetId="0">#REF!</definedName>
    <definedName name="ACOMELEC">#REF!</definedName>
    <definedName name="ACOMEQUIPOAPANELBOMBACONTRA" localSheetId="6">#REF!</definedName>
    <definedName name="ACOMEQUIPOAPANELBOMBACONTRA" localSheetId="0">#REF!</definedName>
    <definedName name="ACOMEQUIPOAPANELBOMBACONTRA">#REF!</definedName>
    <definedName name="ACOMEQUIPOAPANELLUCESPARQCONTRA" localSheetId="6">#REF!</definedName>
    <definedName name="ACOMEQUIPOAPANELLUCESPARQCONTRA" localSheetId="0">#REF!</definedName>
    <definedName name="ACOMEQUIPOAPANELLUCESPARQCONTRA">#REF!</definedName>
    <definedName name="ACOMPRIDEPOSTEATRANSF750CONTRA" localSheetId="6">#REF!</definedName>
    <definedName name="ACOMPRIDEPOSTEATRANSF750CONTRA" localSheetId="0">#REF!</definedName>
    <definedName name="ACOMPRIDEPOSTEATRANSF750CONTRA">#REF!</definedName>
    <definedName name="ACOMSECDEEQUIPOAPANLUCESYTC" localSheetId="6">#REF!</definedName>
    <definedName name="ACOMSECDEEQUIPOAPANLUCESYTC" localSheetId="0">#REF!</definedName>
    <definedName name="ACOMSECDEEQUIPOAPANLUCESYTC">#REF!</definedName>
    <definedName name="ACOMSECDEPLANUEAEQUI800CONTRA" localSheetId="6">#REF!</definedName>
    <definedName name="ACOMSECDEPLANUEAEQUI800CONTRA" localSheetId="0">#REF!</definedName>
    <definedName name="ACOMSECDEPLANUEAEQUI800CONTRA">#REF!</definedName>
    <definedName name="ACOMSECDETRANSF750AREGBCONTRA" localSheetId="6">#REF!</definedName>
    <definedName name="ACOMSECDETRANSF750AREGBCONTRA" localSheetId="0">#REF!</definedName>
    <definedName name="ACOMSECDETRANSF750AREGBCONTRA">#REF!</definedName>
    <definedName name="ACOMSECTRANSFAEQUIPOCONTRA" localSheetId="6">#REF!</definedName>
    <definedName name="ACOMSECTRANSFAEQUIPOCONTRA" localSheetId="0">#REF!</definedName>
    <definedName name="ACOMSECTRANSFAEQUIPOCONTRA">#REF!</definedName>
    <definedName name="ALBANIL">[4]M.O.!$C$11</definedName>
    <definedName name="ALBANIL2">[4]M.O.!$C$12</definedName>
    <definedName name="ALBANIL3">[4]M.O.!$C$13</definedName>
    <definedName name="ALTATEN" localSheetId="6">#REF!</definedName>
    <definedName name="ALTATEN" localSheetId="0">#REF!</definedName>
    <definedName name="ALTATEN">#REF!</definedName>
    <definedName name="ANG2X2SOPLAMPCONTRA" localSheetId="6">#REF!</definedName>
    <definedName name="ANG2X2SOPLAMPCONTRA" localSheetId="0">#REF!</definedName>
    <definedName name="ANG2X2SOPLAMPCONTRA">#REF!</definedName>
    <definedName name="AREA1" localSheetId="6">#REF!</definedName>
    <definedName name="AREA1" localSheetId="0">#REF!</definedName>
    <definedName name="AREA1">#REF!</definedName>
    <definedName name="AREA12" localSheetId="6">#REF!</definedName>
    <definedName name="AREA12" localSheetId="0">#REF!</definedName>
    <definedName name="AREA12">#REF!</definedName>
    <definedName name="AREA34" localSheetId="6">#REF!</definedName>
    <definedName name="AREA34" localSheetId="0">#REF!</definedName>
    <definedName name="AREA34">#REF!</definedName>
    <definedName name="AREA38" localSheetId="6">#REF!</definedName>
    <definedName name="AREA38" localSheetId="0">#REF!</definedName>
    <definedName name="AREA38">#REF!</definedName>
    <definedName name="ARQSA" localSheetId="6">#REF!</definedName>
    <definedName name="ARQSA" localSheetId="0">#REF!</definedName>
    <definedName name="ARQSA">#REF!</definedName>
    <definedName name="ASCENSORES" localSheetId="0">[1]Ins!$C$51</definedName>
    <definedName name="ASCENSORES">[3]Ins!$C$62</definedName>
    <definedName name="ASIENTOINOCORRIENTE" localSheetId="6">[2]Ins!#REF!</definedName>
    <definedName name="ASIENTOINOCORRIENTE" localSheetId="0">[1]Ins!#REF!</definedName>
    <definedName name="ASIENTOINOCORRIENTE">[2]Ins!#REF!</definedName>
    <definedName name="AYCARP" localSheetId="6">[2]Ins!#REF!</definedName>
    <definedName name="AYCARP" localSheetId="0">[1]Ins!#REF!</definedName>
    <definedName name="AYCARP">[2]Ins!#REF!</definedName>
    <definedName name="AYUDANTE" localSheetId="0">[1]M.O.!$C$539</definedName>
    <definedName name="AYUDANTE">[3]M.O.!$D$618</definedName>
    <definedName name="BAJA4SDR41" localSheetId="6">#REF!</definedName>
    <definedName name="BAJA4SDR41" localSheetId="0">#REF!</definedName>
    <definedName name="BAJA4SDR41">#REF!</definedName>
    <definedName name="BAÑERAHFBCA" localSheetId="0">[1]Ana!$L$3887</definedName>
    <definedName name="BANERAHFBCAPVC" localSheetId="6">#REF!</definedName>
    <definedName name="BANERAHFBCAPVC" localSheetId="0">#REF!</definedName>
    <definedName name="BANERAHFBCAPVC">#REF!</definedName>
    <definedName name="BAÑERAHFCOL" localSheetId="0">[1]Ana!$L$3914</definedName>
    <definedName name="BANERAHFCOLPVC" localSheetId="6">#REF!</definedName>
    <definedName name="BANERAHFCOLPVC" localSheetId="0">#REF!</definedName>
    <definedName name="BANERAHFCOLPVC">#REF!</definedName>
    <definedName name="BAÑERALIV" localSheetId="0">[1]Ana!$L$3860</definedName>
    <definedName name="BANERALIVBCAPVC" localSheetId="6">#REF!</definedName>
    <definedName name="BANERALIVBCAPVC" localSheetId="0">#REF!</definedName>
    <definedName name="BANERALIVBCAPVC">#REF!</definedName>
    <definedName name="BANERAPVCBCAPVC" localSheetId="6">#REF!</definedName>
    <definedName name="BANERAPVCBCAPVC" localSheetId="0">#REF!</definedName>
    <definedName name="BANERAPVCBCAPVC">#REF!</definedName>
    <definedName name="BANERAPVCCOLPVC" localSheetId="6">#REF!</definedName>
    <definedName name="BANERAPVCCOLPVC" localSheetId="0">#REF!</definedName>
    <definedName name="BANERAPVCCOLPVC">#REF!</definedName>
    <definedName name="BARANDACURVACONTRA" localSheetId="6">#REF!</definedName>
    <definedName name="BARANDACURVACONTRA" localSheetId="0">#REF!</definedName>
    <definedName name="BARANDACURVACONTRA">#REF!</definedName>
    <definedName name="BARANDACURVAM2CONTRA" localSheetId="6">#REF!</definedName>
    <definedName name="BARANDACURVAM2CONTRA" localSheetId="0">#REF!</definedName>
    <definedName name="BARANDACURVAM2CONTRA">#REF!</definedName>
    <definedName name="BARANDARECTACONTRA" localSheetId="6">#REF!</definedName>
    <definedName name="BARANDARECTACONTRA" localSheetId="0">#REF!</definedName>
    <definedName name="BARANDARECTACONTRA">#REF!</definedName>
    <definedName name="BARANDARECTAM2CONTRA" localSheetId="6">#REF!</definedName>
    <definedName name="BARANDARECTAM2CONTRA" localSheetId="0">#REF!</definedName>
    <definedName name="BARANDARECTAM2CONTRA">#REF!</definedName>
    <definedName name="BIDETBCO" localSheetId="0">[1]Ana!$L$3940</definedName>
    <definedName name="BIDETBCOPVC" localSheetId="6">#REF!</definedName>
    <definedName name="BIDETBCOPVC" localSheetId="0">#REF!</definedName>
    <definedName name="BIDETBCOPVC">#REF!</definedName>
    <definedName name="BIDETCOL" localSheetId="0">[1]Ana!$L$3966</definedName>
    <definedName name="BIDETCOLPVC" localSheetId="6">#REF!</definedName>
    <definedName name="BIDETCOLPVC" localSheetId="0">#REF!</definedName>
    <definedName name="BIDETCOLPVC">#REF!</definedName>
    <definedName name="BLOCK10">[4]Ana!$F$216</definedName>
    <definedName name="BLOCK12" localSheetId="0">[1]Ana!$L$184</definedName>
    <definedName name="BLOCK4" localSheetId="0">[1]Ana!$L$73</definedName>
    <definedName name="BLOCK4RUST" localSheetId="6">[2]Ana!#REF!</definedName>
    <definedName name="BLOCK4RUST" localSheetId="0">[1]Ana!#REF!</definedName>
    <definedName name="BLOCK4RUST">[2]Ana!#REF!</definedName>
    <definedName name="BLOCK6" localSheetId="0">[1]Ana!$L$106</definedName>
    <definedName name="BLOCK640" localSheetId="0">[1]Ana!$L$95</definedName>
    <definedName name="BLOCK6VIO2" localSheetId="0">[1]Ana!$L$117</definedName>
    <definedName name="BLOCK8" localSheetId="0">[1]Ana!$L$162</definedName>
    <definedName name="BLOCK820" localSheetId="0">[1]Ana!$L$140</definedName>
    <definedName name="BLOCK820CLLENAS" localSheetId="6">[2]Ana!#REF!</definedName>
    <definedName name="BLOCK820CLLENAS" localSheetId="0">[1]Ana!#REF!</definedName>
    <definedName name="BLOCK820CLLENAS">[2]Ana!#REF!</definedName>
    <definedName name="BLOCK840" localSheetId="0">[1]Ana!$L$151</definedName>
    <definedName name="BLOCK840CLLENAS" localSheetId="0">[1]Ana!$L$173</definedName>
    <definedName name="BLOCK8RUST" localSheetId="6">[2]Ana!#REF!</definedName>
    <definedName name="BLOCK8RUST" localSheetId="0">[1]Ana!#REF!</definedName>
    <definedName name="BLOCK8RUST">[2]Ana!#REF!</definedName>
    <definedName name="BLOCKCALAD666" localSheetId="0">[1]Ana!$L$189</definedName>
    <definedName name="BLOCKCALAD886" localSheetId="0">[1]Ana!$L$194</definedName>
    <definedName name="BLOCKCALADORN152040" localSheetId="0">[1]Ana!$L$199</definedName>
    <definedName name="BLOCRI">[3]Ins!$C$303</definedName>
    <definedName name="BLOQUESVID" localSheetId="0">[1]Ins!$C$261</definedName>
    <definedName name="BLOQUESVID">[2]Ins!$C$261</definedName>
    <definedName name="BOMBA">[4]Ins!$E$744</definedName>
    <definedName name="BORDILLO4" localSheetId="0">[1]Ana!$L$212</definedName>
    <definedName name="BORDILLO6" localSheetId="0">[1]Ana!$L$222</definedName>
    <definedName name="BORDILLO8" localSheetId="0">[1]Ana!$L$232</definedName>
    <definedName name="BOTONTIMBRE" localSheetId="0">[1]Ana!$L$3746</definedName>
    <definedName name="BPLUV4SDR41CONTRA" localSheetId="6">#REF!</definedName>
    <definedName name="BPLUV4SDR41CONTRA" localSheetId="0">#REF!</definedName>
    <definedName name="BPLUV4SDR41CONTRA">#REF!</definedName>
    <definedName name="CALENTPVC" localSheetId="6">#REF!</definedName>
    <definedName name="CALENTPVC" localSheetId="0">#REF!</definedName>
    <definedName name="CALENTPVC">#REF!</definedName>
    <definedName name="CAMARACAL" localSheetId="0">[1]Ana!$L$4509</definedName>
    <definedName name="CAMARAROC" localSheetId="0">[1]Ana!$L$4520</definedName>
    <definedName name="CAMARATIE" localSheetId="0">[1]Ana!$L$4531</definedName>
    <definedName name="CANALETACONTRA" localSheetId="6">#REF!</definedName>
    <definedName name="CANALETACONTRA" localSheetId="0">#REF!</definedName>
    <definedName name="CANALETACONTRA">#REF!</definedName>
    <definedName name="CANTO" localSheetId="0">[1]Ana!$L$427</definedName>
    <definedName name="CARANTEPECHO" localSheetId="6">[2]M.O.!#REF!</definedName>
    <definedName name="CARANTEPECHO" localSheetId="0">[1]M.O.!#REF!</definedName>
    <definedName name="CARANTEPECHO">[2]M.O.!#REF!</definedName>
    <definedName name="CARCOL30" localSheetId="6">[2]M.O.!#REF!</definedName>
    <definedName name="CARCOL30" localSheetId="0">[1]M.O.!#REF!</definedName>
    <definedName name="CARCOL30">[2]M.O.!#REF!</definedName>
    <definedName name="CARCOL50" localSheetId="6">[2]M.O.!#REF!</definedName>
    <definedName name="CARCOL50" localSheetId="0">[1]M.O.!#REF!</definedName>
    <definedName name="CARCOL50">[2]M.O.!#REF!</definedName>
    <definedName name="CARCOLAMARRE" localSheetId="6">[2]M.O.!#REF!</definedName>
    <definedName name="CARCOLAMARRE" localSheetId="0">[1]M.O.!#REF!</definedName>
    <definedName name="CARCOLAMARRE">[2]M.O.!#REF!</definedName>
    <definedName name="CARETEO" localSheetId="0">[1]Ana!$L$350</definedName>
    <definedName name="CARLOSAPLA" localSheetId="0">[1]M.O.!#REF!</definedName>
    <definedName name="CARLOSAPLA">[2]M.O.!#REF!</definedName>
    <definedName name="CARLOSAVARIASAGUAS" localSheetId="0">[1]M.O.!#REF!</definedName>
    <definedName name="CARLOSAVARIASAGUAS">[2]M.O.!#REF!</definedName>
    <definedName name="CARMURO" localSheetId="0">[1]M.O.!#REF!</definedName>
    <definedName name="CARMURO">[2]M.O.!#REF!</definedName>
    <definedName name="CARP1" localSheetId="0">[1]Ins!#REF!</definedName>
    <definedName name="CARP1">[2]Ins!#REF!</definedName>
    <definedName name="CARP2" localSheetId="0">[1]Ins!#REF!</definedName>
    <definedName name="CARP2">[2]Ins!#REF!</definedName>
    <definedName name="CARPDINTEL" localSheetId="0">[1]M.O.!#REF!</definedName>
    <definedName name="CARPDINTEL">[2]M.O.!#REF!</definedName>
    <definedName name="CARPVIGA2040" localSheetId="0">[1]M.O.!#REF!</definedName>
    <definedName name="CARPVIGA2040">[2]M.O.!#REF!</definedName>
    <definedName name="CARPVIGA3050" localSheetId="0">[1]M.O.!#REF!</definedName>
    <definedName name="CARPVIGA3050">[2]M.O.!#REF!</definedName>
    <definedName name="CARPVIGA3060" localSheetId="0">[1]M.O.!#REF!</definedName>
    <definedName name="CARPVIGA3060">[2]M.O.!#REF!</definedName>
    <definedName name="CARPVIGA4080" localSheetId="0">[1]M.O.!#REF!</definedName>
    <definedName name="CARPVIGA4080">[2]M.O.!#REF!</definedName>
    <definedName name="CARRAMPA" localSheetId="0">[1]M.O.!#REF!</definedName>
    <definedName name="CARRAMPA">[2]M.O.!#REF!</definedName>
    <definedName name="CASBESTO" localSheetId="0">[1]M.O.!#REF!</definedName>
    <definedName name="CASBESTO">[2]M.O.!#REF!</definedName>
    <definedName name="CASETA200" localSheetId="0">[1]Ana!$L$259</definedName>
    <definedName name="CASETA200">[3]Ana!$M$260</definedName>
    <definedName name="CASETA200M2" localSheetId="0">[1]Ana!$L$260</definedName>
    <definedName name="CASETA500" localSheetId="0">[1]Ana!$L$296</definedName>
    <definedName name="CASETAM2" localSheetId="0">[1]Ana!$L$297</definedName>
    <definedName name="CBLOCK10" localSheetId="6">[2]Ins!#REF!</definedName>
    <definedName name="CBLOCK10" localSheetId="0">[1]Ins!#REF!</definedName>
    <definedName name="CBLOCK10">[2]Ins!#REF!</definedName>
    <definedName name="CISTERNA4CAL" localSheetId="0">[1]Ana!$L$4596</definedName>
    <definedName name="CISTERNA4ROC" localSheetId="0">[1]Ana!$L$4616</definedName>
    <definedName name="CISTERNA8TIE" localSheetId="0">[1]Ana!$L$4636</definedName>
    <definedName name="CIUPAISJAGS" localSheetId="6">#REF!</definedName>
    <definedName name="CIUPAISJAGS" localSheetId="0">#REF!</definedName>
    <definedName name="CIUPAISJAGS">#REF!</definedName>
    <definedName name="CIUPAISPROY" localSheetId="6">#REF!</definedName>
    <definedName name="CIUPAISPROY" localSheetId="0">#REF!</definedName>
    <definedName name="CIUPAISPROY">#REF!</definedName>
    <definedName name="CODIAJAGS" localSheetId="6">#REF!</definedName>
    <definedName name="CODIAJAGS" localSheetId="0">#REF!</definedName>
    <definedName name="CODIAJAGS">#REF!</definedName>
    <definedName name="COLABORA1" localSheetId="6">#REF!</definedName>
    <definedName name="COLABORA1" localSheetId="0">#REF!</definedName>
    <definedName name="COLABORA1">#REF!</definedName>
    <definedName name="COLABORA2" localSheetId="6">#REF!</definedName>
    <definedName name="COLABORA2" localSheetId="0">#REF!</definedName>
    <definedName name="COLABORA2">#REF!</definedName>
    <definedName name="COLAGUA2SCH40CONTRA" localSheetId="6">#REF!</definedName>
    <definedName name="COLAGUA2SCH40CONTRA" localSheetId="0">#REF!</definedName>
    <definedName name="COLAGUA2SCH40CONTRA">#REF!</definedName>
    <definedName name="COLC1" localSheetId="6">#REF!</definedName>
    <definedName name="COLC1" localSheetId="0">#REF!</definedName>
    <definedName name="COLC1">#REF!</definedName>
    <definedName name="COLC2" localSheetId="6">#REF!</definedName>
    <definedName name="COLC2" localSheetId="0">#REF!</definedName>
    <definedName name="COLC2">#REF!</definedName>
    <definedName name="COLC3CIR" localSheetId="6">#REF!</definedName>
    <definedName name="COLC3CIR" localSheetId="0">#REF!</definedName>
    <definedName name="COLC3CIR">#REF!</definedName>
    <definedName name="COLC4" localSheetId="6">#REF!</definedName>
    <definedName name="COLC4" localSheetId="0">#REF!</definedName>
    <definedName name="COLC4">#REF!</definedName>
    <definedName name="CONEXBAJ4SDR41A6CONTRA" localSheetId="6">#REF!</definedName>
    <definedName name="CONEXBAJ4SDR41A6CONTRA" localSheetId="0">#REF!</definedName>
    <definedName name="CONEXBAJ4SDR41A6CONTRA">#REF!</definedName>
    <definedName name="CONTENTELFORDM" localSheetId="0">[1]Ana!$L$312</definedName>
    <definedName name="CONTENTELFORDM3" localSheetId="0">[1]Ana!$L$311</definedName>
    <definedName name="CONTRA1" localSheetId="6">#REF!</definedName>
    <definedName name="CONTRA1" localSheetId="0">#REF!</definedName>
    <definedName name="CONTRA1">#REF!</definedName>
    <definedName name="CONTRA2" localSheetId="6">#REF!</definedName>
    <definedName name="CONTRA2" localSheetId="0">#REF!</definedName>
    <definedName name="CONTRA2">#REF!</definedName>
    <definedName name="CZINC" localSheetId="6">[2]M.O.!#REF!</definedName>
    <definedName name="CZINC" localSheetId="0">[1]M.O.!#REF!</definedName>
    <definedName name="CZINC">[2]M.O.!#REF!</definedName>
    <definedName name="dd" localSheetId="6">#REF!</definedName>
    <definedName name="dd" localSheetId="0">#REF!</definedName>
    <definedName name="dd">#REF!</definedName>
    <definedName name="DESMANTSE500CONTRA" localSheetId="6">#REF!</definedName>
    <definedName name="DESMANTSE500CONTRA" localSheetId="0">#REF!</definedName>
    <definedName name="DESMANTSE500CONTRA">#REF!</definedName>
    <definedName name="DESP24" localSheetId="0">[1]Ana!$L$3976</definedName>
    <definedName name="DESP34" localSheetId="0">[1]Ana!$L$3986</definedName>
    <definedName name="DESP44" localSheetId="0">[1]Ana!$L$3996</definedName>
    <definedName name="DESPACE1" localSheetId="6">#REF!</definedName>
    <definedName name="DESPACE1" localSheetId="0">#REF!</definedName>
    <definedName name="DESPACE1">#REF!</definedName>
    <definedName name="DESPACE2" localSheetId="6">#REF!</definedName>
    <definedName name="DESPACE2" localSheetId="0">#REF!</definedName>
    <definedName name="DESPACE2">#REF!</definedName>
    <definedName name="DESPACEMALLA" localSheetId="6">#REF!</definedName>
    <definedName name="DESPACEMALLA" localSheetId="0">#REF!</definedName>
    <definedName name="DESPACEMALLA">#REF!</definedName>
    <definedName name="DESPCLA" localSheetId="6">#REF!</definedName>
    <definedName name="DESPCLA" localSheetId="0">#REF!</definedName>
    <definedName name="DESPCLA">#REF!</definedName>
    <definedName name="DESPISO2CONTRA" localSheetId="6">#REF!</definedName>
    <definedName name="DESPISO2CONTRA" localSheetId="0">#REF!</definedName>
    <definedName name="DESPISO2CONTRA">#REF!</definedName>
    <definedName name="DESPLU3" localSheetId="0">[1]Ana!$L$321</definedName>
    <definedName name="DESPLU4" localSheetId="0">[1]Ana!$L$328</definedName>
    <definedName name="DESPMAD1" localSheetId="6">#REF!</definedName>
    <definedName name="DESPMAD1" localSheetId="0">#REF!</definedName>
    <definedName name="DESPMAD1">#REF!</definedName>
    <definedName name="DESPMAD2" localSheetId="6">#REF!</definedName>
    <definedName name="DESPMAD2" localSheetId="0">#REF!</definedName>
    <definedName name="DESPMAD2">#REF!</definedName>
    <definedName name="DIRJAGS" localSheetId="6">#REF!</definedName>
    <definedName name="DIRJAGS" localSheetId="0">#REF!</definedName>
    <definedName name="DIRJAGS">#REF!</definedName>
    <definedName name="DIRPROY" localSheetId="6">#REF!</definedName>
    <definedName name="DIRPROY" localSheetId="0">#REF!</definedName>
    <definedName name="DIRPROY">#REF!</definedName>
    <definedName name="DISTAGUAYMOCONTRA" localSheetId="6">#REF!</definedName>
    <definedName name="DISTAGUAYMOCONTRA" localSheetId="0">#REF!</definedName>
    <definedName name="DISTAGUAYMOCONTRA">#REF!</definedName>
    <definedName name="DIVISA">[4]Ins!$E$364</definedName>
    <definedName name="DIVISAEURO" localSheetId="6">[3]Ins!#REF!</definedName>
    <definedName name="DIVISAEURO" localSheetId="0">[3]Ins!#REF!</definedName>
    <definedName name="DIVISAEURO">[3]Ins!#REF!</definedName>
    <definedName name="DIVISAUSA" localSheetId="6">[3]Ins!#REF!</definedName>
    <definedName name="DIVISAUSA" localSheetId="0">[3]Ins!#REF!</definedName>
    <definedName name="DIVISAUSA">[3]Ins!#REF!</definedName>
    <definedName name="DUCHAFRIAHG" localSheetId="0">[1]Ana!$L$4029</definedName>
    <definedName name="DUCHAPVC" localSheetId="6">#REF!</definedName>
    <definedName name="DUCHAPVC" localSheetId="0">#REF!</definedName>
    <definedName name="DUCHAPVC">#REF!</definedName>
    <definedName name="DUCHAPVCCPVC" localSheetId="6">#REF!</definedName>
    <definedName name="DUCHAPVCCPVC" localSheetId="0">#REF!</definedName>
    <definedName name="DUCHAPVCCPVC">#REF!</definedName>
    <definedName name="EMAILARQSA" localSheetId="6">#REF!</definedName>
    <definedName name="EMAILARQSA" localSheetId="0">#REF!</definedName>
    <definedName name="EMAILARQSA">#REF!</definedName>
    <definedName name="EMAILJAGS" localSheetId="6">#REF!</definedName>
    <definedName name="EMAILJAGS" localSheetId="0">#REF!</definedName>
    <definedName name="EMAILJAGS">#REF!</definedName>
    <definedName name="EMPCOL" localSheetId="0">[1]Ana!$L$371</definedName>
    <definedName name="EMPEXTMA" localSheetId="0">[1]Ana!$L$391</definedName>
    <definedName name="EMPEXTMA">[3]Ana!$M$356</definedName>
    <definedName name="EMPINTCONACEROYMALLACONTRA" localSheetId="6">#REF!</definedName>
    <definedName name="EMPINTCONACEROYMALLACONTRA" localSheetId="0">#REF!</definedName>
    <definedName name="EMPINTCONACEROYMALLACONTRA">#REF!</definedName>
    <definedName name="EMPINTMA" localSheetId="0">[1]Ana!$L$383</definedName>
    <definedName name="EMPINTMA">[3]Ana!$M$363</definedName>
    <definedName name="EMPPULSCOL" localSheetId="0">[1]Ana!$L$422</definedName>
    <definedName name="EMPRAS" localSheetId="0">[1]Ana!$L$399</definedName>
    <definedName name="EMPRUS" localSheetId="0">[1]Ana!$L$414</definedName>
    <definedName name="EMPTECHO" localSheetId="0">[1]Ana!$L$407</definedName>
    <definedName name="ESCGRA23B" localSheetId="0">[1]Ana!$L$451</definedName>
    <definedName name="ESCGRA23C" localSheetId="6">[2]Ana!#REF!</definedName>
    <definedName name="ESCGRA23C" localSheetId="0">[1]Ana!#REF!</definedName>
    <definedName name="ESCGRA23C">[2]Ana!#REF!</definedName>
    <definedName name="ESCGRA23G" localSheetId="6">[2]Ana!#REF!</definedName>
    <definedName name="ESCGRA23G" localSheetId="0">[1]Ana!#REF!</definedName>
    <definedName name="ESCGRA23G">[2]Ana!#REF!</definedName>
    <definedName name="ESCGRABOTB" localSheetId="6">[2]Ana!#REF!</definedName>
    <definedName name="ESCGRABOTB" localSheetId="0">[1]Ana!#REF!</definedName>
    <definedName name="ESCGRABOTB">[2]Ana!#REF!</definedName>
    <definedName name="ESCGRABOTC" localSheetId="6">[2]Ana!#REF!</definedName>
    <definedName name="ESCGRABOTC" localSheetId="0">[1]Ana!#REF!</definedName>
    <definedName name="ESCGRABOTC">[2]Ana!#REF!</definedName>
    <definedName name="ESCMARAGLPR" localSheetId="0">[1]Ana!$L$457</definedName>
    <definedName name="ESCMARAGLPR">[3]Ana!$M$452</definedName>
    <definedName name="ESCSUPCHAB" localSheetId="0">[1]Ana!$L$464</definedName>
    <definedName name="ESCSUPCHAC" localSheetId="6">[2]Ana!#REF!</definedName>
    <definedName name="ESCSUPCHAC" localSheetId="0">[1]Ana!#REF!</definedName>
    <definedName name="ESCSUPCHAC">[2]Ana!#REF!</definedName>
    <definedName name="ESCVIBB" localSheetId="6">[2]Ana!#REF!</definedName>
    <definedName name="ESCVIBB" localSheetId="0">[1]Ana!#REF!</definedName>
    <definedName name="ESCVIBB">[2]Ana!#REF!</definedName>
    <definedName name="ESCVIBC" localSheetId="6">[2]Ana!#REF!</definedName>
    <definedName name="ESCVIBC" localSheetId="0">[1]Ana!#REF!</definedName>
    <definedName name="ESCVIBC">[2]Ana!#REF!</definedName>
    <definedName name="ESTRIA" localSheetId="0">[1]Ana!$L$432</definedName>
    <definedName name="EXCRCOM3" localSheetId="0">[1]M.O.!$C$524</definedName>
    <definedName name="EXCRCOM3">[3]M.O.!$D$603</definedName>
    <definedName name="FECHACREACION" localSheetId="6">#REF!</definedName>
    <definedName name="FECHACREACION" localSheetId="0">#REF!</definedName>
    <definedName name="FECHACREACION">#REF!</definedName>
    <definedName name="FINOTECHOBER" localSheetId="0">[1]Ana!$L$5824</definedName>
    <definedName name="FINOTECHOINCL" localSheetId="0">[1]Ana!$L$5830</definedName>
    <definedName name="FINOTECHOPLA" localSheetId="0">[1]Ana!$L$5836</definedName>
    <definedName name="FRAGUA" localSheetId="0">[1]Ana!$L$355</definedName>
    <definedName name="FREG1HG" localSheetId="0">[1]Ana!$L$4085</definedName>
    <definedName name="FREG1PVCCPVC" localSheetId="6">#REF!</definedName>
    <definedName name="FREG1PVCCPVC" localSheetId="0">#REF!</definedName>
    <definedName name="FREG1PVCCPVC">#REF!</definedName>
    <definedName name="FREG2HG" localSheetId="0">[1]Ana!$L$4057</definedName>
    <definedName name="FREG2PVCCPVC" localSheetId="6">#REF!</definedName>
    <definedName name="FREG2PVCCPVC" localSheetId="0">#REF!</definedName>
    <definedName name="FREG2PVCCPVC">#REF!</definedName>
    <definedName name="GASOLINA" localSheetId="0">[1]Ins!$E$356</definedName>
    <definedName name="GASOLINA">[3]Ins!$E$419</definedName>
    <definedName name="gg">[5]Ana!$F$1657</definedName>
    <definedName name="GOTEROCOL" localSheetId="0">[1]Ana!$L$437</definedName>
    <definedName name="GOTERORAN" localSheetId="0">[1]Ana!$L$442</definedName>
    <definedName name="HAANT4015124238" localSheetId="0">[1]Ana!$L$483</definedName>
    <definedName name="HAANT4015180238" localSheetId="0">[1]Ana!$L$487</definedName>
    <definedName name="HAANT4015210238" localSheetId="0">[1]Ana!$L$491</definedName>
    <definedName name="HACOL20201244041238A20LIG" localSheetId="0">[1]Ana!$L$595</definedName>
    <definedName name="HACOL20201244041238A20LIG">[3]Ana!$M$590</definedName>
    <definedName name="HACOL20201244041238A20MANO" localSheetId="0">[1]Ana!$L$599</definedName>
    <definedName name="HACOL20201244043814A20LIG" localSheetId="0">[1]Ana!$L$586</definedName>
    <definedName name="HACOL20201244043814A20MANO" localSheetId="0">[1]Ana!$L$590</definedName>
    <definedName name="HACOL2020180404122538A20" localSheetId="0">[1]Ana!$L$760</definedName>
    <definedName name="HACOL20201804041238A20" localSheetId="0">[1]Ana!$L$755</definedName>
    <definedName name="HACOL2020180604122538A20" localSheetId="0">[1]Ana!$L$770</definedName>
    <definedName name="HACOL20201806041238A20" localSheetId="0">[1]Ana!$L$765</definedName>
    <definedName name="HACOL20301244041238A20LIG" localSheetId="0">[1]Ana!$L$612</definedName>
    <definedName name="HACOL20301244041238A20MANO" localSheetId="0">[1]Ana!$L$616</definedName>
    <definedName name="HACOL2030180604122538A20" localSheetId="0">[1]Ana!$L$788</definedName>
    <definedName name="HACOL20301806041238A20" localSheetId="0">[1]Ana!$L$783</definedName>
    <definedName name="HACOL2040CISTCONTRA" localSheetId="6">#REF!</definedName>
    <definedName name="HACOL2040CISTCONTRA" localSheetId="0">#REF!</definedName>
    <definedName name="HACOL2040CISTCONTRA">#REF!</definedName>
    <definedName name="HACOL2040PORTCISTCONTRA" localSheetId="6">#REF!</definedName>
    <definedName name="HACOL2040PORTCISTCONTRA" localSheetId="0">#REF!</definedName>
    <definedName name="HACOL2040PORTCISTCONTRA">#REF!</definedName>
    <definedName name="HACOL30301244081238A20LIG" localSheetId="0">[1]Ana!$L$668</definedName>
    <definedName name="HACOL30301244081238A20MANO" localSheetId="0">[1]Ana!$L$672</definedName>
    <definedName name="HACOL3030180408122538A30" localSheetId="0">[1]Ana!$L$811</definedName>
    <definedName name="HACOL3030180408122538A30PORT" localSheetId="0">[1]Ana!$L$816</definedName>
    <definedName name="HACOL30301804081238A30" localSheetId="0">[1]Ana!$L$801</definedName>
    <definedName name="HACOL30301804081238A30PORT" localSheetId="0">[1]Ana!$L$806</definedName>
    <definedName name="HACOL3030180608122538A30" localSheetId="0">[1]Ana!$L$833</definedName>
    <definedName name="HACOL3030180608122538A30PORT" localSheetId="0">[1]Ana!$L$838</definedName>
    <definedName name="HACOL30301806081238A30" localSheetId="0">[1]Ana!$L$822</definedName>
    <definedName name="HACOL30301806081238A30PORT" localSheetId="0">[1]Ana!$L$827</definedName>
    <definedName name="HACOL30302104043438A30" localSheetId="0">[1]Ana!$L$994</definedName>
    <definedName name="HACOL30302104043438A30PORT" localSheetId="0">[1]Ana!$L$999</definedName>
    <definedName name="HACOL30302106043438A30" localSheetId="0">[1]Ana!$L$1005</definedName>
    <definedName name="HACOL30302106043438A30PORT" localSheetId="0">[1]Ana!$L$1010</definedName>
    <definedName name="HACOL30302404043438A30" localSheetId="0">[1]Ana!$L$1166</definedName>
    <definedName name="HACOL30302404043438A30PORT" localSheetId="0">[1]Ana!$L$1171</definedName>
    <definedName name="HACOL30302406043438A30" localSheetId="0">[1]Ana!$L$1177</definedName>
    <definedName name="HACOL30302406043438A30PORT" localSheetId="0">[1]Ana!$L$1182</definedName>
    <definedName name="HACOL30401244043438A30LIG" localSheetId="0">[1]Ana!$L$685</definedName>
    <definedName name="HACOL30401244043438A30MANO" localSheetId="0">[1]Ana!$L$689</definedName>
    <definedName name="HACOL30401804043438A30" localSheetId="0">[1]Ana!$L$851</definedName>
    <definedName name="HACOL30401804043438A30PORT" localSheetId="0">[1]Ana!$L$856</definedName>
    <definedName name="HACOL30401806043438A30" localSheetId="0">[1]Ana!$L$862</definedName>
    <definedName name="HACOL30401806043438A30PORT" localSheetId="0">[1]Ana!$L$867</definedName>
    <definedName name="HACOL30402104043438A30" localSheetId="0">[1]Ana!$L$1023</definedName>
    <definedName name="HACOL30402104043438A30PORT" localSheetId="0">[1]Ana!$L$1028</definedName>
    <definedName name="HACOL30402106043438A30" localSheetId="0">[1]Ana!$L$1034</definedName>
    <definedName name="HACOL30402106043438A30PORT" localSheetId="0">[1]Ana!$L$1039</definedName>
    <definedName name="HACOL30402404043438A30" localSheetId="0">[1]Ana!$L$1195</definedName>
    <definedName name="HACOL30402404043438A30PORT" localSheetId="0">[1]Ana!$L$1200</definedName>
    <definedName name="HACOL30402406043438A30" localSheetId="0">[1]Ana!$L$1206</definedName>
    <definedName name="HACOL30402406043438A30PORT" localSheetId="0">[1]Ana!$L$1211</definedName>
    <definedName name="HACOL3040ENTRADAESTECONTRA" localSheetId="6">#REF!</definedName>
    <definedName name="HACOL3040ENTRADAESTECONTRA" localSheetId="0">#REF!</definedName>
    <definedName name="HACOL3040ENTRADAESTECONTRA">#REF!</definedName>
    <definedName name="HACOL40401244041243438A20LIG" localSheetId="0">[1]Ana!$L$703</definedName>
    <definedName name="HACOL40401244041243438A20MANO" localSheetId="0">[1]Ana!$L$707</definedName>
    <definedName name="HACOL4040180404124342538A20" localSheetId="0">[1]Ana!$L$892</definedName>
    <definedName name="HACOL4040180404124342538A20PORT" localSheetId="0">[1]Ana!$L$897</definedName>
    <definedName name="HACOL40401804041243438A20" localSheetId="0">[1]Ana!$L$881</definedName>
    <definedName name="HACOL40401804041243438A20PORT" localSheetId="0">[1]Ana!$L$886</definedName>
    <definedName name="HACOL4040180604124342538A30" localSheetId="0">[1]Ana!$L$916</definedName>
    <definedName name="HACOL4040180604124342538A30PORT" localSheetId="0">[1]Ana!$L$921</definedName>
    <definedName name="HACOL40401806041243438A30" localSheetId="0">[1]Ana!$L$904</definedName>
    <definedName name="HACOL40401806041243438A30PORT" localSheetId="0">[1]Ana!$L$909</definedName>
    <definedName name="HACOL4040210404122543438A20" localSheetId="0">[1]Ana!$L$1064</definedName>
    <definedName name="HACOL4040210404122543438A20PORT" localSheetId="0">[1]Ana!$L$1069</definedName>
    <definedName name="HACOL40402104041243438A20" localSheetId="0">[1]Ana!$L$1053</definedName>
    <definedName name="HACOL40402104041243438A20PORT" localSheetId="0">[1]Ana!$L$1058</definedName>
    <definedName name="HACOL4040210604122543438A30" localSheetId="0">[1]Ana!$L$1088</definedName>
    <definedName name="HACOL4040210604122543438A30PORT" localSheetId="0">[1]Ana!$L$1093</definedName>
    <definedName name="HACOL40402106041243438A30" localSheetId="0">[1]Ana!$L$1076</definedName>
    <definedName name="HACOL40402106041243438A30PORT" localSheetId="0">[1]Ana!$L$1081</definedName>
    <definedName name="HACOL4040240404122543438A20" localSheetId="0">[1]Ana!$L$1236</definedName>
    <definedName name="HACOL4040240404122543438A20PORT" localSheetId="0">[1]Ana!$L$1241</definedName>
    <definedName name="HACOL40402404041243438A20" localSheetId="0">[1]Ana!$L$1225</definedName>
    <definedName name="HACOL40402404041243438A20PORT" localSheetId="0">[1]Ana!$L$1230</definedName>
    <definedName name="HACOL4040240604122543438A30" localSheetId="0">[1]Ana!$L$1260</definedName>
    <definedName name="HACOL4040240604122543438A30PORT" localSheetId="0">[1]Ana!$L$1265</definedName>
    <definedName name="HACOL40402406041243438A30" localSheetId="0">[1]Ana!$L$1248</definedName>
    <definedName name="HACOL40402406041243438A30PORT" localSheetId="0">[1]Ana!$L$1253</definedName>
    <definedName name="HACOL5050124404344138A20LIG" localSheetId="0">[1]Ana!$L$721</definedName>
    <definedName name="HACOL5050124404344138A20MANO" localSheetId="0">[1]Ana!$L$725</definedName>
    <definedName name="HACOL5050180404344138A20" localSheetId="0">[1]Ana!$L$935</definedName>
    <definedName name="HACOL5050180404344138A20PORT" localSheetId="0">[1]Ana!$L$940</definedName>
    <definedName name="HACOL5050180604344138A20" localSheetId="0">[1]Ana!$L$947</definedName>
    <definedName name="HACOL5050180604344138A20PORT" localSheetId="0">[1]Ana!$L$952</definedName>
    <definedName name="HACOL5050210404344138A20" localSheetId="0">[1]Ana!$L$1107</definedName>
    <definedName name="HACOL5050210404344138A20PORT" localSheetId="0">[1]Ana!$L$1112</definedName>
    <definedName name="HACOL5050210604344138A20" localSheetId="0">[1]Ana!$L$1119</definedName>
    <definedName name="HACOL5050210604344138A20PORT" localSheetId="0">[1]Ana!$L$1124</definedName>
    <definedName name="HACOL5050240404344138A20" localSheetId="0">[1]Ana!$L$1279</definedName>
    <definedName name="HACOL5050240404344138A20PORT" localSheetId="0">[1]Ana!$L$1284</definedName>
    <definedName name="HACOL5050240604344138A20" localSheetId="0">[1]Ana!$L$1291</definedName>
    <definedName name="HACOL5050240604344138A20PORT" localSheetId="0">[1]Ana!$L$1296</definedName>
    <definedName name="HACOL60601244012138A20LIG" localSheetId="0">[1]Ana!$L$738</definedName>
    <definedName name="HACOL60601244012138A20MANO" localSheetId="0">[1]Ana!$L$742</definedName>
    <definedName name="HACOL60601804012138A20" localSheetId="0">[1]Ana!$L$965</definedName>
    <definedName name="HACOL60601804012138A30PORT" localSheetId="0">[1]Ana!$L$970</definedName>
    <definedName name="HACOL60601806012138A30" localSheetId="0">[1]Ana!$L$976</definedName>
    <definedName name="HACOL60601806012138A30PORT" localSheetId="0">[1]Ana!$L$981</definedName>
    <definedName name="HACOL60602104012138A20" localSheetId="0">[1]Ana!$L$1137</definedName>
    <definedName name="HACOL60602104012138A30PORT" localSheetId="0">[1]Ana!$L$1142</definedName>
    <definedName name="HACOL60602106012138A30" localSheetId="0">[1]Ana!$L$1148</definedName>
    <definedName name="HACOL60602106012138A30PORT" localSheetId="0">[1]Ana!$L$1153</definedName>
    <definedName name="HACOL60602404012138A20" localSheetId="0">[1]Ana!$L$1309</definedName>
    <definedName name="HACOL60602404012138A20PORT" localSheetId="0">[1]Ana!$L$1314</definedName>
    <definedName name="HACOL60602406012138A20" localSheetId="0">[1]Ana!$L$1320</definedName>
    <definedName name="HACOL60602406012138A20PORT" localSheetId="0">[1]Ana!$L$1325</definedName>
    <definedName name="HACOLA15201244043814A20LIG" localSheetId="0">[1]Ana!$L$1367</definedName>
    <definedName name="HACOLA15201244043814A20MANO" localSheetId="0">[1]Ana!$L$1379</definedName>
    <definedName name="HACOLA20201244043814A20LIG" localSheetId="0">[1]Ana!$L$1415</definedName>
    <definedName name="HACOLA20201244043814A20MANO" localSheetId="0">[1]Ana!$L$1427</definedName>
    <definedName name="HADIN10201244023821214A20LIG" localSheetId="0">[1]Ana!$L$1455</definedName>
    <definedName name="HADIN10201244023821214A20MANO" localSheetId="0">[1]Ana!$L$1468</definedName>
    <definedName name="HADIN10201804023821214A20" localSheetId="0">[1]Ana!$L$1557</definedName>
    <definedName name="HADIN15201244023831214A20LIG" localSheetId="0">[1]Ana!$L$1481</definedName>
    <definedName name="HADIN15201244023831214A20MANO" localSheetId="0">[1]Ana!$L$1494</definedName>
    <definedName name="HADIN15201804023831214A20" localSheetId="0">[1]Ana!$L$1570</definedName>
    <definedName name="HADIN20201244023831238A20LIG" localSheetId="0">[1]Ana!$L$1532</definedName>
    <definedName name="HADIN20201244023831238A20LIG">[3]Ana!$M$1478</definedName>
    <definedName name="HADIN20201244023831238A20MANO" localSheetId="0">[1]Ana!$L$1544</definedName>
    <definedName name="HADIN20201804023831238A20" localSheetId="0">[1]Ana!$L$1582</definedName>
    <definedName name="HALOS10124403825A25LIGW" localSheetId="0">[1]Ana!$L$1601</definedName>
    <definedName name="HALOS101244038A25LIGW" localSheetId="0">[1]Ana!$L$1597</definedName>
    <definedName name="HALOS10124603825A25LIGW" localSheetId="0">[1]Ana!$L$1611</definedName>
    <definedName name="HALOS101246038A25LIGW" localSheetId="0">[1]Ana!$L$1606</definedName>
    <definedName name="HALOS10180403825A25" localSheetId="0">[1]Ana!$L$1653</definedName>
    <definedName name="HALOS101804038A25" localSheetId="0">[1]Ana!$L$1649</definedName>
    <definedName name="HALOS10180603825A25" localSheetId="0">[1]Ana!$L$1663</definedName>
    <definedName name="HALOS101806038A25" localSheetId="0">[1]Ana!$L$1658</definedName>
    <definedName name="HALOS12124403825A25LIGW" localSheetId="0">[1]Ana!$L$1627</definedName>
    <definedName name="HALOS121244038A25LIGW" localSheetId="0">[1]Ana!$L$1623</definedName>
    <definedName name="HALOS12124603825A25LIGW" localSheetId="0">[1]Ana!$L$1637</definedName>
    <definedName name="HALOS121246038A25LIGW" localSheetId="0">[1]Ana!$L$1632</definedName>
    <definedName name="HALOS12180403825A25" localSheetId="0">[1]Ana!$L$1679</definedName>
    <definedName name="HALOS121804038A25" localSheetId="0">[1]Ana!$L$1675</definedName>
    <definedName name="HALOS121804038A25">[3]Ana!$M$1621</definedName>
    <definedName name="HALOS12180603825A25" localSheetId="0">[1]Ana!$L$1689</definedName>
    <definedName name="HALOS121806038A25" localSheetId="0">[1]Ana!$L$1684</definedName>
    <definedName name="HALOSAQUIEBRASOLCONTRA" localSheetId="6">#REF!</definedName>
    <definedName name="HALOSAQUIEBRASOLCONTRA" localSheetId="0">#REF!</definedName>
    <definedName name="HALOSAQUIEBRASOLCONTRA">#REF!</definedName>
    <definedName name="HALSUPCISCONTRA" localSheetId="6">#REF!</definedName>
    <definedName name="HALSUPCISCONTRA" localSheetId="0">#REF!</definedName>
    <definedName name="HALSUPCISCONTRA">#REF!</definedName>
    <definedName name="HAMRAMPACONTRA" localSheetId="6">#REF!</definedName>
    <definedName name="HAMRAMPACONTRA" localSheetId="0">#REF!</definedName>
    <definedName name="HAMRAMPACONTRA">#REF!</definedName>
    <definedName name="HAMUR08210MALLAD2.31001CAR" localSheetId="6">#REF!</definedName>
    <definedName name="HAMUR08210MALLAD2.31001CAR" localSheetId="0">#REF!</definedName>
    <definedName name="HAMUR08210MALLAD2.31001CAR">#REF!</definedName>
    <definedName name="HAMUR15180403825A20X202CAR" localSheetId="0">[1]Ana!$L$1709</definedName>
    <definedName name="HAMUR151804038A20X202CAR" localSheetId="0">[1]Ana!$L$1705</definedName>
    <definedName name="HAMUR15180603825A20X202CAR" localSheetId="0">[1]Ana!$L$1719</definedName>
    <definedName name="HAMUR151806038A20X202CAR" localSheetId="0">[1]Ana!$L$1714</definedName>
    <definedName name="HAMUR15210403825A20X202CAR" localSheetId="0">[1]Ana!$L$1736</definedName>
    <definedName name="HAMUR152104038A20X202CAR" localSheetId="0">[1]Ana!$L$1732</definedName>
    <definedName name="HAMUR15210603825A20X202CAR" localSheetId="0">[1]Ana!$L$1746</definedName>
    <definedName name="HAMUR152106038A20X202CAR" localSheetId="0">[1]Ana!$L$1741</definedName>
    <definedName name="HAMUR15240403825A20X202CAR" localSheetId="0">[1]Ana!$L$1763</definedName>
    <definedName name="HAMUR152404038A20X202CAR" localSheetId="0">[1]Ana!$L$1759</definedName>
    <definedName name="HAMUR15240603825A20X202CAR" localSheetId="0">[1]Ana!$L$1773</definedName>
    <definedName name="HAMUR152406038A20X202CAR" localSheetId="0">[1]Ana!$L$1768</definedName>
    <definedName name="HAMUR20180403825A20X202CAR" localSheetId="0">[1]Ana!$L$1790</definedName>
    <definedName name="HAMUR201804038A20X202CAR" localSheetId="0">[1]Ana!$L$1786</definedName>
    <definedName name="HAMUR20180603825A20X202CAR" localSheetId="0">[1]Ana!$L$1800</definedName>
    <definedName name="HAMUR201806038A20X202CAR" localSheetId="0">[1]Ana!$L$1795</definedName>
    <definedName name="HAMUR20210401225A10X102CAR" localSheetId="0">[1]Ana!$L$1844</definedName>
    <definedName name="HAMUR20210401225A20X202CAR" localSheetId="0">[1]Ana!$L$1871</definedName>
    <definedName name="HAMUR202104012A10X102CAR" localSheetId="0">[1]Ana!$L$1840</definedName>
    <definedName name="HAMUR202104012A20X202CAR" localSheetId="0">[1]Ana!$L$1867</definedName>
    <definedName name="HAMUR20210403825A20X202CAR" localSheetId="0">[1]Ana!$L$1817</definedName>
    <definedName name="HAMUR202104038A20X202CAR" localSheetId="0">[1]Ana!$L$1813</definedName>
    <definedName name="HAMUR20210601225A10X102CAR" localSheetId="0">[1]Ana!$L$1854</definedName>
    <definedName name="HAMUR20210601225A20X202CAR" localSheetId="0">[1]Ana!$L$1881</definedName>
    <definedName name="HAMUR202106012A10X102CAR" localSheetId="0">[1]Ana!$L$1849</definedName>
    <definedName name="HAMUR202106012A20X202CAR" localSheetId="0">[1]Ana!$L$1876</definedName>
    <definedName name="HAMUR20210603825A20X202CAR" localSheetId="0">[1]Ana!$L$1827</definedName>
    <definedName name="HAMUR202106038A20X202CAR" localSheetId="0">[1]Ana!$L$1822</definedName>
    <definedName name="HAMUR20240401225A10X102CAR" localSheetId="0">[1]Ana!$L$1898</definedName>
    <definedName name="HAMUR20240401225A20X202CAR" localSheetId="0">[1]Ana!$L$1925</definedName>
    <definedName name="HAMUR202404012A10X102CAR" localSheetId="0">[1]Ana!$L$1894</definedName>
    <definedName name="HAMUR202404012A20X202CAR" localSheetId="0">[1]Ana!$L$1921</definedName>
    <definedName name="HAMUR20240601225A10X102CAR" localSheetId="0">[1]Ana!$L$1908</definedName>
    <definedName name="HAMUR20240601225A20X202CAR" localSheetId="0">[1]Ana!$L$1935</definedName>
    <definedName name="HAMUR202406012A10X102CAR" localSheetId="0">[1]Ana!$L$1903</definedName>
    <definedName name="HAMUR202406012A20X202CAR" localSheetId="0">[1]Ana!$L$1930</definedName>
    <definedName name="HAPEDCONTRA" localSheetId="6">#REF!</definedName>
    <definedName name="HAPEDCONTRA" localSheetId="0">#REF!</definedName>
    <definedName name="HAPEDCONTRA">#REF!</definedName>
    <definedName name="HAPISO38A20AD124ESP10" localSheetId="0">[1]Ana!$L$5117</definedName>
    <definedName name="HAPISO38A20AD124ESP12" localSheetId="0">[1]Ana!$L$5126</definedName>
    <definedName name="HAPISO38A20AD124ESP15" localSheetId="0">[1]Ana!$L$5135</definedName>
    <definedName name="HAPISO38A20AD124ESP15">[3]Ana!$M$5100</definedName>
    <definedName name="HAPISO38A20AD124ESP20" localSheetId="0">[1]Ana!$L$5144</definedName>
    <definedName name="HAPISO38A20AD140ESP10" localSheetId="0">[1]Ana!$L$5153</definedName>
    <definedName name="HAPISO38A20AD140ESP12" localSheetId="0">[1]Ana!$L$5162</definedName>
    <definedName name="HAPISO38A20AD140ESP15" localSheetId="0">[1]Ana!$L$5171</definedName>
    <definedName name="HAPISO38A20AD140ESP20" localSheetId="0">[1]Ana!$L$5180</definedName>
    <definedName name="HAPISO38A20AD180ESP10" localSheetId="0">[1]Ana!$L$5189</definedName>
    <definedName name="HAPISO38A20AD180ESP12" localSheetId="0">[1]Ana!$L$5198</definedName>
    <definedName name="HAPISO38A20AD180ESP15" localSheetId="0">[1]Ana!$L$5207</definedName>
    <definedName name="HAPISO38A20AD180ESP20" localSheetId="0">[1]Ana!$L$5216</definedName>
    <definedName name="HAPISO38A20AD210ESP10" localSheetId="0">[1]Ana!$L$5225</definedName>
    <definedName name="HAPISO38A20AD210ESP12" localSheetId="0">[1]Ana!$L$5234</definedName>
    <definedName name="HAPISO38A20AD210ESP15" localSheetId="0">[1]Ana!$L$5243</definedName>
    <definedName name="HAPISO38A20AD210ESP20" localSheetId="0">[1]Ana!$L$5252</definedName>
    <definedName name="HARAMPA12124401225A2038A20LIGWIN" localSheetId="0">[1]Ana!$L$1955</definedName>
    <definedName name="HARAMPA12124401225A2038A20MANO" localSheetId="0">[1]Ana!$L$1974</definedName>
    <definedName name="HARAMPA121244012A2038A20LIGWIN" localSheetId="0">[1]Ana!$L$1950</definedName>
    <definedName name="HARAMPA121244012A2038A20MANO" localSheetId="0">[1]Ana!$L$1969</definedName>
    <definedName name="HARAMPA121244012A2038A20MANO">[3]Ana!$M$1915</definedName>
    <definedName name="HARAMPA12124601225A2038A20LIGWIN" localSheetId="0">[1]Ana!$L$1965</definedName>
    <definedName name="HARAMPA12124601225A2038A20MANO" localSheetId="0">[1]Ana!$L$1985</definedName>
    <definedName name="HARAMPA121246012A2038A20LIGWIN" localSheetId="0">[1]Ana!$L$1960</definedName>
    <definedName name="HARAMPA121246012A2038A20MANO" localSheetId="0">[1]Ana!$L$1980</definedName>
    <definedName name="HARAMPA12180401225A2038A20" localSheetId="0">[1]Ana!$L$2002</definedName>
    <definedName name="HARAMPA121804012A2038A20" localSheetId="0">[1]Ana!$L$1997</definedName>
    <definedName name="HARAMPA12180601225A2038A20" localSheetId="0">[1]Ana!$L$2012</definedName>
    <definedName name="HARAMPA121806012A2038A20" localSheetId="0">[1]Ana!$L$2007</definedName>
    <definedName name="HARAMPA12210401225A2038A20" localSheetId="0">[1]Ana!$L$2029</definedName>
    <definedName name="HARAMPA122104012A2038A20" localSheetId="0">[1]Ana!$L$2024</definedName>
    <definedName name="HARAMPA12210601225A2038A20" localSheetId="0">[1]Ana!$L$2039</definedName>
    <definedName name="HARAMPA122106012A2038A20" localSheetId="0">[1]Ana!$L$2034</definedName>
    <definedName name="HARAMPA12240401225A2038A20" localSheetId="0">[1]Ana!$L$2056</definedName>
    <definedName name="HARAMPA122404012A2038A20" localSheetId="0">[1]Ana!$L$2051</definedName>
    <definedName name="HARAMPA12240601225A2038A20" localSheetId="0">[1]Ana!$L$2066</definedName>
    <definedName name="HARAMPA122406012A2038A20" localSheetId="0">[1]Ana!$L$2061</definedName>
    <definedName name="HARAMPAESCCONTRA" localSheetId="6">#REF!</definedName>
    <definedName name="HARAMPAESCCONTRA" localSheetId="0">#REF!</definedName>
    <definedName name="HARAMPAESCCONTRA">#REF!</definedName>
    <definedName name="HARAMPAVEHCONTRA" localSheetId="6">#REF!</definedName>
    <definedName name="HARAMPAVEHCONTRA" localSheetId="0">#REF!</definedName>
    <definedName name="HARAMPAVEHCONTRA">#REF!</definedName>
    <definedName name="HAVA15201244043814A20LIG" localSheetId="0">[1]Ana!$L$2591</definedName>
    <definedName name="HAVA15201244043814A20MANO" localSheetId="0">[1]Ana!$L$2603</definedName>
    <definedName name="HAVA15201244043814A20MANO">[3]Ana!$M$2536</definedName>
    <definedName name="HAVA20201244043838A20LIG" localSheetId="0">[1]Ana!$L$2614</definedName>
    <definedName name="HAVA20201244043838A20MANO" localSheetId="0">[1]Ana!$L$2625</definedName>
    <definedName name="HAVA20201244043838A20MANO">[3]Ana!$M$2558</definedName>
    <definedName name="HAVABARANDACONTRA" localSheetId="6">#REF!</definedName>
    <definedName name="HAVABARANDACONTRA" localSheetId="0">#REF!</definedName>
    <definedName name="HAVABARANDACONTRA">#REF!</definedName>
    <definedName name="HAVACORONACISTCONTRA" localSheetId="6">#REF!</definedName>
    <definedName name="HAVACORONACISTCONTRA" localSheetId="0">#REF!</definedName>
    <definedName name="HAVACORONACISTCONTRA">#REF!</definedName>
    <definedName name="HAVIGA20401244033423838A20LIGWIN" localSheetId="0">[1]Ana!$L$2082</definedName>
    <definedName name="HAVIGA20401246033423838A20LIGWIN" localSheetId="0">[1]Ana!$L$2088</definedName>
    <definedName name="HAVIGA20401804033423838A20" localSheetId="0">[1]Ana!$L$2165</definedName>
    <definedName name="HAVIGA20401804033423838A20POR" localSheetId="0">[1]Ana!$L$2170</definedName>
    <definedName name="HAVIGA20401806033423838A20" localSheetId="0">[1]Ana!$L$2176</definedName>
    <definedName name="HAVIGA20401806033423838A20POR" localSheetId="0">[1]Ana!$L$2182</definedName>
    <definedName name="HAVIGA20402104033423838A20" localSheetId="0">[1]Ana!$L$2302</definedName>
    <definedName name="HAVIGA20402104033423838A20POR" localSheetId="0">[1]Ana!$L$2307</definedName>
    <definedName name="HAVIGA20402106033423838A20" localSheetId="0">[1]Ana!$L$2313</definedName>
    <definedName name="HAVIGA20402106033423838A20POR" localSheetId="0">[1]Ana!$L$2319</definedName>
    <definedName name="HAVIGA20402404033423838A20" localSheetId="0">[1]Ana!$L$2452</definedName>
    <definedName name="HAVIGA20402404033423838A20POR" localSheetId="0">[1]Ana!$L$2457</definedName>
    <definedName name="HAVIGA20402406033423838A20" localSheetId="0">[1]Ana!$L$2463</definedName>
    <definedName name="HAVIGA20402406033423838A20POR" localSheetId="0">[1]Ana!$L$2469</definedName>
    <definedName name="HAVIGA25501244043423838A25LIGWIN" localSheetId="0">[1]Ana!$L$2101</definedName>
    <definedName name="HAVIGA25501246043423838A25LIGWIN" localSheetId="0">[1]Ana!$L$2107</definedName>
    <definedName name="HAVIGA25501804043423838A25" localSheetId="0">[1]Ana!$L$2195</definedName>
    <definedName name="HAVIGA25501804043423838A25POR" localSheetId="0">[1]Ana!$L$2200</definedName>
    <definedName name="HAVIGA25501806043423838A25" localSheetId="0">[1]Ana!$L$2206</definedName>
    <definedName name="HAVIGA25501806043423838A25POR" localSheetId="0">[1]Ana!$L$2212</definedName>
    <definedName name="HAVIGA25502104043423838A25" localSheetId="0">[1]Ana!$L$2332</definedName>
    <definedName name="HAVIGA25502104043423838A25POR" localSheetId="0">[1]Ana!$L$2337</definedName>
    <definedName name="HAVIGA25502106043423838A25" localSheetId="0">[1]Ana!$L$2343</definedName>
    <definedName name="HAVIGA25502106043423838A25POR" localSheetId="0">[1]Ana!$L$2349</definedName>
    <definedName name="HAVIGA25502404043423838A25" localSheetId="0">[1]Ana!$L$2482</definedName>
    <definedName name="HAVIGA25502404043423838A25POR" localSheetId="0">[1]Ana!$L$2487</definedName>
    <definedName name="HAVIGA25502406043423838A25" localSheetId="0">[1]Ana!$L$2493</definedName>
    <definedName name="HAVIGA25502406043423838A25POR" localSheetId="0">[1]Ana!$L$2499</definedName>
    <definedName name="HAVIGA3060124404123838A25LIGWIN" localSheetId="0">[1]Ana!$L$2120</definedName>
    <definedName name="HAVIGA3060124604123838A25LIGWIN" localSheetId="0">[1]Ana!$L$2126</definedName>
    <definedName name="HAVIGA3060180404123838A25" localSheetId="0">[1]Ana!$L$2225</definedName>
    <definedName name="HAVIGA3060180404123838A25POR" localSheetId="0">[1]Ana!$L$2230</definedName>
    <definedName name="HAVIGA3060180604123838A25" localSheetId="0">[1]Ana!$L$2236</definedName>
    <definedName name="HAVIGA3060180604123838A25POR" localSheetId="0">[1]Ana!$L$2242</definedName>
    <definedName name="HAVIGA3060210404123838A25" localSheetId="0">[1]Ana!$L$2362</definedName>
    <definedName name="HAVIGA3060210404123838A25POR" localSheetId="0">[1]Ana!$L$2367</definedName>
    <definedName name="HAVIGA3060210604123838A25" localSheetId="0">[1]Ana!$L$2373</definedName>
    <definedName name="HAVIGA3060210604123838A25POR" localSheetId="0">[1]Ana!$L$2379</definedName>
    <definedName name="HAVIGA3060240404123838A25" localSheetId="0">[1]Ana!$L$2512</definedName>
    <definedName name="HAVIGA3060240404123838A25POR" localSheetId="0">[1]Ana!$L$2517</definedName>
    <definedName name="HAVIGA3060240604123838A25" localSheetId="0">[1]Ana!$L$2523</definedName>
    <definedName name="HAVIGA3060240604123838A25POR" localSheetId="0">[1]Ana!$L$2529</definedName>
    <definedName name="HAVIGA408012440512122538A25LIGWIN" localSheetId="0">[1]Ana!$L$2145</definedName>
    <definedName name="HAVIGA4080124405121238A25LIGWIN" localSheetId="0">[1]Ana!$L$2140</definedName>
    <definedName name="HAVIGA4080124605121238A25LIGWIN" localSheetId="0">[1]Ana!$L$2152</definedName>
    <definedName name="HAVIGA4080180405121238A25" localSheetId="0">[1]Ana!$L$2256</definedName>
    <definedName name="HAVIGA4080180405121238A25POR" localSheetId="0">[1]Ana!$L$2261</definedName>
    <definedName name="HAVIGA408018060512122538A25" localSheetId="0">[1]Ana!$L$2282</definedName>
    <definedName name="HAVIGA408018060512122538A25POR" localSheetId="0">[1]Ana!$L$2289</definedName>
    <definedName name="HAVIGA4080180605121238A25" localSheetId="0">[1]Ana!$L$2268</definedName>
    <definedName name="HAVIGA4080180605121238A25POR" localSheetId="0">[1]Ana!$L$2275</definedName>
    <definedName name="HAVIGA4080210405121238A25" localSheetId="0">[1]Ana!$L$2393</definedName>
    <definedName name="HAVIGA4080210405121238A25por" localSheetId="0">[1]Ana!$L$2398</definedName>
    <definedName name="HAVIGA408021060512122538A25" localSheetId="0">[1]Ana!$L$2419</definedName>
    <definedName name="HAVIGA408021060512122538A25POR" localSheetId="0">[1]Ana!$L$2426</definedName>
    <definedName name="HAVIGA4080210605121238A25" localSheetId="0">[1]Ana!$L$2405</definedName>
    <definedName name="HAVIGA4080210605121238A25POR" localSheetId="0">[1]Ana!$L$2412</definedName>
    <definedName name="HAVIGA4080240405121238A25" localSheetId="0">[1]Ana!$L$2543</definedName>
    <definedName name="HAVIGA4080240405121238A25POR" localSheetId="0">[1]Ana!$L$2548</definedName>
    <definedName name="HAVIGA408024060512122538A25" localSheetId="0">[1]Ana!$L$2569</definedName>
    <definedName name="HAVIGA408024060512122538A25PORT" localSheetId="0">[1]Ana!$L$2576</definedName>
    <definedName name="HAVIGA4080240605121238A25" localSheetId="0">[1]Ana!$L$2555</definedName>
    <definedName name="HAVIGA4080240605121238A25POR" localSheetId="0">[1]Ana!$L$2562</definedName>
    <definedName name="HAVPORTCISTCONTRA" localSheetId="6">#REF!</definedName>
    <definedName name="HAVPORTCISTCONTRA" localSheetId="0">#REF!</definedName>
    <definedName name="HAVPORTCISTCONTRA">#REF!</definedName>
    <definedName name="HAVRIOSTPONDCONTRA" localSheetId="6">#REF!</definedName>
    <definedName name="HAVRIOSTPONDCONTRA" localSheetId="0">#REF!</definedName>
    <definedName name="HAVRIOSTPONDCONTRA">#REF!</definedName>
    <definedName name="HAVUE4010124402383825A20LIGWIN" localSheetId="0">[1]Ana!$L$2644</definedName>
    <definedName name="HAVUE40101244023838A20LIGWIN" localSheetId="0">[1]Ana!$L$2640</definedName>
    <definedName name="HAVUE4010124602383825A20LIGWIN" localSheetId="0">[1]Ana!$L$2654</definedName>
    <definedName name="HAVUE40101246023838A20LIGWIN" localSheetId="0">[1]Ana!$L$2649</definedName>
    <definedName name="HAVUE4010180402383825A20" localSheetId="0">[1]Ana!$L$2696</definedName>
    <definedName name="HAVUE40101804023838A20" localSheetId="0">[1]Ana!$L$2692</definedName>
    <definedName name="HAVUE40101806023838A20" localSheetId="0">[1]Ana!$L$2701</definedName>
    <definedName name="HAVUE4012124402383825A20LIGWIN" localSheetId="0">[1]Ana!$L$2670</definedName>
    <definedName name="HAVUE40121244023838A20LIGWIN" localSheetId="0">[1]Ana!$L$2666</definedName>
    <definedName name="HAVUE4012124602383825A20LIGWIN" localSheetId="0">[1]Ana!$L$2680</definedName>
    <definedName name="HAVUE40121246023838A20LIGWIN" localSheetId="0">[1]Ana!$L$2675</definedName>
    <definedName name="HAVUE4012180402383825A20" localSheetId="0">[1]Ana!$L$2722</definedName>
    <definedName name="HAVUE40121804023838A20" localSheetId="0">[1]Ana!$L$2718</definedName>
    <definedName name="HAVUE4012180602383825A20" localSheetId="0">[1]Ana!$L$2732</definedName>
    <definedName name="HAVUE40121806023838A20" localSheetId="0">[1]Ana!$L$2727</definedName>
    <definedName name="HAVUELO10CONTRA" localSheetId="6">#REF!</definedName>
    <definedName name="HAVUELO10CONTRA" localSheetId="0">#REF!</definedName>
    <definedName name="HAVUELO10CONTRA">#REF!</definedName>
    <definedName name="HAZCH301354081225C634ADLIG" localSheetId="0">[1]Ana!$L$2755</definedName>
    <definedName name="HAZCH3013540812C634ADLIG" localSheetId="0">[1]Ana!$L$2748</definedName>
    <definedName name="HAZCH301356081225C634ADLIG" localSheetId="0">[1]Ana!$L$2769</definedName>
    <definedName name="HAZCH3013560812C634ADLIG" localSheetId="0">[1]Ana!$L$2762</definedName>
    <definedName name="HAZCH301404081225C634AD" localSheetId="0">[1]Ana!$L$2811</definedName>
    <definedName name="HAZCH3014040812C634AD" localSheetId="0">[1]Ana!$L$2804</definedName>
    <definedName name="HAZCH301406081225C634AD" localSheetId="0">[1]Ana!$L$2825</definedName>
    <definedName name="HAZCH3014060812C634AD" localSheetId="0">[1]Ana!$L$2818</definedName>
    <definedName name="HAZCH301804081225C634AD" localSheetId="0">[1]Ana!$L$2867</definedName>
    <definedName name="HAZCH3018040812C634AD" localSheetId="0">[1]Ana!$L$2860</definedName>
    <definedName name="HAZCH301806081225C634AD" localSheetId="0">[1]Ana!$L$2881</definedName>
    <definedName name="HAZCH3018060812C634AD" localSheetId="0">[1]Ana!$L$2874</definedName>
    <definedName name="HAZCH302104081225C634AD" localSheetId="0">[1]Ana!$L$2923</definedName>
    <definedName name="HAZCH3021040812C634AD" localSheetId="0">[1]Ana!$L$2916</definedName>
    <definedName name="HAZCH302106081225C634AD" localSheetId="0">[1]Ana!$L$2937</definedName>
    <definedName name="HAZCH3021060812C634AD" localSheetId="0">[1]Ana!$L$2930</definedName>
    <definedName name="HAZCH302404081225C634AD" localSheetId="0">[1]Ana!$L$2979</definedName>
    <definedName name="HAZCH3024040812C634AD" localSheetId="0">[1]Ana!$L$2972</definedName>
    <definedName name="HAZCH302406081225C634AD" localSheetId="0">[1]Ana!$L$2993</definedName>
    <definedName name="HAZCH3024060812C634AD" localSheetId="0">[1]Ana!$L$2986</definedName>
    <definedName name="HAZCH35180401225A15ADC18342CAM" localSheetId="0">[1]Ana!$L$3038</definedName>
    <definedName name="HAZCH351804012A15ADC18342CAM" localSheetId="0">[1]Ana!$L$3031</definedName>
    <definedName name="HAZCH35180601225A15ADC18342CAM" localSheetId="0">[1]Ana!$L$3052</definedName>
    <definedName name="HAZCH351806012A15ADC18342CAM" localSheetId="0">[1]Ana!$L$3045</definedName>
    <definedName name="HAZCH35210401225A15ADC18342CAM" localSheetId="0">[1]Ana!$L$3066</definedName>
    <definedName name="HAZCH352104012A15ADC18342CAM" localSheetId="0">[1]Ana!$L$3059</definedName>
    <definedName name="HAZCH35210601225A15ADC18342CAM" localSheetId="0">[1]Ana!$L$3080</definedName>
    <definedName name="HAZCH352106012A15ADC18342CAM" localSheetId="0">[1]Ana!$L$3073</definedName>
    <definedName name="HAZCH35240401225A15ADC18342CAM" localSheetId="0">[1]Ana!$L$3094</definedName>
    <definedName name="HAZCH352404012A15ADC18342CAM" localSheetId="0">[1]Ana!$L$3087</definedName>
    <definedName name="HAZCH35240601225A15ADC18342CAM" localSheetId="0">[1]Ana!$L$3108</definedName>
    <definedName name="HAZCH352406012A15ADC18342CAM" localSheetId="0">[1]Ana!$L$3101</definedName>
    <definedName name="HAZCH4013540812C634ADLIG" localSheetId="0">[1]Ana!$L$2776</definedName>
    <definedName name="HAZCH4013560812C634ADLIG" localSheetId="0">[1]Ana!$L$2783</definedName>
    <definedName name="HAZCH401404081225C634AD" localSheetId="0">[1]Ana!$L$2839</definedName>
    <definedName name="HAZCH4014040812C634AD" localSheetId="0">[1]Ana!$L$2832</definedName>
    <definedName name="HAZCH401804081225C634AD" localSheetId="0">[1]Ana!$L$2895</definedName>
    <definedName name="HAZCH4018040812C634AD" localSheetId="0">[1]Ana!$L$2888</definedName>
    <definedName name="HAZCH402104081225C634AD" localSheetId="0">[1]Ana!$L$2951</definedName>
    <definedName name="HAZCH4021040812C634AD" localSheetId="0">[1]Ana!$L$2944</definedName>
    <definedName name="HAZCH402404081225C634AD" localSheetId="0">[1]Ana!$L$3007</definedName>
    <definedName name="HAZCH4024040812C634AD" localSheetId="0">[1]Ana!$L$3000</definedName>
    <definedName name="HAZCH402406081225C634AD" localSheetId="0">[1]Ana!$L$3021</definedName>
    <definedName name="HAZCH4024060812C634AD" localSheetId="0">[1]Ana!$L$3014</definedName>
    <definedName name="HAZCH601356081225C634ADLIG" localSheetId="0">[1]Ana!$L$2797</definedName>
    <definedName name="HAZCH6013560812C634ADLIG" localSheetId="0">[1]Ana!$L$2790</definedName>
    <definedName name="HAZCH601406081225C634AD" localSheetId="0">[1]Ana!$L$2853</definedName>
    <definedName name="HAZCH6014060812C634AD" localSheetId="0">[1]Ana!$L$2846</definedName>
    <definedName name="HAZCH601806081225C634AD" localSheetId="0">[1]Ana!$L$2909</definedName>
    <definedName name="HAZCH6018060812C634AD" localSheetId="0">[1]Ana!$L$2902</definedName>
    <definedName name="HAZCH602106081225C634AD" localSheetId="0">[1]Ana!$L$2965</definedName>
    <definedName name="HAZCH6021060812C634AD" localSheetId="0">[1]Ana!$L$2958</definedName>
    <definedName name="HAZCPONDCONTRA" localSheetId="6">#REF!</definedName>
    <definedName name="HAZCPONDCONTRA" localSheetId="0">#REF!</definedName>
    <definedName name="HAZCPONDCONTRA">#REF!</definedName>
    <definedName name="HAZFOSOCONTRA" localSheetId="6">#REF!</definedName>
    <definedName name="HAZFOSOCONTRA" localSheetId="0">#REF!</definedName>
    <definedName name="HAZFOSOCONTRA">#REF!</definedName>
    <definedName name="HAZM201512423838A30LIG" localSheetId="0">[1]Ana!$L$3138</definedName>
    <definedName name="HAZM301512423838A30LIG" localSheetId="0">[1]Ana!$L$3144</definedName>
    <definedName name="HAZM302012423838A25LIG" localSheetId="0">[1]Ana!$L$3156</definedName>
    <definedName name="HAZM302013523838A25LIG" localSheetId="0">[1]Ana!$L$3117</definedName>
    <definedName name="HAZM302014023838A25" localSheetId="0">[1]Ana!$L$3177</definedName>
    <definedName name="HAZM30X20180" localSheetId="0">[1]Ana!$L$3198</definedName>
    <definedName name="HAZM401512423838A30LIG" localSheetId="0">[1]Ana!$L$3150</definedName>
    <definedName name="HAZM452012433838A25LIG" localSheetId="0">[1]Ana!$L$3161</definedName>
    <definedName name="HAZM452013533838A25LIG" localSheetId="0">[1]Ana!$L$3122</definedName>
    <definedName name="HAZM452014033838A25" localSheetId="0">[1]Ana!$L$3182</definedName>
    <definedName name="HAZM452018033838A25" localSheetId="0">[1]Ana!$L$3203</definedName>
    <definedName name="HAZM452512433838A25LIG" localSheetId="0">[1]Ana!$L$3166</definedName>
    <definedName name="HAZM452513533838A25LIG" localSheetId="0">[1]Ana!$L$3127</definedName>
    <definedName name="HAZM452514033838A25" localSheetId="0">[1]Ana!$L$3187</definedName>
    <definedName name="HAZM452521033838A25" localSheetId="0">[1]Ana!$L$3218</definedName>
    <definedName name="HAZM452524033838A25" localSheetId="0">[1]Ana!$L$3228</definedName>
    <definedName name="HAZM45X25180" localSheetId="0">[1]Ana!$L$3208</definedName>
    <definedName name="HAZM602512433838A25LIG" localSheetId="0">[1]Ana!$L$3171</definedName>
    <definedName name="HAZM602513533838A25LIG" localSheetId="0">[1]Ana!$L$3132</definedName>
    <definedName name="HAZM602514033838A25" localSheetId="0">[1]Ana!$L$3192</definedName>
    <definedName name="HAZM602521033838A25" localSheetId="0">[1]Ana!$L$3223</definedName>
    <definedName name="HAZM602524033838A25" localSheetId="0">[1]Ana!$L$3233</definedName>
    <definedName name="HAZM60X25180" localSheetId="0">[1]Ana!$L$3213</definedName>
    <definedName name="HAZM8TIPVIGACISTCONTRA" localSheetId="6">#REF!</definedName>
    <definedName name="HAZM8TIPVIGACISTCONTRA" localSheetId="0">#REF!</definedName>
    <definedName name="HAZM8TIPVIGACISTCONTRA">#REF!</definedName>
    <definedName name="HAZMRAMPACONTRA" localSheetId="6">#REF!</definedName>
    <definedName name="HAZMRAMPACONTRA" localSheetId="0">#REF!</definedName>
    <definedName name="HAZMRAMPACONTRA">#REF!</definedName>
    <definedName name="hligadora" localSheetId="0">[1]Ana!$L$3349</definedName>
    <definedName name="HORM124" localSheetId="0">[1]Ana!$L$3405</definedName>
    <definedName name="HORM124LIGADORA" localSheetId="0">[1]Ana!$L$3412</definedName>
    <definedName name="HORM124LIGAWINCHE" localSheetId="0">[1]Ana!$L$3419</definedName>
    <definedName name="HORM135" localSheetId="0">[1]Ana!$L$3384</definedName>
    <definedName name="HORM135LIGADORA" localSheetId="0">[1]Ana!$L$3391</definedName>
    <definedName name="HORM135LIGAWINCHE" localSheetId="0">[1]Ana!$L$3398</definedName>
    <definedName name="HORM140" localSheetId="0">[1]Ana!$L$3241</definedName>
    <definedName name="HORM160" localSheetId="0">[1]Ana!$L$3246</definedName>
    <definedName name="HORM180" localSheetId="0">[1]Ana!$L$3251</definedName>
    <definedName name="HORM210" localSheetId="0">[1]Ana!$L$3256</definedName>
    <definedName name="HORM240" localSheetId="0">[1]Ana!$L$3261</definedName>
    <definedName name="HORM250" localSheetId="0">[1]Ana!$L$3266</definedName>
    <definedName name="HORM260" localSheetId="0">[1]Ana!$L$3271</definedName>
    <definedName name="HORM280" localSheetId="0">[1]Ana!$L$3276</definedName>
    <definedName name="HORM300" localSheetId="0">[1]Ana!$L$3281</definedName>
    <definedName name="HORM315" localSheetId="0">[1]Ana!$L$3286</definedName>
    <definedName name="HORM315">[2]Ana!$L$3286</definedName>
    <definedName name="HORM350" localSheetId="0">[1]Ana!$L$3291</definedName>
    <definedName name="HORM400" localSheetId="0">[1]Ana!$L$3296</definedName>
    <definedName name="HORMFROT" localSheetId="0">[1]Ana!$L$5260</definedName>
    <definedName name="hwinche" localSheetId="0">[1]Ana!$L$3356</definedName>
    <definedName name="IMPEST" localSheetId="0">[1]Ana!$L$3428</definedName>
    <definedName name="INOALARBCO" localSheetId="0">[1]Ana!$L$4163</definedName>
    <definedName name="INOALARBCOPVC" localSheetId="6">#REF!</definedName>
    <definedName name="INOALARBCOPVC" localSheetId="0">#REF!</definedName>
    <definedName name="INOALARBCOPVC">#REF!</definedName>
    <definedName name="INOALARCOL" localSheetId="0">[1]Ana!$L$4189</definedName>
    <definedName name="INOALARCOLPVC" localSheetId="6">#REF!</definedName>
    <definedName name="INOALARCOLPVC" localSheetId="0">#REF!</definedName>
    <definedName name="INOALARCOLPVC">#REF!</definedName>
    <definedName name="INOBCOSER" localSheetId="0">[1]Ana!$L$4137</definedName>
    <definedName name="INOBCOSTAPASERPVC" localSheetId="6">#REF!</definedName>
    <definedName name="INOBCOSTAPASERPVC" localSheetId="0">#REF!</definedName>
    <definedName name="INOBCOSTAPASERPVC">#REF!</definedName>
    <definedName name="INOBCOTAPASER" localSheetId="0">[1]Ana!$L$4111</definedName>
    <definedName name="INOBCOTAPASERPVC" localSheetId="6">#REF!</definedName>
    <definedName name="INOBCOTAPASERPVC" localSheetId="0">#REF!</definedName>
    <definedName name="INOBCOTAPASERPVC">#REF!</definedName>
    <definedName name="INOFLUXBCOCONTRA" localSheetId="6">#REF!</definedName>
    <definedName name="INOFLUXBCOCONTRA" localSheetId="0">#REF!</definedName>
    <definedName name="INOFLUXBCOCONTRA">#REF!</definedName>
    <definedName name="INTERRUPTOR3VIAS" localSheetId="0">[1]Ana!$L$3658</definedName>
    <definedName name="INTERRUPTOR4VIAS" localSheetId="0">[1]Ana!$L$3669</definedName>
    <definedName name="INTERRUPTORDOBLE" localSheetId="0">[1]Ana!$L$3636</definedName>
    <definedName name="INTERRUPTORPILOTO" localSheetId="0">[1]Ana!$L$3680</definedName>
    <definedName name="INTERRUPTORSENCILLO" localSheetId="0">[1]Ana!$L$3625</definedName>
    <definedName name="INTERRUPTORTRIPLE" localSheetId="0">[1]Ana!$L$3647</definedName>
    <definedName name="ITBIS" localSheetId="0">[1]Ins!$E$4</definedName>
    <definedName name="ITBIS">[3]Ins!$E$4</definedName>
    <definedName name="JAGS" localSheetId="6">#REF!</definedName>
    <definedName name="JAGS" localSheetId="0">#REF!</definedName>
    <definedName name="JAGS">#REF!</definedName>
    <definedName name="LABORATORIO" localSheetId="0">[1]Ins!$C$650</definedName>
    <definedName name="LABORATORIO">[3]Ins!$C$779</definedName>
    <definedName name="LARRASTRE4SDR41MCONTRA" localSheetId="6">#REF!</definedName>
    <definedName name="LARRASTRE4SDR41MCONTRA" localSheetId="0">#REF!</definedName>
    <definedName name="LARRASTRE4SDR41MCONTRA">#REF!</definedName>
    <definedName name="LARRASTRE6SDR41MCONTRA" localSheetId="6">#REF!</definedName>
    <definedName name="LARRASTRE6SDR41MCONTRA" localSheetId="0">#REF!</definedName>
    <definedName name="LARRASTRE6SDR41MCONTRA">#REF!</definedName>
    <definedName name="LAVGRA1BCO" localSheetId="0">[1]Ana!$L$4238</definedName>
    <definedName name="LAVGRA1BCOPVC" localSheetId="6">#REF!</definedName>
    <definedName name="LAVGRA1BCOPVC" localSheetId="0">#REF!</definedName>
    <definedName name="LAVGRA1BCOPVC">#REF!</definedName>
    <definedName name="LAVGRA2BCO" localSheetId="0">[1]Ana!$L$4213</definedName>
    <definedName name="LAVGRA2BCOPVC" localSheetId="6">#REF!</definedName>
    <definedName name="LAVGRA2BCOPVC" localSheetId="0">#REF!</definedName>
    <definedName name="LAVGRA2BCOPVC">#REF!</definedName>
    <definedName name="LAVM1917BCO" localSheetId="0">[1]Ana!$L$4264</definedName>
    <definedName name="LAVM1917BCOPVC" localSheetId="6">#REF!</definedName>
    <definedName name="LAVM1917BCOPVC" localSheetId="0">#REF!</definedName>
    <definedName name="LAVM1917BCOPVC">#REF!</definedName>
    <definedName name="LAVM1917COL" localSheetId="0">[1]Ana!$L$4290</definedName>
    <definedName name="LAVM1917COLPVC" localSheetId="6">#REF!</definedName>
    <definedName name="LAVM1917COLPVC" localSheetId="0">#REF!</definedName>
    <definedName name="LAVM1917COLPVC">#REF!</definedName>
    <definedName name="LAVMOVABCO" localSheetId="0">[1]Ana!$L$4317</definedName>
    <definedName name="LAVMOVABCOPVC" localSheetId="6">#REF!</definedName>
    <definedName name="LAVMOVABCOPVC" localSheetId="0">#REF!</definedName>
    <definedName name="LAVMOVABCOPVC">#REF!</definedName>
    <definedName name="LAVMOVACOL" localSheetId="0">[1]Ana!$L$4344</definedName>
    <definedName name="LAVMOVACOLPVC" localSheetId="6">#REF!</definedName>
    <definedName name="LAVMOVACOLPVC" localSheetId="0">#REF!</definedName>
    <definedName name="LAVMOVACOLPVC">#REF!</definedName>
    <definedName name="LAVMSERBCO" localSheetId="0">[1]Ana!$L$4370</definedName>
    <definedName name="LAVMSERBCOPVC" localSheetId="6">#REF!</definedName>
    <definedName name="LAVMSERBCOPVC" localSheetId="0">#REF!</definedName>
    <definedName name="LAVMSERBCOPVC">#REF!</definedName>
    <definedName name="LAVOVAEMPBCOCONTRA" localSheetId="6">#REF!</definedName>
    <definedName name="LAVOVAEMPBCOCONTRA" localSheetId="0">#REF!</definedName>
    <definedName name="LAVOVAEMPBCOCONTRA">#REF!</definedName>
    <definedName name="LIGALIGA" localSheetId="0">[1]Ana!$L$3365</definedName>
    <definedName name="LIGALIGA">[3]Ana!$M$3287</definedName>
    <definedName name="ligawinche" localSheetId="0">[1]Ana!$L$3377</definedName>
    <definedName name="LOSA12" localSheetId="6">#REF!</definedName>
    <definedName name="LOSA12" localSheetId="0">#REF!</definedName>
    <definedName name="LOSA12">#REF!</definedName>
    <definedName name="LOSA20" localSheetId="6">#REF!</definedName>
    <definedName name="LOSA20" localSheetId="0">#REF!</definedName>
    <definedName name="LOSA20">#REF!</definedName>
    <definedName name="LOSA30" localSheetId="6">#REF!</definedName>
    <definedName name="LOSA30" localSheetId="0">#REF!</definedName>
    <definedName name="LOSA30">#REF!</definedName>
    <definedName name="LUZCENITAL" localSheetId="0">[1]Ana!$L$3614</definedName>
    <definedName name="LUZPARQEMT" localSheetId="6">#REF!</definedName>
    <definedName name="LUZPARQEMT" localSheetId="0">#REF!</definedName>
    <definedName name="LUZPARQEMT">#REF!</definedName>
    <definedName name="MA" localSheetId="0">[1]M.O.!$C$541</definedName>
    <definedName name="MA">[3]M.O.!$D$620</definedName>
    <definedName name="MAESTROCARP" localSheetId="6">[2]Ins!#REF!</definedName>
    <definedName name="MAESTROCARP" localSheetId="0">[1]Ins!#REF!</definedName>
    <definedName name="MAESTROCARP">[2]Ins!#REF!</definedName>
    <definedName name="MALLACICL6HG" localSheetId="0">[1]Ana!$L$4893</definedName>
    <definedName name="MAMPARAPINOTRAT" localSheetId="6">#REF!</definedName>
    <definedName name="MAMPARAPINOTRAT" localSheetId="0">#REF!</definedName>
    <definedName name="MAMPARAPINOTRAT">#REF!</definedName>
    <definedName name="MAMPARAPINOTRATM2" localSheetId="6">#REF!</definedName>
    <definedName name="MAMPARAPINOTRATM2" localSheetId="0">#REF!</definedName>
    <definedName name="MAMPARAPINOTRATM2">#REF!</definedName>
    <definedName name="MEZCALAREPMOR" localSheetId="0">[1]Ana!$L$4925</definedName>
    <definedName name="MEZEMP" localSheetId="0">[1]Ana!$L$4907</definedName>
    <definedName name="MOPISOCERAMICA" localSheetId="6">[2]Ins!#REF!</definedName>
    <definedName name="MOPISOCERAMICA" localSheetId="0">[1]Ins!#REF!</definedName>
    <definedName name="MOPISOCERAMICA">[2]Ins!#REF!</definedName>
    <definedName name="MORTERO110" localSheetId="0">[1]Ana!$L$4931</definedName>
    <definedName name="MORTERO12" localSheetId="0">[1]Ana!$L$4920</definedName>
    <definedName name="MORTERO13" localSheetId="0">[1]Ana!$L$4902</definedName>
    <definedName name="MORTERO14" localSheetId="0">[1]Ana!$L$4913</definedName>
    <definedName name="MURO30" localSheetId="6">#REF!</definedName>
    <definedName name="MURO30" localSheetId="0">#REF!</definedName>
    <definedName name="MURO30">#REF!</definedName>
    <definedName name="MUROBOVEDA12A10X2AD" localSheetId="6">#REF!</definedName>
    <definedName name="MUROBOVEDA12A10X2AD" localSheetId="0">#REF!</definedName>
    <definedName name="MUROBOVEDA12A10X2AD">#REF!</definedName>
    <definedName name="NATILLA" localSheetId="0">[1]Ana!$L$359</definedName>
    <definedName name="ORI12FBCO" localSheetId="0">[1]Ana!$L$4392</definedName>
    <definedName name="ORI12FBCOFLUX" localSheetId="0">[1]Ana!$L$4410</definedName>
    <definedName name="ORI12FBCOFLUXPVC" localSheetId="6">#REF!</definedName>
    <definedName name="ORI12FBCOFLUXPVC" localSheetId="0">#REF!</definedName>
    <definedName name="ORI12FBCOFLUXPVC">#REF!</definedName>
    <definedName name="ORI12FBCOPVC" localSheetId="6">#REF!</definedName>
    <definedName name="ORI12FBCOPVC" localSheetId="0">#REF!</definedName>
    <definedName name="ORI12FBCOPVC">#REF!</definedName>
    <definedName name="ORI12FFLUXBCOCONTRA" localSheetId="6">#REF!</definedName>
    <definedName name="ORI12FFLUXBCOCONTRA" localSheetId="0">#REF!</definedName>
    <definedName name="ORI12FFLUXBCOCONTRA">#REF!</definedName>
    <definedName name="ORI1FBCO" localSheetId="0">[1]Ana!$L$4432</definedName>
    <definedName name="ORI1FBCO">[2]Ana!$L$4432</definedName>
    <definedName name="ORI1FBCOFLUX" localSheetId="0">[1]Ana!$L$4450</definedName>
    <definedName name="ORI1FBCOFLUX">[2]Ana!$L$4450</definedName>
    <definedName name="ORI1FBCOFLUXPVC" localSheetId="6">#REF!</definedName>
    <definedName name="ORI1FBCOFLUXPVC" localSheetId="0">#REF!</definedName>
    <definedName name="ORI1FBCOFLUXPVC">#REF!</definedName>
    <definedName name="ORI1FBCOPVC" localSheetId="6">#REF!</definedName>
    <definedName name="ORI1FBCOPVC" localSheetId="0">#REF!</definedName>
    <definedName name="ORI1FBCOPVC">#REF!</definedName>
    <definedName name="ORIPEQBCO" localSheetId="0">[1]Ana!$L$4472</definedName>
    <definedName name="ORIPEQBCOPVC" localSheetId="6">#REF!</definedName>
    <definedName name="ORIPEQBCOPVC" localSheetId="0">#REF!</definedName>
    <definedName name="ORIPEQBCOPVC">#REF!</definedName>
    <definedName name="otro">[5]Ana!$F$3433</definedName>
    <definedName name="P1XE" localSheetId="6">#REF!</definedName>
    <definedName name="P1XE" localSheetId="0">#REF!</definedName>
    <definedName name="P1XE">#REF!</definedName>
    <definedName name="P1XT" localSheetId="6">#REF!</definedName>
    <definedName name="P1XT" localSheetId="0">#REF!</definedName>
    <definedName name="P1XT">#REF!</definedName>
    <definedName name="P1YE" localSheetId="6">#REF!</definedName>
    <definedName name="P1YE" localSheetId="0">#REF!</definedName>
    <definedName name="P1YE">#REF!</definedName>
    <definedName name="P1YT" localSheetId="6">#REF!</definedName>
    <definedName name="P1YT" localSheetId="0">#REF!</definedName>
    <definedName name="P1YT">#REF!</definedName>
    <definedName name="P2XE" localSheetId="6">#REF!</definedName>
    <definedName name="P2XE" localSheetId="0">#REF!</definedName>
    <definedName name="P2XE">#REF!</definedName>
    <definedName name="P2XT" localSheetId="6">#REF!</definedName>
    <definedName name="P2XT" localSheetId="0">#REF!</definedName>
    <definedName name="P2XT">#REF!</definedName>
    <definedName name="P2YE" localSheetId="6">#REF!</definedName>
    <definedName name="P2YE" localSheetId="0">#REF!</definedName>
    <definedName name="P2YE">#REF!</definedName>
    <definedName name="P3XE" localSheetId="6">#REF!</definedName>
    <definedName name="P3XE" localSheetId="0">#REF!</definedName>
    <definedName name="P3XE">#REF!</definedName>
    <definedName name="P3XT" localSheetId="6">#REF!</definedName>
    <definedName name="P3XT" localSheetId="0">#REF!</definedName>
    <definedName name="P3XT">#REF!</definedName>
    <definedName name="P3YE" localSheetId="6">#REF!</definedName>
    <definedName name="P3YE" localSheetId="0">#REF!</definedName>
    <definedName name="P3YE">#REF!</definedName>
    <definedName name="P3YT" localSheetId="6">#REF!</definedName>
    <definedName name="P3YT" localSheetId="0">#REF!</definedName>
    <definedName name="P3YT">#REF!</definedName>
    <definedName name="P4XE" localSheetId="6">#REF!</definedName>
    <definedName name="P4XE" localSheetId="0">#REF!</definedName>
    <definedName name="P4XE">#REF!</definedName>
    <definedName name="P4XT" localSheetId="6">#REF!</definedName>
    <definedName name="P4XT" localSheetId="0">#REF!</definedName>
    <definedName name="P4XT">#REF!</definedName>
    <definedName name="P4YE" localSheetId="6">#REF!</definedName>
    <definedName name="P4YE" localSheetId="0">#REF!</definedName>
    <definedName name="P4YE">#REF!</definedName>
    <definedName name="P4YT" localSheetId="6">#REF!</definedName>
    <definedName name="P4YT" localSheetId="0">#REF!</definedName>
    <definedName name="P4YT">#REF!</definedName>
    <definedName name="P5XE" localSheetId="6">#REF!</definedName>
    <definedName name="P5XE" localSheetId="0">#REF!</definedName>
    <definedName name="P5XE">#REF!</definedName>
    <definedName name="P5YE" localSheetId="6">#REF!</definedName>
    <definedName name="P5YE" localSheetId="0">#REF!</definedName>
    <definedName name="P5YE">#REF!</definedName>
    <definedName name="P5YT" localSheetId="6">#REF!</definedName>
    <definedName name="P5YT" localSheetId="0">#REF!</definedName>
    <definedName name="P5YT">#REF!</definedName>
    <definedName name="P6XE" localSheetId="6">#REF!</definedName>
    <definedName name="P6XE" localSheetId="0">#REF!</definedName>
    <definedName name="P6XE">#REF!</definedName>
    <definedName name="P6XT" localSheetId="6">#REF!</definedName>
    <definedName name="P6XT" localSheetId="0">#REF!</definedName>
    <definedName name="P6XT">#REF!</definedName>
    <definedName name="P6YE" localSheetId="6">#REF!</definedName>
    <definedName name="P6YE" localSheetId="0">#REF!</definedName>
    <definedName name="P6YE">#REF!</definedName>
    <definedName name="P6YT" localSheetId="6">#REF!</definedName>
    <definedName name="P6YT" localSheetId="0">#REF!</definedName>
    <definedName name="P6YT">#REF!</definedName>
    <definedName name="P7XE" localSheetId="6">#REF!</definedName>
    <definedName name="P7XE" localSheetId="0">#REF!</definedName>
    <definedName name="P7XE">#REF!</definedName>
    <definedName name="P7YE" localSheetId="6">#REF!</definedName>
    <definedName name="P7YE" localSheetId="0">#REF!</definedName>
    <definedName name="P7YE">#REF!</definedName>
    <definedName name="P7YT" localSheetId="6">#REF!</definedName>
    <definedName name="P7YT" localSheetId="0">#REF!</definedName>
    <definedName name="P7YT">#REF!</definedName>
    <definedName name="PABR58PER" localSheetId="6">[3]Ins!#REF!</definedName>
    <definedName name="PABR58PER" localSheetId="0">[1]Ins!#REF!</definedName>
    <definedName name="PABR58PER">[3]Ins!#REF!</definedName>
    <definedName name="PANEL12CIR" localSheetId="0">[1]Ana!$L$3781</definedName>
    <definedName name="PANEL16CIR" localSheetId="0">[1]Ana!$L$3788</definedName>
    <definedName name="PANEL24CIR" localSheetId="0">[1]Ana!$L$3795</definedName>
    <definedName name="PANEL2CIR" localSheetId="0">[1]Ana!$L$3753</definedName>
    <definedName name="PANEL4CIR" localSheetId="0">[1]Ana!$L$3760</definedName>
    <definedName name="PANEL612CONTRA" localSheetId="6">#REF!</definedName>
    <definedName name="PANEL612CONTRA" localSheetId="0">#REF!</definedName>
    <definedName name="PANEL612CONTRA">#REF!</definedName>
    <definedName name="PANEL6CIR" localSheetId="0">[1]Ana!$L$3767</definedName>
    <definedName name="PANEL8CIR" localSheetId="0">[1]Ana!$L$3774</definedName>
    <definedName name="PARAGOMASCONTRA" localSheetId="6">#REF!</definedName>
    <definedName name="PARAGOMASCONTRA" localSheetId="0">#REF!</definedName>
    <definedName name="PARAGOMASCONTRA">#REF!</definedName>
    <definedName name="PASBLAMACANOR14X40X6" localSheetId="6">[2]Ins!#REF!</definedName>
    <definedName name="PASBLAMACANOR14X40X6" localSheetId="0">[1]Ins!#REF!</definedName>
    <definedName name="PASBLAMACANOR14X40X6">[2]Ins!#REF!</definedName>
    <definedName name="PEON" localSheetId="0">[1]M.O.!$C$546</definedName>
    <definedName name="PEON">[3]M.O.!$D$625</definedName>
    <definedName name="PEONCARP" localSheetId="6">[2]Ins!#REF!</definedName>
    <definedName name="PEONCARP" localSheetId="0">[1]Ins!#REF!</definedName>
    <definedName name="PEONCARP">[2]Ins!#REF!</definedName>
    <definedName name="PINO">[4]Ins!$E$807</definedName>
    <definedName name="PINO1X4X12">[4]Ins!$E$809</definedName>
    <definedName name="PINTACRIEXT" localSheetId="0">[1]Ana!$L$4940</definedName>
    <definedName name="PINTACRIEXTAND" localSheetId="0">[1]Ana!$L$4953</definedName>
    <definedName name="PINTACRIINT" localSheetId="0">[1]Ana!$L$4946</definedName>
    <definedName name="PINTECO" localSheetId="0">[1]Ana!$L$4972</definedName>
    <definedName name="PINTEPOX" localSheetId="0">[1]Ana!$L$4960</definedName>
    <definedName name="PINTLACA" localSheetId="0">[1]Ana!$L$4966</definedName>
    <definedName name="PINTMAN" localSheetId="0">[1]Ana!$L$4979</definedName>
    <definedName name="PINTMANAND" localSheetId="0">[1]Ana!$L$4987</definedName>
    <definedName name="PISO01" localSheetId="0">[1]Ana!$L$5062</definedName>
    <definedName name="PISO09" localSheetId="0">[1]Ana!$L$5072</definedName>
    <definedName name="PISOADO50080G" localSheetId="0">[1]Ana!$L$5007</definedName>
    <definedName name="PISOADO50080R" localSheetId="0">[1]Ana!$L$5016</definedName>
    <definedName name="PISOADO511G" localSheetId="0">[1]Ana!$L$5025</definedName>
    <definedName name="PISOADO511R" localSheetId="0">[1]Ana!$L$5034</definedName>
    <definedName name="PISOADO604G" localSheetId="0">[1]Ana!$L$5043</definedName>
    <definedName name="PISOADO604R" localSheetId="0">[1]Ana!$L$5052</definedName>
    <definedName name="PISOADOCLAGRIS">[4]Ana!$F$4497</definedName>
    <definedName name="PISOADOCLAQUEM">[4]Ana!$F$4515</definedName>
    <definedName name="PISOADOCLAROJO">[4]Ana!$F$4506</definedName>
    <definedName name="PISOADOCOLGRIS">[4]Ana!$F$4524</definedName>
    <definedName name="PISOADOCOLROJO">[4]Ana!$F$4533</definedName>
    <definedName name="PISOADOMEDGRIS">[4]Ana!$F$4542</definedName>
    <definedName name="PISOADOMEDQUEM">[4]Ana!$F$4560</definedName>
    <definedName name="PISOADOMEDROJO">[4]Ana!$F$4551</definedName>
    <definedName name="PISOGRA1233030BCO" localSheetId="0">[1]Ana!$L$5090</definedName>
    <definedName name="PISOGRA1233030GRIS" localSheetId="0">[1]Ana!$L$5099</definedName>
    <definedName name="PISOGRA1234040BCO" localSheetId="0">[1]Ana!$L$5108</definedName>
    <definedName name="PISOGRABOTI4040BCO" localSheetId="6">[2]Ana!#REF!</definedName>
    <definedName name="PISOGRABOTI4040BCO" localSheetId="0">[1]Ana!#REF!</definedName>
    <definedName name="PISOGRABOTI4040BCO">[2]Ana!#REF!</definedName>
    <definedName name="PISOGRABOTI4040COL" localSheetId="6">[2]Ana!#REF!</definedName>
    <definedName name="PISOGRABOTI4040COL" localSheetId="0">[1]Ana!#REF!</definedName>
    <definedName name="PISOGRABOTI4040COL">[2]Ana!#REF!</definedName>
    <definedName name="PISOGRAPROY4040" localSheetId="0">[1]Ana!$L$5081</definedName>
    <definedName name="PISOHFV10" localSheetId="0">[1]Ana!$L$5268</definedName>
    <definedName name="PISOLADEXAPEQ" localSheetId="0">[1]Ana!$L$5285</definedName>
    <definedName name="PISOLADFERIAPEQ" localSheetId="0">[1]Ana!$L$5293</definedName>
    <definedName name="PISOMOSROJ2525" localSheetId="0">[1]Ana!$L$5301</definedName>
    <definedName name="PISOPUL10" localSheetId="0">[1]Ana!$L$5277</definedName>
    <definedName name="PLANTASELECT" localSheetId="0">[1]Ins!$C$840</definedName>
    <definedName name="PLANTASELECT">[3]Ins!$C$982</definedName>
    <definedName name="PLIGADORA2" localSheetId="0">[1]Ins!$E$527</definedName>
    <definedName name="PLIGADORA2">[3]Herram!$E$26</definedName>
    <definedName name="PLOMERO" localSheetId="6">[2]Ins!#REF!</definedName>
    <definedName name="PLOMERO" localSheetId="0">[1]Ins!#REF!</definedName>
    <definedName name="PLOMERO">[2]Ins!#REF!</definedName>
    <definedName name="PLOMEROAYUDANTE" localSheetId="6">[2]Ins!#REF!</definedName>
    <definedName name="PLOMEROAYUDANTE" localSheetId="0">[1]Ins!#REF!</definedName>
    <definedName name="PLOMEROAYUDANTE">[2]Ins!#REF!</definedName>
    <definedName name="PLOMEROOFICIAL" localSheetId="6">[2]Ins!#REF!</definedName>
    <definedName name="PLOMEROOFICIAL" localSheetId="0">[1]Ins!#REF!</definedName>
    <definedName name="PLOMEROOFICIAL">[2]Ins!#REF!</definedName>
    <definedName name="_xlnm.Print_Area" localSheetId="3">'Moms de Empt'!$A$1:$L$59</definedName>
    <definedName name="_xlnm.Print_Area" localSheetId="0">Present!$A$1:$G$62</definedName>
    <definedName name="_xlnm.Print_Titles" localSheetId="2">Cargas!$1:$2</definedName>
    <definedName name="_xlnm.Print_Titles" localSheetId="1">Espesor!$1:$7</definedName>
    <definedName name="_xlnm.Print_Titles" localSheetId="5">'M+'!$1:$3</definedName>
    <definedName name="_xlnm.Print_Titles" localSheetId="3">'Moms de Empt'!$1:$2</definedName>
    <definedName name="_xlnm.Print_Titles" localSheetId="0">Present!$2:$3</definedName>
    <definedName name="PROP" localSheetId="6">#REF!</definedName>
    <definedName name="PROP" localSheetId="0">#REF!</definedName>
    <definedName name="PROP">#REF!</definedName>
    <definedName name="PROY" localSheetId="6">#REF!</definedName>
    <definedName name="PROY" localSheetId="0">#REF!</definedName>
    <definedName name="PROY">#REF!</definedName>
    <definedName name="PTAFRANCAOBA" localSheetId="0">[1]Ana!$L$5439</definedName>
    <definedName name="PTAFRANCAOBAM2" localSheetId="0">[1]Ana!$I$5439</definedName>
    <definedName name="PTAFRANROBLE" localSheetId="6">#REF!</definedName>
    <definedName name="PTAFRANROBLE" localSheetId="0">#REF!</definedName>
    <definedName name="PTAFRANROBLE">#REF!</definedName>
    <definedName name="PTAPANCORCAOBA" localSheetId="0">[1]Ana!$L$5410</definedName>
    <definedName name="PTAPANCORCAOBA2.3X8.4" localSheetId="6">#REF!</definedName>
    <definedName name="PTAPANCORCAOBA2.3X8.4" localSheetId="0">#REF!</definedName>
    <definedName name="PTAPANCORCAOBA2.3X8.4">#REF!</definedName>
    <definedName name="PTAPANCORCAOBA3X8.4" localSheetId="6">#REF!</definedName>
    <definedName name="PTAPANCORCAOBA3X8.4" localSheetId="0">#REF!</definedName>
    <definedName name="PTAPANCORCAOBA3X8.4">#REF!</definedName>
    <definedName name="PTAPANCORCAOBAM2" localSheetId="0">[1]Ana!$I$5410</definedName>
    <definedName name="PTAPANCORPINO" localSheetId="0">[1]Ana!$L$5401</definedName>
    <definedName name="PTAPANCORPINOM2" localSheetId="0">[1]Ana!$I$5401</definedName>
    <definedName name="PTAPANCORROBLE" localSheetId="6">#REF!</definedName>
    <definedName name="PTAPANCORROBLE" localSheetId="0">#REF!</definedName>
    <definedName name="PTAPANCORROBLE">#REF!</definedName>
    <definedName name="PTAPANESPCAOBA" localSheetId="0">[1]Ana!$L$5419</definedName>
    <definedName name="PTAPANESPCAOBAM2" localSheetId="0">[1]Ana!$I$5419</definedName>
    <definedName name="PTAPANESPROBLE" localSheetId="6">#REF!</definedName>
    <definedName name="PTAPANESPROBLE" localSheetId="0">#REF!</definedName>
    <definedName name="PTAPANESPROBLE">#REF!</definedName>
    <definedName name="PTAPANVAIVENCAOBA" localSheetId="0">[1]Ana!$L$5427</definedName>
    <definedName name="PTAPANVAIVENCAOBAM2" localSheetId="0">[1]Ana!$I$5427</definedName>
    <definedName name="PTAPANVAIVENROBLE" localSheetId="6">#REF!</definedName>
    <definedName name="PTAPANVAIVENROBLE" localSheetId="0">#REF!</definedName>
    <definedName name="PTAPANVAIVENROBLE">#REF!</definedName>
    <definedName name="PTAPLY" localSheetId="0">[1]Ana!$L$5392</definedName>
    <definedName name="PTAPLYM2" localSheetId="0">[1]Ana!$I$5392</definedName>
    <definedName name="PUERTAPERF1X1YMALLA1CONTRA" localSheetId="6">#REF!</definedName>
    <definedName name="PUERTAPERF1X1YMALLA1CONTRA" localSheetId="0">#REF!</definedName>
    <definedName name="PUERTAPERF1X1YMALLA1CONTRA">#REF!</definedName>
    <definedName name="PWINCHE2000K" localSheetId="0">[1]Ins!$E$535</definedName>
    <definedName name="PWINCHE2000K">[3]Herram!$E$152</definedName>
    <definedName name="QUICIOGRA30BCO" localSheetId="0">[1]Ana!$L$5308</definedName>
    <definedName name="QUICIOGRA40BCO" localSheetId="0">[1]Ana!$L$5315</definedName>
    <definedName name="QUICIOGRABOTI40COL" localSheetId="6">[2]Ana!#REF!</definedName>
    <definedName name="QUICIOGRABOTI40COL" localSheetId="0">[1]Ana!#REF!</definedName>
    <definedName name="QUICIOGRABOTI40COL">[2]Ana!#REF!</definedName>
    <definedName name="QUICIOLAD" localSheetId="0">[1]Ana!$L$5329</definedName>
    <definedName name="QUICIOMOS25ROJ" localSheetId="0">[1]Ana!$L$5322</definedName>
    <definedName name="QUIEBRASOLESVERTCONTRA" localSheetId="6">#REF!</definedName>
    <definedName name="QUIEBRASOLESVERTCONTRA" localSheetId="0">#REF!</definedName>
    <definedName name="QUIEBRASOLESVERTCONTRA">#REF!</definedName>
    <definedName name="RELLENOCAL" localSheetId="0">[1]Ana!$L$5461</definedName>
    <definedName name="RELLENOCALEQ" localSheetId="0">[1]Ana!$L$5468</definedName>
    <definedName name="RELLENOCALGRAN" localSheetId="0">[1]Ana!$L$5475</definedName>
    <definedName name="RELLENOCALGRANEQ" localSheetId="0">[1]Ana!$L$5483</definedName>
    <definedName name="RELLENOGRAN" localSheetId="0">[1]Ana!$L$5448</definedName>
    <definedName name="RELLENOGRANEQ" localSheetId="0">[1]Ana!$L$5455</definedName>
    <definedName name="RELLENOGRANZOTECONTRA" localSheetId="6">#REF!</definedName>
    <definedName name="RELLENOGRANZOTECONTRA" localSheetId="0">#REF!</definedName>
    <definedName name="RELLENOGRANZOTECONTRA">#REF!</definedName>
    <definedName name="RELLENOREP" localSheetId="0">[1]Ana!$L$5488</definedName>
    <definedName name="RELLENOREPEQ" localSheetId="0">[1]Ana!$L$5494</definedName>
    <definedName name="REMOCIONCVMANO" localSheetId="0">[1]Ana!$L$5498</definedName>
    <definedName name="REMOCIONCVMANO">[3]Ana!$M$4896</definedName>
    <definedName name="REMREINSTTRANSFCONTRA" localSheetId="6">#REF!</definedName>
    <definedName name="REMREINSTTRANSFCONTRA" localSheetId="0">#REF!</definedName>
    <definedName name="REMREINSTTRANSFCONTRA">#REF!</definedName>
    <definedName name="RENDBLOQUES" localSheetId="0">[1]Rndmnto!$B$6</definedName>
    <definedName name="RENDBLOQUES">[3]Rndmto!$C$125</definedName>
    <definedName name="REPAGUA1CONTRA" localSheetId="6">#REF!</definedName>
    <definedName name="REPAGUA1CONTRA" localSheetId="0">#REF!</definedName>
    <definedName name="REPAGUA1CONTRA">#REF!</definedName>
    <definedName name="REPAGUA2CONTRA" localSheetId="6">#REF!</definedName>
    <definedName name="REPAGUA2CONTRA" localSheetId="0">#REF!</definedName>
    <definedName name="REPAGUA2CONTRA">#REF!</definedName>
    <definedName name="REPARRASTRE4CONTRA" localSheetId="6">#REF!</definedName>
    <definedName name="REPARRASTRE4CONTRA" localSheetId="0">#REF!</definedName>
    <definedName name="REPARRASTRE4CONTRA">#REF!</definedName>
    <definedName name="REPARRASTRE6CONTRA" localSheetId="6">#REF!</definedName>
    <definedName name="REPARRASTRE6CONTRA" localSheetId="0">#REF!</definedName>
    <definedName name="REPARRASTRE6CONTRA">#REF!</definedName>
    <definedName name="REPELLOTECHO" localSheetId="0">[1]Ana!$L$376</definedName>
    <definedName name="REPLANTEO" localSheetId="0">[1]Ana!$L$5539</definedName>
    <definedName name="REPLANTEO">[3]Ana!$M$5432</definedName>
    <definedName name="REPLANTEOM" localSheetId="0">[1]Ana!$L$5540</definedName>
    <definedName name="RESANE" localSheetId="0">[1]Ana!$L$364</definedName>
    <definedName name="REUBPLANTA400CONTRA" localSheetId="6">#REF!</definedName>
    <definedName name="REUBPLANTA400CONTRA" localSheetId="0">#REF!</definedName>
    <definedName name="REUBPLANTA400CONTRA">#REF!</definedName>
    <definedName name="REUBSWTRANSF1000CONTRA" localSheetId="6">#REF!</definedName>
    <definedName name="REUBSWTRANSF1000CONTRA" localSheetId="0">#REF!</definedName>
    <definedName name="REUBSWTRANSF1000CONTRA">#REF!</definedName>
    <definedName name="REVCER01" localSheetId="0">[1]Ana!$L$5552</definedName>
    <definedName name="REVCER09" localSheetId="0">[1]Ana!$L$5560</definedName>
    <definedName name="REVLAD248" localSheetId="0">[1]Ana!$L$5573</definedName>
    <definedName name="REVLADBIS228" localSheetId="0">[1]Ana!$L$5566</definedName>
    <definedName name="RNCARQSA" localSheetId="6">#REF!</definedName>
    <definedName name="RNCARQSA" localSheetId="0">#REF!</definedName>
    <definedName name="RNCARQSA">#REF!</definedName>
    <definedName name="RNCJAGS" localSheetId="6">#REF!</definedName>
    <definedName name="RNCJAGS" localSheetId="0">#REF!</definedName>
    <definedName name="RNCJAGS">#REF!</definedName>
    <definedName name="SALARIO" localSheetId="0">[1]M.O.!$C$4</definedName>
    <definedName name="SALARIO">[3]M.O.!$D$4</definedName>
    <definedName name="SALCAL" localSheetId="0">[1]Ana!$L$3714</definedName>
    <definedName name="SALTEL" localSheetId="0">[1]Ana!$L$3724</definedName>
    <definedName name="SANTACRUZ" localSheetId="6">[2]Ins!#REF!</definedName>
    <definedName name="SANTACRUZ" localSheetId="0">[1]Ins!#REF!</definedName>
    <definedName name="SANTACRUZ">[2]Ins!#REF!</definedName>
    <definedName name="SDl">#REF!</definedName>
    <definedName name="SDS">#REF!</definedName>
    <definedName name="SEPTICOCAL" localSheetId="0">[1]Ana!$L$4546</definedName>
    <definedName name="SEPTICOROC" localSheetId="0">[1]Ana!$L$4561</definedName>
    <definedName name="SEPTICOTIE" localSheetId="0">[1]Ana!$L$4576</definedName>
    <definedName name="SEPTICOTIESDIS" localSheetId="6">#REF!</definedName>
    <definedName name="SEPTICOTIESDIS" localSheetId="0">#REF!</definedName>
    <definedName name="SEPTICOTIESDIS">#REF!</definedName>
    <definedName name="SILICOOL" localSheetId="0">[1]Ana!$L$3434</definedName>
    <definedName name="TABIQUESBAÑOSM2CONTRA" localSheetId="6">#REF!</definedName>
    <definedName name="TABIQUESBAÑOSM2CONTRA" localSheetId="0">#REF!</definedName>
    <definedName name="TABIQUESBAÑOSM2CONTRA">#REF!</definedName>
    <definedName name="TC" localSheetId="0">[1]M.O.!$C$545</definedName>
    <definedName name="TC">[3]M.O.!$D$624</definedName>
    <definedName name="TECHOASBTIJPIN" localSheetId="6">[2]Ana!#REF!</definedName>
    <definedName name="TECHOASBTIJPIN" localSheetId="0">[1]Ana!#REF!</definedName>
    <definedName name="TECHOASBTIJPIN">[2]Ana!#REF!</definedName>
    <definedName name="TECHOTEJASFFORROCAO" localSheetId="0">[1]Ana!$L$5600</definedName>
    <definedName name="TECHOTEJASFFORROCED" localSheetId="0">[1]Ana!$L$5624</definedName>
    <definedName name="TECHOTEJASFFORROPINTRA" localSheetId="0">[1]Ana!$L$5648</definedName>
    <definedName name="TECHOTEJASFFORROROBBRA" localSheetId="0">[1]Ana!$L$5672</definedName>
    <definedName name="TECHOTEJCURVFORROCAO" localSheetId="0">[1]Ana!$L$5699</definedName>
    <definedName name="TECHOTEJCURVFORROCED" localSheetId="0">[1]Ana!$L$5726</definedName>
    <definedName name="TECHOTEJCURVFORROPINTRA" localSheetId="0">[1]Ana!$L$5753</definedName>
    <definedName name="TECHOTEJCURVFORROROBBRA" localSheetId="0">[1]Ana!$L$5780</definedName>
    <definedName name="TECHOTEJCURVSOBREFINO" localSheetId="0">[1]Ana!$L$5790</definedName>
    <definedName name="TECHOTEJCURVTIJPIN" localSheetId="0">[1]Ana!$L$5802</definedName>
    <definedName name="TECHOZIN26TIJPIN" localSheetId="0">[1]Ana!$L$5813</definedName>
    <definedName name="TELJAGS" localSheetId="6">#REF!</definedName>
    <definedName name="TELJAGS" localSheetId="0">#REF!</definedName>
    <definedName name="TELJAGS">#REF!</definedName>
    <definedName name="TIMBRE" localSheetId="0">[1]Ana!$L$3735</definedName>
    <definedName name="TIMBRE">[2]Ana!$L$3735</definedName>
    <definedName name="To">#REF!</definedName>
    <definedName name="TRAGRACAL" localSheetId="0">[1]Ana!$L$4645</definedName>
    <definedName name="TRAGRAROC" localSheetId="0">[1]Ana!$L$4654</definedName>
    <definedName name="TRAGRATIE" localSheetId="0">[1]Ana!$L$4663</definedName>
    <definedName name="TRANSF750KVACONTRA" localSheetId="6">#REF!</definedName>
    <definedName name="TRANSF750KVACONTRA" localSheetId="0">#REF!</definedName>
    <definedName name="TRANSF750KVACONTRA">#REF!</definedName>
    <definedName name="TRANSTEJA185000" localSheetId="0">[1]Ins!#REF!</definedName>
    <definedName name="TRANSTEJA185000">[2]Ins!#REF!</definedName>
    <definedName name="TRANSTEJA18INT" localSheetId="0">[1]Ins!#REF!</definedName>
    <definedName name="TRANSTEJA18INT">[2]Ins!#REF!</definedName>
    <definedName name="Ts">#REF!</definedName>
    <definedName name="Tx" localSheetId="6">#REF!</definedName>
    <definedName name="Tx">#REF!</definedName>
    <definedName name="Ty" localSheetId="6">#REF!</definedName>
    <definedName name="Ty">#REF!</definedName>
    <definedName name="USDOLAR">[3]Ins!$E$424</definedName>
    <definedName name="USOSMADERA" localSheetId="6">#REF!</definedName>
    <definedName name="USOSMADERA" localSheetId="0">#REF!</definedName>
    <definedName name="USOSMADERA">#REF!</definedName>
    <definedName name="VACIADOAMANO" localSheetId="0">[1]Ana!$L$3316</definedName>
    <definedName name="VACIADOAMANO">[3]Ana!$M$3238</definedName>
    <definedName name="VCOLGANTE1590" localSheetId="6">#REF!</definedName>
    <definedName name="VCOLGANTE1590" localSheetId="0">#REF!</definedName>
    <definedName name="VCOLGANTE1590">#REF!</definedName>
    <definedName name="VENT3SDR41CONTRA" localSheetId="6">#REF!</definedName>
    <definedName name="VENT3SDR41CONTRA" localSheetId="0">#REF!</definedName>
    <definedName name="VENT3SDR41CONTRA">#REF!</definedName>
    <definedName name="VERGRAGRI" localSheetId="0">[1]Ana!$L$4495</definedName>
    <definedName name="VERGRAGRIPVC" localSheetId="6">#REF!</definedName>
    <definedName name="VERGRAGRIPVC" localSheetId="0">#REF!</definedName>
    <definedName name="VERGRAGRIPVC">#REF!</definedName>
    <definedName name="VERGRAGRISCONTRA" localSheetId="6">#REF!</definedName>
    <definedName name="VERGRAGRISCONTRA" localSheetId="0">#REF!</definedName>
    <definedName name="VERGRAGRISCONTRA">#REF!</definedName>
    <definedName name="VSALALUMBCOMAN" localSheetId="0">[1]Ana!$L$5855</definedName>
    <definedName name="VSALALUMBCOPAL" localSheetId="0">[1]Ana!$L$5879</definedName>
    <definedName name="VSALALUMBROMAN" localSheetId="0">[1]Ana!$L$5861</definedName>
    <definedName name="VSALALUMBROVBROMAN" localSheetId="0">[1]Ana!$L$5867</definedName>
    <definedName name="VSALALUMNATVBROPAL" localSheetId="0">[1]Ana!$L$5885</definedName>
    <definedName name="VSALALUMNATVCMAN" localSheetId="0">[1]Ana!$L$5849</definedName>
    <definedName name="VSALALUMNATVCPAL" localSheetId="0">[1]Ana!$L$5873</definedName>
    <definedName name="VUELO10" localSheetId="6">#REF!</definedName>
    <definedName name="VUELO10" localSheetId="0">#REF!</definedName>
    <definedName name="VUELO10">#REF!</definedName>
    <definedName name="ZABALETAPISO" localSheetId="0">[1]Ana!$L$5333</definedName>
    <definedName name="ZABALETATECHO" localSheetId="0">[1]Ana!$L$5841</definedName>
    <definedName name="ZINC29" localSheetId="6">[2]Ins!#REF!</definedName>
    <definedName name="ZINC29" localSheetId="0">[1]Ins!#REF!</definedName>
    <definedName name="ZINC29">[2]Ins!#REF!</definedName>
    <definedName name="ZOCESCGRAPROYAL" localSheetId="0">[1]Ana!$L$5345</definedName>
    <definedName name="ZOCGRA30BCO" localSheetId="0">[1]Ana!$L$5352</definedName>
    <definedName name="ZOCGRA30GRIS" localSheetId="0">[1]Ana!$L$5359</definedName>
    <definedName name="ZOCGRA40BCO" localSheetId="0">[1]Ana!$L$5366</definedName>
    <definedName name="ZOCGRABOTI40BCO" localSheetId="6">[2]Ana!#REF!</definedName>
    <definedName name="ZOCGRABOTI40BCO" localSheetId="0">[1]Ana!#REF!</definedName>
    <definedName name="ZOCGRABOTI40BCO">[2]Ana!#REF!</definedName>
    <definedName name="ZOCGRABOTI40COL" localSheetId="6">[2]Ana!#REF!</definedName>
    <definedName name="ZOCGRABOTI40COL" localSheetId="0">[1]Ana!#REF!</definedName>
    <definedName name="ZOCGRABOTI40COL">[2]Ana!#REF!</definedName>
    <definedName name="ZOCGRAPROYAL40" localSheetId="0">[1]Ana!$L$5340</definedName>
    <definedName name="ZOCLAD28" localSheetId="0">[1]Ana!$L$5373</definedName>
    <definedName name="ZOCMOSROJ25" localSheetId="0">[1]Ana!$L$5380</definedName>
  </definedNames>
  <calcPr calcId="152511"/>
  <customWorkbookViews>
    <customWorkbookView name="tablas" guid="{4D765E6E-BF62-4294-87D0-DF8A5CCBDE20}" maximized="1" windowWidth="788" windowHeight="390" activeSheetId="1"/>
  </customWorkbookViews>
</workbook>
</file>

<file path=xl/calcChain.xml><?xml version="1.0" encoding="utf-8"?>
<calcChain xmlns="http://schemas.openxmlformats.org/spreadsheetml/2006/main">
  <c r="A106" i="43" l="1"/>
  <c r="L106" i="43" s="1"/>
  <c r="A107" i="43"/>
  <c r="A108" i="43"/>
  <c r="L108" i="43" s="1"/>
  <c r="A109" i="43"/>
  <c r="L109" i="43" s="1"/>
  <c r="A110" i="43"/>
  <c r="L110" i="43" s="1"/>
  <c r="A111" i="43"/>
  <c r="A112" i="43"/>
  <c r="L112" i="43" s="1"/>
  <c r="A113" i="43"/>
  <c r="L113" i="43" s="1"/>
  <c r="A114" i="43"/>
  <c r="L114" i="43" s="1"/>
  <c r="A115" i="43"/>
  <c r="A116" i="43"/>
  <c r="L116" i="43" s="1"/>
  <c r="A117" i="43"/>
  <c r="L117" i="43" s="1"/>
  <c r="A118" i="43"/>
  <c r="L118" i="43" s="1"/>
  <c r="A119" i="43"/>
  <c r="A120" i="43"/>
  <c r="L120" i="43" s="1"/>
  <c r="A121" i="43"/>
  <c r="L121" i="43" s="1"/>
  <c r="A122" i="43"/>
  <c r="L122" i="43" s="1"/>
  <c r="A123" i="43"/>
  <c r="A124" i="43"/>
  <c r="L124" i="43" s="1"/>
  <c r="A125" i="43"/>
  <c r="L125" i="43" s="1"/>
  <c r="A126" i="43"/>
  <c r="L126" i="43" s="1"/>
  <c r="A127" i="43"/>
  <c r="A128" i="43"/>
  <c r="L128" i="43" s="1"/>
  <c r="A129" i="43"/>
  <c r="L129" i="43" s="1"/>
  <c r="A130" i="43"/>
  <c r="L130" i="43" s="1"/>
  <c r="A131" i="43"/>
  <c r="A132" i="43"/>
  <c r="L132" i="43" s="1"/>
  <c r="A133" i="43"/>
  <c r="L133" i="43" s="1"/>
  <c r="A134" i="43"/>
  <c r="L134" i="43" s="1"/>
  <c r="A135" i="43"/>
  <c r="A136" i="43"/>
  <c r="L136" i="43" s="1"/>
  <c r="A137" i="43"/>
  <c r="L137" i="43" s="1"/>
  <c r="A138" i="43"/>
  <c r="L138" i="43" s="1"/>
  <c r="A139" i="43"/>
  <c r="A140" i="43"/>
  <c r="L140" i="43" s="1"/>
  <c r="A141" i="43"/>
  <c r="L141" i="43" s="1"/>
  <c r="A142" i="43"/>
  <c r="L142" i="43" s="1"/>
  <c r="A143" i="43"/>
  <c r="A144" i="43"/>
  <c r="L144" i="43" s="1"/>
  <c r="A145" i="43"/>
  <c r="L145" i="43" s="1"/>
  <c r="A146" i="43"/>
  <c r="L146" i="43" s="1"/>
  <c r="A147" i="43"/>
  <c r="A148" i="43"/>
  <c r="L148" i="43" s="1"/>
  <c r="A149" i="43"/>
  <c r="L149" i="43" s="1"/>
  <c r="A150" i="43"/>
  <c r="L150" i="43" s="1"/>
  <c r="A151" i="43"/>
  <c r="A152" i="43"/>
  <c r="L152" i="43" s="1"/>
  <c r="A153" i="43"/>
  <c r="L153" i="43" s="1"/>
  <c r="A154" i="43"/>
  <c r="L154" i="43" s="1"/>
  <c r="A155" i="43"/>
  <c r="A156" i="43"/>
  <c r="L156" i="43" s="1"/>
  <c r="A157" i="43"/>
  <c r="L157" i="43" s="1"/>
  <c r="A158" i="43"/>
  <c r="L158" i="43" s="1"/>
  <c r="A159" i="43"/>
  <c r="A160" i="43"/>
  <c r="L160" i="43" s="1"/>
  <c r="A161" i="43"/>
  <c r="L161" i="43" s="1"/>
  <c r="A162" i="43"/>
  <c r="L162" i="43" s="1"/>
  <c r="A163" i="43"/>
  <c r="A164" i="43"/>
  <c r="L164" i="43" s="1"/>
  <c r="A165" i="43"/>
  <c r="L165" i="43" s="1"/>
  <c r="A166" i="43"/>
  <c r="L166" i="43" s="1"/>
  <c r="A167" i="43"/>
  <c r="A168" i="43"/>
  <c r="L168" i="43" s="1"/>
  <c r="A169" i="43"/>
  <c r="L169" i="43" s="1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L107" i="43"/>
  <c r="L111" i="43"/>
  <c r="L115" i="43"/>
  <c r="L119" i="43"/>
  <c r="L123" i="43"/>
  <c r="L127" i="43"/>
  <c r="L131" i="43"/>
  <c r="L135" i="43"/>
  <c r="L139" i="43"/>
  <c r="L143" i="43"/>
  <c r="L147" i="43"/>
  <c r="L151" i="43"/>
  <c r="L155" i="43"/>
  <c r="L159" i="43"/>
  <c r="L163" i="43"/>
  <c r="L167" i="43"/>
  <c r="F105" i="43"/>
  <c r="A105" i="43" s="1"/>
  <c r="G105" i="43" s="1"/>
  <c r="F104" i="43"/>
  <c r="H104" i="43" s="1"/>
  <c r="F103" i="43"/>
  <c r="A103" i="43" s="1"/>
  <c r="G103" i="43" s="1"/>
  <c r="F102" i="43"/>
  <c r="H102" i="43" s="1"/>
  <c r="F101" i="43"/>
  <c r="A101" i="43" s="1"/>
  <c r="G101" i="43" s="1"/>
  <c r="F100" i="43"/>
  <c r="F99" i="43"/>
  <c r="F98" i="43"/>
  <c r="D105" i="43"/>
  <c r="D104" i="43"/>
  <c r="D103" i="43"/>
  <c r="D102" i="43"/>
  <c r="D101" i="43"/>
  <c r="D100" i="43"/>
  <c r="D99" i="43"/>
  <c r="D98" i="43"/>
  <c r="F97" i="43"/>
  <c r="A97" i="43" s="1"/>
  <c r="M97" i="43" s="1"/>
  <c r="F96" i="43"/>
  <c r="H96" i="43" s="1"/>
  <c r="F95" i="43"/>
  <c r="H95" i="43" s="1"/>
  <c r="F94" i="43"/>
  <c r="H94" i="43" s="1"/>
  <c r="F93" i="43"/>
  <c r="H93" i="43" s="1"/>
  <c r="D97" i="43"/>
  <c r="D96" i="43"/>
  <c r="D95" i="43"/>
  <c r="D94" i="43"/>
  <c r="D93" i="43"/>
  <c r="F92" i="43"/>
  <c r="H92" i="43" s="1"/>
  <c r="D92" i="43"/>
  <c r="F91" i="43"/>
  <c r="H91" i="43" s="1"/>
  <c r="D91" i="43"/>
  <c r="F90" i="43"/>
  <c r="D90" i="43"/>
  <c r="A90" i="43"/>
  <c r="A85" i="43"/>
  <c r="F84" i="43"/>
  <c r="A84" i="43" s="1"/>
  <c r="F83" i="43"/>
  <c r="A83" i="43" s="1"/>
  <c r="F82" i="43"/>
  <c r="A82" i="43" s="1"/>
  <c r="F81" i="43"/>
  <c r="A81" i="43" s="1"/>
  <c r="F80" i="43"/>
  <c r="A80" i="43" s="1"/>
  <c r="F79" i="43"/>
  <c r="A79" i="43" s="1"/>
  <c r="F78" i="43"/>
  <c r="A78" i="43" s="1"/>
  <c r="F77" i="43"/>
  <c r="A77" i="43" s="1"/>
  <c r="F76" i="43"/>
  <c r="A76" i="43" s="1"/>
  <c r="F75" i="43"/>
  <c r="A75" i="43" s="1"/>
  <c r="F74" i="43"/>
  <c r="A74" i="43" s="1"/>
  <c r="F73" i="43"/>
  <c r="A73" i="43" s="1"/>
  <c r="F72" i="43"/>
  <c r="A72" i="43" s="1"/>
  <c r="F71" i="43"/>
  <c r="A71" i="43" s="1"/>
  <c r="F70" i="43"/>
  <c r="A70" i="43" s="1"/>
  <c r="F69" i="43"/>
  <c r="A69" i="43" s="1"/>
  <c r="F68" i="43"/>
  <c r="A68" i="43" s="1"/>
  <c r="F67" i="43"/>
  <c r="A67" i="43" s="1"/>
  <c r="F66" i="43"/>
  <c r="A66" i="43" s="1"/>
  <c r="F65" i="43"/>
  <c r="A65" i="43" s="1"/>
  <c r="F64" i="43"/>
  <c r="A64" i="43" s="1"/>
  <c r="F63" i="43"/>
  <c r="A63" i="43" s="1"/>
  <c r="F62" i="43"/>
  <c r="A62" i="43" s="1"/>
  <c r="F61" i="43"/>
  <c r="A61" i="43" s="1"/>
  <c r="F6" i="43"/>
  <c r="H6" i="43" s="1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" i="43"/>
  <c r="W42" i="20"/>
  <c r="R32" i="20"/>
  <c r="R45" i="20" s="1"/>
  <c r="F20" i="20"/>
  <c r="K78" i="20"/>
  <c r="H80" i="20" s="1"/>
  <c r="F72" i="20"/>
  <c r="K72" i="20" s="1"/>
  <c r="K66" i="20"/>
  <c r="H68" i="20" s="1"/>
  <c r="F59" i="20"/>
  <c r="K59" i="20" s="1"/>
  <c r="D11" i="19"/>
  <c r="D10" i="19"/>
  <c r="J14" i="19"/>
  <c r="F25" i="40"/>
  <c r="E25" i="40"/>
  <c r="D8" i="43"/>
  <c r="D9" i="43"/>
  <c r="D10" i="43"/>
  <c r="D11" i="43"/>
  <c r="D12" i="43"/>
  <c r="D13" i="43"/>
  <c r="D14" i="43"/>
  <c r="D15" i="43"/>
  <c r="D16" i="43"/>
  <c r="D17" i="43"/>
  <c r="D7" i="43"/>
  <c r="G2" i="19"/>
  <c r="Y3" i="19"/>
  <c r="P3" i="19"/>
  <c r="F271" i="40"/>
  <c r="M253" i="40"/>
  <c r="Z255" i="40" s="1"/>
  <c r="Y260" i="40" s="1"/>
  <c r="M236" i="40"/>
  <c r="M219" i="40"/>
  <c r="G219" i="40"/>
  <c r="E219" i="40"/>
  <c r="M201" i="40"/>
  <c r="F201" i="40"/>
  <c r="E201" i="40"/>
  <c r="B203" i="40" s="1"/>
  <c r="L42" i="40"/>
  <c r="L24" i="40"/>
  <c r="A24" i="40"/>
  <c r="BC28" i="40" s="1"/>
  <c r="BD45" i="40"/>
  <c r="F359" i="40"/>
  <c r="E361" i="40" s="1"/>
  <c r="D366" i="40" s="1"/>
  <c r="G359" i="40"/>
  <c r="H361" i="40" s="1"/>
  <c r="G366" i="40" s="1"/>
  <c r="H359" i="40"/>
  <c r="I359" i="40"/>
  <c r="N361" i="40" s="1"/>
  <c r="M366" i="40" s="1"/>
  <c r="J359" i="40"/>
  <c r="Q361" i="40" s="1"/>
  <c r="P366" i="40" s="1"/>
  <c r="K359" i="40"/>
  <c r="L359" i="40"/>
  <c r="M359" i="40"/>
  <c r="Z361" i="40" s="1"/>
  <c r="Y366" i="40" s="1"/>
  <c r="E359" i="40"/>
  <c r="L358" i="40"/>
  <c r="A358" i="40"/>
  <c r="BC362" i="40" s="1"/>
  <c r="F341" i="40"/>
  <c r="E343" i="40" s="1"/>
  <c r="D348" i="40" s="1"/>
  <c r="G341" i="40"/>
  <c r="H343" i="40" s="1"/>
  <c r="G348" i="40" s="1"/>
  <c r="H341" i="40"/>
  <c r="I341" i="40"/>
  <c r="N343" i="40" s="1"/>
  <c r="M348" i="40" s="1"/>
  <c r="J341" i="40"/>
  <c r="Q343" i="40" s="1"/>
  <c r="P348" i="40" s="1"/>
  <c r="K341" i="40"/>
  <c r="L341" i="40"/>
  <c r="W343" i="40" s="1"/>
  <c r="V348" i="40" s="1"/>
  <c r="M341" i="40"/>
  <c r="Z343" i="40" s="1"/>
  <c r="Y348" i="40" s="1"/>
  <c r="E341" i="40"/>
  <c r="L340" i="40"/>
  <c r="A340" i="40"/>
  <c r="BC344" i="40" s="1"/>
  <c r="F323" i="40"/>
  <c r="E325" i="40" s="1"/>
  <c r="D330" i="40" s="1"/>
  <c r="G323" i="40"/>
  <c r="H325" i="40" s="1"/>
  <c r="G330" i="40" s="1"/>
  <c r="H323" i="40"/>
  <c r="I323" i="40"/>
  <c r="N325" i="40" s="1"/>
  <c r="M330" i="40" s="1"/>
  <c r="J323" i="40"/>
  <c r="Q325" i="40" s="1"/>
  <c r="P330" i="40" s="1"/>
  <c r="K323" i="40"/>
  <c r="L323" i="40"/>
  <c r="W325" i="40" s="1"/>
  <c r="V330" i="40" s="1"/>
  <c r="M323" i="40"/>
  <c r="Z325" i="40" s="1"/>
  <c r="Y330" i="40" s="1"/>
  <c r="E323" i="40"/>
  <c r="L322" i="40"/>
  <c r="A322" i="40"/>
  <c r="BC326" i="40" s="1"/>
  <c r="L305" i="40"/>
  <c r="L306" i="40"/>
  <c r="W308" i="40" s="1"/>
  <c r="V313" i="40" s="1"/>
  <c r="M306" i="40"/>
  <c r="Z308" i="40" s="1"/>
  <c r="Y313" i="40" s="1"/>
  <c r="F306" i="40"/>
  <c r="E308" i="40" s="1"/>
  <c r="D313" i="40" s="1"/>
  <c r="G306" i="40"/>
  <c r="H308" i="40" s="1"/>
  <c r="G313" i="40" s="1"/>
  <c r="H306" i="40"/>
  <c r="K308" i="40" s="1"/>
  <c r="J313" i="40" s="1"/>
  <c r="I306" i="40"/>
  <c r="N308" i="40" s="1"/>
  <c r="M313" i="40" s="1"/>
  <c r="J306" i="40"/>
  <c r="Q308" i="40" s="1"/>
  <c r="P313" i="40" s="1"/>
  <c r="K306" i="40"/>
  <c r="T308" i="40" s="1"/>
  <c r="S313" i="40" s="1"/>
  <c r="E306" i="40"/>
  <c r="B308" i="40" s="1"/>
  <c r="A305" i="40"/>
  <c r="BC309" i="40" s="1"/>
  <c r="F288" i="40"/>
  <c r="E290" i="40" s="1"/>
  <c r="D298" i="40" s="1"/>
  <c r="G288" i="40"/>
  <c r="H290" i="40" s="1"/>
  <c r="G295" i="40" s="1"/>
  <c r="H288" i="40"/>
  <c r="I288" i="40"/>
  <c r="J288" i="40"/>
  <c r="K288" i="40"/>
  <c r="L288" i="40"/>
  <c r="M288" i="40"/>
  <c r="E288" i="40"/>
  <c r="B290" i="40" s="1"/>
  <c r="L287" i="40"/>
  <c r="A287" i="40"/>
  <c r="BC291" i="40" s="1"/>
  <c r="E273" i="40"/>
  <c r="G271" i="40"/>
  <c r="H273" i="40" s="1"/>
  <c r="H271" i="40"/>
  <c r="K273" i="40" s="1"/>
  <c r="I271" i="40"/>
  <c r="N273" i="40" s="1"/>
  <c r="J271" i="40"/>
  <c r="Q273" i="40" s="1"/>
  <c r="K271" i="40"/>
  <c r="T273" i="40" s="1"/>
  <c r="S278" i="40" s="1"/>
  <c r="L271" i="40"/>
  <c r="W273" i="40" s="1"/>
  <c r="V278" i="40" s="1"/>
  <c r="M271" i="40"/>
  <c r="Z273" i="40" s="1"/>
  <c r="Y278" i="40" s="1"/>
  <c r="E271" i="40"/>
  <c r="B273" i="40" s="1"/>
  <c r="L270" i="40"/>
  <c r="A270" i="40"/>
  <c r="BC274" i="40" s="1"/>
  <c r="L253" i="40"/>
  <c r="W255" i="40" s="1"/>
  <c r="V260" i="40" s="1"/>
  <c r="F253" i="40"/>
  <c r="G253" i="40"/>
  <c r="H255" i="40" s="1"/>
  <c r="H253" i="40"/>
  <c r="K255" i="40" s="1"/>
  <c r="I253" i="40"/>
  <c r="N255" i="40" s="1"/>
  <c r="J253" i="40"/>
  <c r="Q255" i="40" s="1"/>
  <c r="K253" i="40"/>
  <c r="T255" i="40" s="1"/>
  <c r="S263" i="40" s="1"/>
  <c r="F236" i="40"/>
  <c r="E238" i="40" s="1"/>
  <c r="G236" i="40"/>
  <c r="H238" i="40" s="1"/>
  <c r="H236" i="40"/>
  <c r="K238" i="40" s="1"/>
  <c r="I236" i="40"/>
  <c r="N238" i="40" s="1"/>
  <c r="J236" i="40"/>
  <c r="Q238" i="40" s="1"/>
  <c r="K236" i="40"/>
  <c r="T238" i="40" s="1"/>
  <c r="S243" i="40" s="1"/>
  <c r="L236" i="40"/>
  <c r="W238" i="40" s="1"/>
  <c r="V243" i="40" s="1"/>
  <c r="Z238" i="40"/>
  <c r="Y243" i="40" s="1"/>
  <c r="E236" i="40"/>
  <c r="E253" i="40"/>
  <c r="B255" i="40" s="1"/>
  <c r="L252" i="40"/>
  <c r="A252" i="40"/>
  <c r="BC256" i="40" s="1"/>
  <c r="L235" i="40"/>
  <c r="A235" i="40"/>
  <c r="BC239" i="40" s="1"/>
  <c r="F219" i="40"/>
  <c r="E221" i="40" s="1"/>
  <c r="H221" i="40"/>
  <c r="H219" i="40"/>
  <c r="I219" i="40"/>
  <c r="N221" i="40" s="1"/>
  <c r="J219" i="40"/>
  <c r="Q221" i="40" s="1"/>
  <c r="K219" i="40"/>
  <c r="L219" i="40"/>
  <c r="W221" i="40" s="1"/>
  <c r="V226" i="40" s="1"/>
  <c r="Z221" i="40"/>
  <c r="Y226" i="40" s="1"/>
  <c r="L218" i="40"/>
  <c r="A218" i="40"/>
  <c r="BC222" i="40" s="1"/>
  <c r="A200" i="40"/>
  <c r="BC204" i="40" s="1"/>
  <c r="L200" i="40"/>
  <c r="G201" i="40"/>
  <c r="H201" i="40"/>
  <c r="K203" i="40" s="1"/>
  <c r="I201" i="40"/>
  <c r="N203" i="40" s="1"/>
  <c r="J201" i="40"/>
  <c r="K201" i="40"/>
  <c r="L201" i="40"/>
  <c r="W203" i="40" s="1"/>
  <c r="V208" i="40" s="1"/>
  <c r="E203" i="40"/>
  <c r="F60" i="43"/>
  <c r="A60" i="43" s="1"/>
  <c r="F59" i="43"/>
  <c r="A59" i="43" s="1"/>
  <c r="F58" i="43"/>
  <c r="A58" i="43" s="1"/>
  <c r="F57" i="43"/>
  <c r="A57" i="43" s="1"/>
  <c r="F56" i="43"/>
  <c r="A56" i="43" s="1"/>
  <c r="F55" i="43"/>
  <c r="A55" i="43" s="1"/>
  <c r="F54" i="43"/>
  <c r="A54" i="43" s="1"/>
  <c r="F53" i="43"/>
  <c r="A53" i="43" s="1"/>
  <c r="F52" i="43"/>
  <c r="A52" i="43" s="1"/>
  <c r="F51" i="43"/>
  <c r="A51" i="43" s="1"/>
  <c r="F50" i="43"/>
  <c r="A50" i="43" s="1"/>
  <c r="F49" i="43"/>
  <c r="A49" i="43" s="1"/>
  <c r="F48" i="43"/>
  <c r="A48" i="43" s="1"/>
  <c r="F47" i="43"/>
  <c r="A47" i="43" s="1"/>
  <c r="F46" i="43"/>
  <c r="A46" i="43" s="1"/>
  <c r="F45" i="43"/>
  <c r="A45" i="43" s="1"/>
  <c r="F44" i="43"/>
  <c r="A44" i="43" s="1"/>
  <c r="F43" i="43"/>
  <c r="A43" i="43" s="1"/>
  <c r="F42" i="43"/>
  <c r="A42" i="43" s="1"/>
  <c r="F41" i="43"/>
  <c r="A41" i="43" s="1"/>
  <c r="F40" i="43"/>
  <c r="A40" i="43" s="1"/>
  <c r="F39" i="43"/>
  <c r="A39" i="43" s="1"/>
  <c r="F38" i="43"/>
  <c r="A38" i="43" s="1"/>
  <c r="F37" i="43"/>
  <c r="A37" i="43" s="1"/>
  <c r="F36" i="43"/>
  <c r="A36" i="43" s="1"/>
  <c r="F35" i="43"/>
  <c r="A35" i="43" s="1"/>
  <c r="F34" i="43"/>
  <c r="A34" i="43" s="1"/>
  <c r="F33" i="43"/>
  <c r="A33" i="43" s="1"/>
  <c r="F32" i="43"/>
  <c r="A32" i="43" s="1"/>
  <c r="F31" i="43"/>
  <c r="A31" i="43" s="1"/>
  <c r="F30" i="43"/>
  <c r="A30" i="43" s="1"/>
  <c r="F29" i="43"/>
  <c r="A29" i="43" s="1"/>
  <c r="F28" i="43"/>
  <c r="A28" i="43" s="1"/>
  <c r="F27" i="43"/>
  <c r="A27" i="43" s="1"/>
  <c r="F26" i="43"/>
  <c r="A26" i="43" s="1"/>
  <c r="F25" i="43"/>
  <c r="A25" i="43" s="1"/>
  <c r="F24" i="43"/>
  <c r="A24" i="43" s="1"/>
  <c r="F23" i="43"/>
  <c r="A23" i="43" s="1"/>
  <c r="F22" i="43"/>
  <c r="A22" i="43" s="1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F21" i="43"/>
  <c r="A21" i="43" s="1"/>
  <c r="D21" i="43"/>
  <c r="F20" i="43"/>
  <c r="A20" i="43" s="1"/>
  <c r="D20" i="43"/>
  <c r="F19" i="43"/>
  <c r="A19" i="43" s="1"/>
  <c r="D19" i="43"/>
  <c r="F18" i="43"/>
  <c r="A18" i="43" s="1"/>
  <c r="D18" i="43"/>
  <c r="F17" i="43"/>
  <c r="A17" i="43" s="1"/>
  <c r="F16" i="43"/>
  <c r="A16" i="43" s="1"/>
  <c r="F15" i="43"/>
  <c r="A15" i="43" s="1"/>
  <c r="M15" i="43" s="1"/>
  <c r="F14" i="43"/>
  <c r="A14" i="43" s="1"/>
  <c r="L14" i="43" s="1"/>
  <c r="F13" i="43"/>
  <c r="A13" i="43" s="1"/>
  <c r="M13" i="43" s="1"/>
  <c r="F12" i="43"/>
  <c r="A12" i="43" s="1"/>
  <c r="L12" i="43" s="1"/>
  <c r="F11" i="43"/>
  <c r="A11" i="43" s="1"/>
  <c r="M11" i="43" s="1"/>
  <c r="F8" i="43"/>
  <c r="A8" i="43" s="1"/>
  <c r="F9" i="43"/>
  <c r="A9" i="43" s="1"/>
  <c r="F7" i="43"/>
  <c r="F10" i="43"/>
  <c r="A10" i="43" s="1"/>
  <c r="E89" i="43"/>
  <c r="C89" i="43"/>
  <c r="AL371" i="40"/>
  <c r="AK370" i="40"/>
  <c r="AK367" i="40"/>
  <c r="AE365" i="40"/>
  <c r="AK364" i="40"/>
  <c r="AE364" i="40"/>
  <c r="AV363" i="40"/>
  <c r="BA363" i="40" s="1"/>
  <c r="AL363" i="40"/>
  <c r="AL361" i="40"/>
  <c r="AD370" i="40" s="1"/>
  <c r="AI361" i="40"/>
  <c r="AD367" i="40" s="1"/>
  <c r="AF361" i="40"/>
  <c r="AD364" i="40" s="1"/>
  <c r="AE361" i="40"/>
  <c r="AD363" i="40" s="1"/>
  <c r="AF363" i="40" s="1"/>
  <c r="AG363" i="40" s="1"/>
  <c r="AO363" i="40" s="1"/>
  <c r="AD361" i="40"/>
  <c r="AY353" i="40"/>
  <c r="AM353" i="40"/>
  <c r="AS353" i="40" s="1"/>
  <c r="AL353" i="40"/>
  <c r="AK353" i="40"/>
  <c r="AK352" i="40"/>
  <c r="AK350" i="40"/>
  <c r="AK349" i="40"/>
  <c r="AK347" i="40"/>
  <c r="AE347" i="40"/>
  <c r="AK346" i="40"/>
  <c r="AE346" i="40"/>
  <c r="AE345" i="40"/>
  <c r="AM343" i="40"/>
  <c r="AD353" i="40" s="1"/>
  <c r="AL343" i="40"/>
  <c r="AD352" i="40" s="1"/>
  <c r="AJ343" i="40"/>
  <c r="AD350" i="40" s="1"/>
  <c r="AI343" i="40"/>
  <c r="AD349" i="40" s="1"/>
  <c r="AG343" i="40"/>
  <c r="AD347" i="40" s="1"/>
  <c r="AF343" i="40"/>
  <c r="AD346" i="40" s="1"/>
  <c r="AD343" i="40"/>
  <c r="AL336" i="40"/>
  <c r="AK335" i="40"/>
  <c r="AK332" i="40"/>
  <c r="AE330" i="40"/>
  <c r="AK329" i="40"/>
  <c r="AE329" i="40"/>
  <c r="AW328" i="40"/>
  <c r="AV328" i="40"/>
  <c r="BA328" i="40" s="1"/>
  <c r="AL328" i="40"/>
  <c r="AL326" i="40"/>
  <c r="AD335" i="40" s="1"/>
  <c r="AI326" i="40"/>
  <c r="AD332" i="40" s="1"/>
  <c r="AF326" i="40"/>
  <c r="AD329" i="40" s="1"/>
  <c r="AE326" i="40"/>
  <c r="AD328" i="40" s="1"/>
  <c r="AF328" i="40" s="1"/>
  <c r="AG328" i="40" s="1"/>
  <c r="AO328" i="40" s="1"/>
  <c r="AD326" i="40"/>
  <c r="AL318" i="40"/>
  <c r="AK318" i="40"/>
  <c r="AK317" i="40"/>
  <c r="AK315" i="40"/>
  <c r="AK314" i="40"/>
  <c r="AK312" i="40"/>
  <c r="AE312" i="40"/>
  <c r="AK311" i="40"/>
  <c r="AE311" i="40"/>
  <c r="AE310" i="40"/>
  <c r="AM308" i="40"/>
  <c r="AD318" i="40" s="1"/>
  <c r="AL308" i="40"/>
  <c r="AD317" i="40" s="1"/>
  <c r="AJ308" i="40"/>
  <c r="AD315" i="40" s="1"/>
  <c r="AI308" i="40"/>
  <c r="AD314" i="40" s="1"/>
  <c r="AG308" i="40"/>
  <c r="AD312" i="40" s="1"/>
  <c r="AF308" i="40"/>
  <c r="AD311" i="40" s="1"/>
  <c r="AD308" i="40"/>
  <c r="AL300" i="40"/>
  <c r="AK300" i="40"/>
  <c r="AK299" i="40"/>
  <c r="AK297" i="40"/>
  <c r="AK296" i="40"/>
  <c r="AK294" i="40"/>
  <c r="AE294" i="40"/>
  <c r="AK293" i="40"/>
  <c r="AE293" i="40"/>
  <c r="AE292" i="40"/>
  <c r="AM290" i="40"/>
  <c r="AD300" i="40" s="1"/>
  <c r="AL290" i="40"/>
  <c r="AD299" i="40" s="1"/>
  <c r="AJ290" i="40"/>
  <c r="AD297" i="40" s="1"/>
  <c r="AI290" i="40"/>
  <c r="AD296" i="40" s="1"/>
  <c r="AG290" i="40"/>
  <c r="AD294" i="40" s="1"/>
  <c r="AF290" i="40"/>
  <c r="AD293" i="40" s="1"/>
  <c r="AM292" i="40" s="1"/>
  <c r="AD290" i="40"/>
  <c r="AY282" i="40"/>
  <c r="AV282" i="40"/>
  <c r="AW282" i="40" s="1"/>
  <c r="AM282" i="40"/>
  <c r="AS282" i="40" s="1"/>
  <c r="AL282" i="40"/>
  <c r="AE282" i="40"/>
  <c r="AV281" i="40"/>
  <c r="AZ281" i="40" s="1"/>
  <c r="AK281" i="40"/>
  <c r="AE281" i="40"/>
  <c r="AV280" i="40"/>
  <c r="BA280" i="40" s="1"/>
  <c r="AK280" i="40"/>
  <c r="AE280" i="40"/>
  <c r="AV279" i="40"/>
  <c r="AZ279" i="40" s="1"/>
  <c r="AE279" i="40"/>
  <c r="AV278" i="40"/>
  <c r="BA278" i="40" s="1"/>
  <c r="AK278" i="40"/>
  <c r="AE278" i="40"/>
  <c r="AV277" i="40"/>
  <c r="AZ277" i="40" s="1"/>
  <c r="AK277" i="40"/>
  <c r="AE277" i="40"/>
  <c r="AV276" i="40"/>
  <c r="BA276" i="40" s="1"/>
  <c r="AE276" i="40"/>
  <c r="AV275" i="40"/>
  <c r="AZ275" i="40" s="1"/>
  <c r="AK275" i="40"/>
  <c r="AE275" i="40"/>
  <c r="AV274" i="40"/>
  <c r="BA274" i="40" s="1"/>
  <c r="AY300" i="40" s="1"/>
  <c r="AL274" i="40"/>
  <c r="AL272" i="40"/>
  <c r="AD281" i="40" s="1"/>
  <c r="AK272" i="40"/>
  <c r="AD280" i="40" s="1"/>
  <c r="AI272" i="40"/>
  <c r="AD278" i="40" s="1"/>
  <c r="AN277" i="40" s="1"/>
  <c r="AH272" i="40"/>
  <c r="AD277" i="40" s="1"/>
  <c r="AF272" i="40"/>
  <c r="AD275" i="40" s="1"/>
  <c r="AF275" i="40" s="1"/>
  <c r="AJ275" i="40" s="1"/>
  <c r="AR275" i="40" s="1"/>
  <c r="AE272" i="40"/>
  <c r="AD274" i="40" s="1"/>
  <c r="AF274" i="40" s="1"/>
  <c r="AG274" i="40" s="1"/>
  <c r="AO274" i="40" s="1"/>
  <c r="AD272" i="40"/>
  <c r="AL265" i="40"/>
  <c r="AK264" i="40"/>
  <c r="AK263" i="40"/>
  <c r="AK261" i="40"/>
  <c r="AK260" i="40"/>
  <c r="AE259" i="40"/>
  <c r="AK258" i="40"/>
  <c r="AE258" i="40"/>
  <c r="AV257" i="40"/>
  <c r="BA257" i="40" s="1"/>
  <c r="AL257" i="40"/>
  <c r="AL255" i="40"/>
  <c r="AD264" i="40" s="1"/>
  <c r="AM263" i="40" s="1"/>
  <c r="AK255" i="40"/>
  <c r="AD263" i="40" s="1"/>
  <c r="AN262" i="40" s="1"/>
  <c r="AI255" i="40"/>
  <c r="AD261" i="40" s="1"/>
  <c r="AN260" i="40" s="1"/>
  <c r="AH255" i="40"/>
  <c r="AD260" i="40" s="1"/>
  <c r="AM259" i="40" s="1"/>
  <c r="AF255" i="40"/>
  <c r="AD258" i="40" s="1"/>
  <c r="AM257" i="40" s="1"/>
  <c r="AE255" i="40"/>
  <c r="AD257" i="40" s="1"/>
  <c r="AF257" i="40" s="1"/>
  <c r="AG257" i="40" s="1"/>
  <c r="AO257" i="40" s="1"/>
  <c r="AD255" i="40"/>
  <c r="AY247" i="40"/>
  <c r="AV247" i="40"/>
  <c r="AW247" i="40" s="1"/>
  <c r="AM247" i="40"/>
  <c r="AS247" i="40" s="1"/>
  <c r="AL247" i="40"/>
  <c r="AE247" i="40"/>
  <c r="AV246" i="40"/>
  <c r="AZ246" i="40" s="1"/>
  <c r="AK246" i="40"/>
  <c r="AE246" i="40"/>
  <c r="AV245" i="40"/>
  <c r="BA245" i="40" s="1"/>
  <c r="AK245" i="40"/>
  <c r="AE245" i="40"/>
  <c r="AV244" i="40"/>
  <c r="AZ244" i="40" s="1"/>
  <c r="AE244" i="40"/>
  <c r="AV243" i="40"/>
  <c r="BA243" i="40" s="1"/>
  <c r="AK243" i="40"/>
  <c r="AE243" i="40"/>
  <c r="AV242" i="40"/>
  <c r="AZ242" i="40" s="1"/>
  <c r="AK242" i="40"/>
  <c r="AE242" i="40"/>
  <c r="AV241" i="40"/>
  <c r="BA241" i="40" s="1"/>
  <c r="AE241" i="40"/>
  <c r="AV240" i="40"/>
  <c r="AZ240" i="40" s="1"/>
  <c r="AK240" i="40"/>
  <c r="AE240" i="40"/>
  <c r="AV239" i="40"/>
  <c r="BA239" i="40" s="1"/>
  <c r="AY265" i="40" s="1"/>
  <c r="AL239" i="40"/>
  <c r="AL237" i="40"/>
  <c r="AD246" i="40" s="1"/>
  <c r="AK237" i="40"/>
  <c r="AD245" i="40" s="1"/>
  <c r="AI237" i="40"/>
  <c r="AD243" i="40" s="1"/>
  <c r="AN242" i="40" s="1"/>
  <c r="AH237" i="40"/>
  <c r="AD242" i="40" s="1"/>
  <c r="AF237" i="40"/>
  <c r="AD240" i="40" s="1"/>
  <c r="AF240" i="40" s="1"/>
  <c r="AJ240" i="40" s="1"/>
  <c r="AR240" i="40" s="1"/>
  <c r="AE237" i="40"/>
  <c r="AD239" i="40" s="1"/>
  <c r="AF239" i="40" s="1"/>
  <c r="AG239" i="40" s="1"/>
  <c r="AO239" i="40" s="1"/>
  <c r="AD237" i="40"/>
  <c r="AV230" i="40"/>
  <c r="AW230" i="40" s="1"/>
  <c r="AL230" i="40"/>
  <c r="AK230" i="40"/>
  <c r="AE230" i="40"/>
  <c r="AV229" i="40"/>
  <c r="AK229" i="40"/>
  <c r="AE229" i="40"/>
  <c r="AV228" i="40"/>
  <c r="AE228" i="40"/>
  <c r="AV227" i="40"/>
  <c r="AK227" i="40"/>
  <c r="AE227" i="40"/>
  <c r="AV226" i="40"/>
  <c r="AK226" i="40"/>
  <c r="AE226" i="40"/>
  <c r="AV225" i="40"/>
  <c r="AE225" i="40"/>
  <c r="AV224" i="40"/>
  <c r="AK224" i="40"/>
  <c r="AE224" i="40"/>
  <c r="AV223" i="40"/>
  <c r="AY222" i="40" s="1"/>
  <c r="AK223" i="40"/>
  <c r="AE223" i="40"/>
  <c r="AE222" i="40"/>
  <c r="AM220" i="40"/>
  <c r="AD230" i="40" s="1"/>
  <c r="AL220" i="40"/>
  <c r="AD229" i="40" s="1"/>
  <c r="AM228" i="40" s="1"/>
  <c r="AJ220" i="40"/>
  <c r="AD227" i="40" s="1"/>
  <c r="AM226" i="40" s="1"/>
  <c r="AI220" i="40"/>
  <c r="AD226" i="40" s="1"/>
  <c r="AG220" i="40"/>
  <c r="AD224" i="40" s="1"/>
  <c r="AF220" i="40"/>
  <c r="AD223" i="40" s="1"/>
  <c r="AM222" i="40" s="1"/>
  <c r="AD220" i="40"/>
  <c r="AY212" i="40"/>
  <c r="AV212" i="40"/>
  <c r="AW212" i="40" s="1"/>
  <c r="AM212" i="40"/>
  <c r="AS212" i="40" s="1"/>
  <c r="AL212" i="40"/>
  <c r="AK212" i="40"/>
  <c r="AE212" i="40"/>
  <c r="AV211" i="40"/>
  <c r="AZ211" i="40" s="1"/>
  <c r="AK211" i="40"/>
  <c r="AE211" i="40"/>
  <c r="AV210" i="40"/>
  <c r="BA210" i="40" s="1"/>
  <c r="AE210" i="40"/>
  <c r="AV209" i="40"/>
  <c r="AZ209" i="40" s="1"/>
  <c r="AK209" i="40"/>
  <c r="AE209" i="40"/>
  <c r="AV208" i="40"/>
  <c r="BA208" i="40" s="1"/>
  <c r="AK208" i="40"/>
  <c r="AE208" i="40"/>
  <c r="AV207" i="40"/>
  <c r="AZ207" i="40" s="1"/>
  <c r="AE207" i="40"/>
  <c r="AV206" i="40"/>
  <c r="BA206" i="40" s="1"/>
  <c r="AK206" i="40"/>
  <c r="AE206" i="40"/>
  <c r="AV205" i="40"/>
  <c r="AZ205" i="40" s="1"/>
  <c r="AK205" i="40"/>
  <c r="AE205" i="40"/>
  <c r="AE204" i="40"/>
  <c r="AM202" i="40"/>
  <c r="AD212" i="40" s="1"/>
  <c r="AL202" i="40"/>
  <c r="AD211" i="40" s="1"/>
  <c r="AJ202" i="40"/>
  <c r="AD209" i="40" s="1"/>
  <c r="AI202" i="40"/>
  <c r="AD208" i="40" s="1"/>
  <c r="AG202" i="40"/>
  <c r="AD206" i="40" s="1"/>
  <c r="AF202" i="40"/>
  <c r="AD205" i="40" s="1"/>
  <c r="AD202" i="40"/>
  <c r="AL195" i="40"/>
  <c r="AK194" i="40"/>
  <c r="AK191" i="40"/>
  <c r="AE189" i="40"/>
  <c r="AK188" i="40"/>
  <c r="AE188" i="40"/>
  <c r="AV187" i="40"/>
  <c r="BA187" i="40" s="1"/>
  <c r="AL187" i="40"/>
  <c r="AL185" i="40"/>
  <c r="AD194" i="40" s="1"/>
  <c r="AI185" i="40"/>
  <c r="AD191" i="40" s="1"/>
  <c r="AF185" i="40"/>
  <c r="AD188" i="40" s="1"/>
  <c r="AM187" i="40" s="1"/>
  <c r="AE185" i="40"/>
  <c r="AD187" i="40" s="1"/>
  <c r="AF187" i="40" s="1"/>
  <c r="AG187" i="40" s="1"/>
  <c r="AO187" i="40" s="1"/>
  <c r="AD185" i="40"/>
  <c r="AY177" i="40"/>
  <c r="AM177" i="40"/>
  <c r="AS177" i="40" s="1"/>
  <c r="AL177" i="40"/>
  <c r="AK177" i="40"/>
  <c r="AK176" i="40"/>
  <c r="AK174" i="40"/>
  <c r="AK173" i="40"/>
  <c r="AK171" i="40"/>
  <c r="AE171" i="40"/>
  <c r="AK170" i="40"/>
  <c r="AE170" i="40"/>
  <c r="AE169" i="40"/>
  <c r="AM167" i="40"/>
  <c r="AD177" i="40" s="1"/>
  <c r="AL167" i="40"/>
  <c r="AD176" i="40" s="1"/>
  <c r="AJ167" i="40"/>
  <c r="AD174" i="40" s="1"/>
  <c r="AI167" i="40"/>
  <c r="AD173" i="40" s="1"/>
  <c r="AG167" i="40"/>
  <c r="AD171" i="40" s="1"/>
  <c r="AF167" i="40"/>
  <c r="AD170" i="40" s="1"/>
  <c r="AD167" i="40"/>
  <c r="AL160" i="40"/>
  <c r="AK159" i="40"/>
  <c r="AK156" i="40"/>
  <c r="AE154" i="40"/>
  <c r="AK153" i="40"/>
  <c r="AE153" i="40"/>
  <c r="AW152" i="40"/>
  <c r="AV152" i="40"/>
  <c r="BA152" i="40" s="1"/>
  <c r="AL152" i="40"/>
  <c r="AL150" i="40"/>
  <c r="AD159" i="40" s="1"/>
  <c r="AI150" i="40"/>
  <c r="AD156" i="40" s="1"/>
  <c r="AF150" i="40"/>
  <c r="AD153" i="40" s="1"/>
  <c r="AE150" i="40"/>
  <c r="AD152" i="40" s="1"/>
  <c r="AF152" i="40" s="1"/>
  <c r="AG152" i="40" s="1"/>
  <c r="AO152" i="40" s="1"/>
  <c r="AD150" i="40"/>
  <c r="AY142" i="40"/>
  <c r="AM142" i="40"/>
  <c r="AS142" i="40" s="1"/>
  <c r="AL142" i="40"/>
  <c r="AK142" i="40"/>
  <c r="AK141" i="40"/>
  <c r="AK139" i="40"/>
  <c r="AK138" i="40"/>
  <c r="AK136" i="40"/>
  <c r="AE136" i="40"/>
  <c r="AK135" i="40"/>
  <c r="AE135" i="40"/>
  <c r="AE134" i="40"/>
  <c r="AM132" i="40"/>
  <c r="AD142" i="40" s="1"/>
  <c r="AL132" i="40"/>
  <c r="AD141" i="40" s="1"/>
  <c r="AJ132" i="40"/>
  <c r="AD139" i="40" s="1"/>
  <c r="AI132" i="40"/>
  <c r="AD138" i="40" s="1"/>
  <c r="AG132" i="40"/>
  <c r="AD136" i="40" s="1"/>
  <c r="AF132" i="40"/>
  <c r="AD135" i="40" s="1"/>
  <c r="AD132" i="40"/>
  <c r="AL125" i="40"/>
  <c r="AK124" i="40"/>
  <c r="AK121" i="40"/>
  <c r="AE119" i="40"/>
  <c r="AK118" i="40"/>
  <c r="AE118" i="40"/>
  <c r="AW117" i="40"/>
  <c r="AV117" i="40"/>
  <c r="BA117" i="40" s="1"/>
  <c r="AL117" i="40"/>
  <c r="AL115" i="40"/>
  <c r="AD124" i="40" s="1"/>
  <c r="AI115" i="40"/>
  <c r="AD121" i="40" s="1"/>
  <c r="AF115" i="40"/>
  <c r="AD118" i="40" s="1"/>
  <c r="AE115" i="40"/>
  <c r="AD117" i="40" s="1"/>
  <c r="AF117" i="40" s="1"/>
  <c r="AG117" i="40" s="1"/>
  <c r="AO117" i="40" s="1"/>
  <c r="AD115" i="40"/>
  <c r="AY107" i="40"/>
  <c r="AM107" i="40"/>
  <c r="AS107" i="40" s="1"/>
  <c r="AL107" i="40"/>
  <c r="AK107" i="40"/>
  <c r="AK106" i="40"/>
  <c r="AK104" i="40"/>
  <c r="AK103" i="40"/>
  <c r="AK101" i="40"/>
  <c r="AE101" i="40"/>
  <c r="AK100" i="40"/>
  <c r="AE100" i="40"/>
  <c r="AE99" i="40"/>
  <c r="AM97" i="40"/>
  <c r="AD107" i="40" s="1"/>
  <c r="AL97" i="40"/>
  <c r="AD106" i="40" s="1"/>
  <c r="AJ97" i="40"/>
  <c r="AD104" i="40" s="1"/>
  <c r="AI97" i="40"/>
  <c r="AD103" i="40" s="1"/>
  <c r="AG97" i="40"/>
  <c r="AD101" i="40" s="1"/>
  <c r="AF97" i="40"/>
  <c r="AD100" i="40" s="1"/>
  <c r="AD97" i="40"/>
  <c r="AL90" i="40"/>
  <c r="AK90" i="40"/>
  <c r="AK89" i="40"/>
  <c r="AK87" i="40"/>
  <c r="AK86" i="40"/>
  <c r="AK84" i="40"/>
  <c r="AE84" i="40"/>
  <c r="AK83" i="40"/>
  <c r="AE83" i="40"/>
  <c r="AW82" i="40"/>
  <c r="AE82" i="40"/>
  <c r="AM80" i="40"/>
  <c r="AD90" i="40" s="1"/>
  <c r="AL80" i="40"/>
  <c r="AD89" i="40" s="1"/>
  <c r="AJ80" i="40"/>
  <c r="AD87" i="40" s="1"/>
  <c r="AI80" i="40"/>
  <c r="AD86" i="40" s="1"/>
  <c r="AG80" i="40"/>
  <c r="AD84" i="40" s="1"/>
  <c r="AF80" i="40"/>
  <c r="AD83" i="40" s="1"/>
  <c r="AD80" i="40"/>
  <c r="AY72" i="40"/>
  <c r="AM72" i="40"/>
  <c r="AS72" i="40" s="1"/>
  <c r="AL72" i="40"/>
  <c r="AK72" i="40"/>
  <c r="AK71" i="40"/>
  <c r="AK69" i="40"/>
  <c r="AK68" i="40"/>
  <c r="AK66" i="40"/>
  <c r="AE66" i="40"/>
  <c r="AK65" i="40"/>
  <c r="AE65" i="40"/>
  <c r="AE64" i="40"/>
  <c r="AM62" i="40"/>
  <c r="AD72" i="40" s="1"/>
  <c r="AL62" i="40"/>
  <c r="AD71" i="40" s="1"/>
  <c r="AJ62" i="40"/>
  <c r="AD69" i="40" s="1"/>
  <c r="AI62" i="40"/>
  <c r="AD68" i="40" s="1"/>
  <c r="AG62" i="40"/>
  <c r="AD66" i="40" s="1"/>
  <c r="AF62" i="40"/>
  <c r="AD65" i="40" s="1"/>
  <c r="AD62" i="40"/>
  <c r="AL55" i="40"/>
  <c r="AM45" i="40"/>
  <c r="AD55" i="40" s="1"/>
  <c r="AL45" i="40"/>
  <c r="AD54" i="40" s="1"/>
  <c r="AK45" i="40"/>
  <c r="AD53" i="40" s="1"/>
  <c r="AJ45" i="40"/>
  <c r="AD52" i="40" s="1"/>
  <c r="AI45" i="40"/>
  <c r="AD51" i="40" s="1"/>
  <c r="AH45" i="40"/>
  <c r="AD50" i="40" s="1"/>
  <c r="AG45" i="40"/>
  <c r="AD49" i="40" s="1"/>
  <c r="AF45" i="40"/>
  <c r="AD48" i="40" s="1"/>
  <c r="AE45" i="40"/>
  <c r="AD47" i="40" s="1"/>
  <c r="AD45" i="40"/>
  <c r="AF27" i="40"/>
  <c r="AE27" i="40"/>
  <c r="AD29" i="40" s="1"/>
  <c r="W361" i="40"/>
  <c r="V366" i="40" s="1"/>
  <c r="A359" i="40"/>
  <c r="A341" i="40"/>
  <c r="A323" i="40"/>
  <c r="A306" i="40"/>
  <c r="A288" i="40"/>
  <c r="A271" i="40"/>
  <c r="E255" i="40"/>
  <c r="A253" i="40"/>
  <c r="B238" i="40"/>
  <c r="A236" i="40"/>
  <c r="A219" i="40"/>
  <c r="A201" i="40"/>
  <c r="V211" i="40" l="1"/>
  <c r="V229" i="40"/>
  <c r="V246" i="40"/>
  <c r="V263" i="40"/>
  <c r="V281" i="40"/>
  <c r="D316" i="40"/>
  <c r="J316" i="40"/>
  <c r="P316" i="40"/>
  <c r="V316" i="40"/>
  <c r="D333" i="40"/>
  <c r="P333" i="40"/>
  <c r="V333" i="40"/>
  <c r="D351" i="40"/>
  <c r="P351" i="40"/>
  <c r="V351" i="40"/>
  <c r="D369" i="40"/>
  <c r="P369" i="40"/>
  <c r="V369" i="40"/>
  <c r="A7" i="43"/>
  <c r="G7" i="43" s="1"/>
  <c r="Y229" i="40"/>
  <c r="Y246" i="40"/>
  <c r="Y263" i="40"/>
  <c r="Y281" i="40"/>
  <c r="G316" i="40"/>
  <c r="M316" i="40"/>
  <c r="S316" i="40"/>
  <c r="Y316" i="40"/>
  <c r="G333" i="40"/>
  <c r="M333" i="40"/>
  <c r="Y333" i="40"/>
  <c r="G351" i="40"/>
  <c r="M351" i="40"/>
  <c r="Y351" i="40"/>
  <c r="G369" i="40"/>
  <c r="M369" i="40"/>
  <c r="Y369" i="40"/>
  <c r="A6" i="43"/>
  <c r="M6" i="43" s="1"/>
  <c r="A92" i="43"/>
  <c r="A96" i="43"/>
  <c r="L96" i="43" s="1"/>
  <c r="A94" i="43"/>
  <c r="L94" i="43" s="1"/>
  <c r="H97" i="43"/>
  <c r="H105" i="43"/>
  <c r="H103" i="43"/>
  <c r="H101" i="43"/>
  <c r="A104" i="43"/>
  <c r="L104" i="43" s="1"/>
  <c r="A102" i="43"/>
  <c r="L102" i="43" s="1"/>
  <c r="A91" i="43"/>
  <c r="G91" i="43" s="1"/>
  <c r="N91" i="43" s="1"/>
  <c r="A95" i="43"/>
  <c r="L95" i="43" s="1"/>
  <c r="A93" i="43"/>
  <c r="L93" i="43" s="1"/>
  <c r="M93" i="43"/>
  <c r="M167" i="43"/>
  <c r="M163" i="43"/>
  <c r="M159" i="43"/>
  <c r="M155" i="43"/>
  <c r="M151" i="43"/>
  <c r="M147" i="43"/>
  <c r="M143" i="43"/>
  <c r="M139" i="43"/>
  <c r="M135" i="43"/>
  <c r="M131" i="43"/>
  <c r="M127" i="43"/>
  <c r="M123" i="43"/>
  <c r="M119" i="43"/>
  <c r="M115" i="43"/>
  <c r="M111" i="43"/>
  <c r="M107" i="43"/>
  <c r="M103" i="43"/>
  <c r="M101" i="43"/>
  <c r="M169" i="43"/>
  <c r="M165" i="43"/>
  <c r="M161" i="43"/>
  <c r="M157" i="43"/>
  <c r="M153" i="43"/>
  <c r="M149" i="43"/>
  <c r="M145" i="43"/>
  <c r="M141" i="43"/>
  <c r="M137" i="43"/>
  <c r="M133" i="43"/>
  <c r="M129" i="43"/>
  <c r="M125" i="43"/>
  <c r="M121" i="43"/>
  <c r="M117" i="43"/>
  <c r="M113" i="43"/>
  <c r="M109" i="43"/>
  <c r="M105" i="43"/>
  <c r="M92" i="43"/>
  <c r="M168" i="43"/>
  <c r="M166" i="43"/>
  <c r="M164" i="43"/>
  <c r="M162" i="43"/>
  <c r="M160" i="43"/>
  <c r="M158" i="43"/>
  <c r="M156" i="43"/>
  <c r="M154" i="43"/>
  <c r="M152" i="43"/>
  <c r="M150" i="43"/>
  <c r="M148" i="43"/>
  <c r="M146" i="43"/>
  <c r="M144" i="43"/>
  <c r="M142" i="43"/>
  <c r="M140" i="43"/>
  <c r="M138" i="43"/>
  <c r="M136" i="43"/>
  <c r="M134" i="43"/>
  <c r="M132" i="43"/>
  <c r="M130" i="43"/>
  <c r="M128" i="43"/>
  <c r="M126" i="43"/>
  <c r="M124" i="43"/>
  <c r="M122" i="43"/>
  <c r="M120" i="43"/>
  <c r="M118" i="43"/>
  <c r="M116" i="43"/>
  <c r="M114" i="43"/>
  <c r="M112" i="43"/>
  <c r="M110" i="43"/>
  <c r="M108" i="43"/>
  <c r="M106" i="43"/>
  <c r="M104" i="43"/>
  <c r="G102" i="43"/>
  <c r="G104" i="43"/>
  <c r="G94" i="43"/>
  <c r="K94" i="43" s="1"/>
  <c r="L101" i="43"/>
  <c r="L97" i="43"/>
  <c r="L105" i="43"/>
  <c r="L103" i="43"/>
  <c r="G93" i="43"/>
  <c r="O93" i="43" s="1"/>
  <c r="E94" i="43"/>
  <c r="E92" i="43"/>
  <c r="C92" i="43"/>
  <c r="C93" i="43"/>
  <c r="E93" i="43"/>
  <c r="M7" i="43"/>
  <c r="L7" i="43"/>
  <c r="L8" i="43"/>
  <c r="M8" i="43"/>
  <c r="L18" i="43"/>
  <c r="M18" i="43"/>
  <c r="L16" i="43"/>
  <c r="M16" i="43"/>
  <c r="L84" i="43"/>
  <c r="M84" i="43"/>
  <c r="L82" i="43"/>
  <c r="M82" i="43"/>
  <c r="L80" i="43"/>
  <c r="M80" i="43"/>
  <c r="L78" i="43"/>
  <c r="M78" i="43"/>
  <c r="L76" i="43"/>
  <c r="M76" i="43"/>
  <c r="L74" i="43"/>
  <c r="M74" i="43"/>
  <c r="L72" i="43"/>
  <c r="M72" i="43"/>
  <c r="L70" i="43"/>
  <c r="M70" i="43"/>
  <c r="M68" i="43"/>
  <c r="L68" i="43"/>
  <c r="M66" i="43"/>
  <c r="L66" i="43"/>
  <c r="M64" i="43"/>
  <c r="L64" i="43"/>
  <c r="M62" i="43"/>
  <c r="L62" i="43"/>
  <c r="M60" i="43"/>
  <c r="L60" i="43"/>
  <c r="M58" i="43"/>
  <c r="L58" i="43"/>
  <c r="L56" i="43"/>
  <c r="M56" i="43"/>
  <c r="L54" i="43"/>
  <c r="M54" i="43"/>
  <c r="L52" i="43"/>
  <c r="M52" i="43"/>
  <c r="L50" i="43"/>
  <c r="M50" i="43"/>
  <c r="L48" i="43"/>
  <c r="M48" i="43"/>
  <c r="M46" i="43"/>
  <c r="L46" i="43"/>
  <c r="M44" i="43"/>
  <c r="L44" i="43"/>
  <c r="M42" i="43"/>
  <c r="L42" i="43"/>
  <c r="M40" i="43"/>
  <c r="L40" i="43"/>
  <c r="M38" i="43"/>
  <c r="L38" i="43"/>
  <c r="M36" i="43"/>
  <c r="L36" i="43"/>
  <c r="M34" i="43"/>
  <c r="L34" i="43"/>
  <c r="M32" i="43"/>
  <c r="L32" i="43"/>
  <c r="M30" i="43"/>
  <c r="L30" i="43"/>
  <c r="M28" i="43"/>
  <c r="L28" i="43"/>
  <c r="L26" i="43"/>
  <c r="M26" i="43"/>
  <c r="L24" i="43"/>
  <c r="M24" i="43"/>
  <c r="L22" i="43"/>
  <c r="M22" i="43"/>
  <c r="L20" i="43"/>
  <c r="M20" i="43"/>
  <c r="G6" i="43"/>
  <c r="N6" i="43" s="1"/>
  <c r="L6" i="43"/>
  <c r="L15" i="43"/>
  <c r="M14" i="43"/>
  <c r="L13" i="43"/>
  <c r="M12" i="43"/>
  <c r="L11" i="43"/>
  <c r="L10" i="43"/>
  <c r="M10" i="43"/>
  <c r="M9" i="43"/>
  <c r="L9" i="43"/>
  <c r="M17" i="43"/>
  <c r="L17" i="43"/>
  <c r="M83" i="43"/>
  <c r="L83" i="43"/>
  <c r="M81" i="43"/>
  <c r="L81" i="43"/>
  <c r="M79" i="43"/>
  <c r="L79" i="43"/>
  <c r="M77" i="43"/>
  <c r="L77" i="43"/>
  <c r="M75" i="43"/>
  <c r="L75" i="43"/>
  <c r="M73" i="43"/>
  <c r="L73" i="43"/>
  <c r="M71" i="43"/>
  <c r="L71" i="43"/>
  <c r="L69" i="43"/>
  <c r="M69" i="43"/>
  <c r="L67" i="43"/>
  <c r="M67" i="43"/>
  <c r="L65" i="43"/>
  <c r="M65" i="43"/>
  <c r="L63" i="43"/>
  <c r="M63" i="43"/>
  <c r="L61" i="43"/>
  <c r="M61" i="43"/>
  <c r="L59" i="43"/>
  <c r="M59" i="43"/>
  <c r="M57" i="43"/>
  <c r="L57" i="43"/>
  <c r="M55" i="43"/>
  <c r="L55" i="43"/>
  <c r="M53" i="43"/>
  <c r="L53" i="43"/>
  <c r="M51" i="43"/>
  <c r="L51" i="43"/>
  <c r="M49" i="43"/>
  <c r="L49" i="43"/>
  <c r="M47" i="43"/>
  <c r="L47" i="43"/>
  <c r="L45" i="43"/>
  <c r="M45" i="43"/>
  <c r="L43" i="43"/>
  <c r="M43" i="43"/>
  <c r="L41" i="43"/>
  <c r="M41" i="43"/>
  <c r="L39" i="43"/>
  <c r="M39" i="43"/>
  <c r="L37" i="43"/>
  <c r="M37" i="43"/>
  <c r="L35" i="43"/>
  <c r="M35" i="43"/>
  <c r="L33" i="43"/>
  <c r="M33" i="43"/>
  <c r="L31" i="43"/>
  <c r="M31" i="43"/>
  <c r="L29" i="43"/>
  <c r="M29" i="43"/>
  <c r="L27" i="43"/>
  <c r="M27" i="43"/>
  <c r="M25" i="43"/>
  <c r="L25" i="43"/>
  <c r="M23" i="43"/>
  <c r="L23" i="43"/>
  <c r="M21" i="43"/>
  <c r="L21" i="43"/>
  <c r="M19" i="43"/>
  <c r="L19" i="43"/>
  <c r="S246" i="40"/>
  <c r="S281" i="40"/>
  <c r="G298" i="40"/>
  <c r="S260" i="40"/>
  <c r="D295" i="40"/>
  <c r="AY206" i="40"/>
  <c r="AY245" i="40"/>
  <c r="AY278" i="40"/>
  <c r="AY204" i="40"/>
  <c r="AY210" i="40"/>
  <c r="AY276" i="40"/>
  <c r="AM193" i="40"/>
  <c r="AL193" i="40"/>
  <c r="AY239" i="40"/>
  <c r="AY243" i="40"/>
  <c r="AX244" i="40"/>
  <c r="AY274" i="40"/>
  <c r="AX277" i="40"/>
  <c r="AW241" i="40"/>
  <c r="AX246" i="40"/>
  <c r="AX275" i="40"/>
  <c r="AW280" i="40"/>
  <c r="AY208" i="40"/>
  <c r="AW243" i="40"/>
  <c r="BA205" i="40"/>
  <c r="AW206" i="40"/>
  <c r="AX207" i="40"/>
  <c r="BA209" i="40"/>
  <c r="AW210" i="40"/>
  <c r="AX211" i="40"/>
  <c r="BA240" i="40"/>
  <c r="BA242" i="40"/>
  <c r="BA279" i="40"/>
  <c r="BA281" i="40"/>
  <c r="AS187" i="40"/>
  <c r="AU187" i="40" s="1"/>
  <c r="AX205" i="40"/>
  <c r="BA207" i="40"/>
  <c r="AW208" i="40"/>
  <c r="AX209" i="40"/>
  <c r="BA211" i="40"/>
  <c r="AX240" i="40"/>
  <c r="AY241" i="40"/>
  <c r="AX242" i="40"/>
  <c r="BA244" i="40"/>
  <c r="AW245" i="40"/>
  <c r="BA246" i="40"/>
  <c r="AS257" i="40"/>
  <c r="AU257" i="40" s="1"/>
  <c r="BA275" i="40"/>
  <c r="AW276" i="40"/>
  <c r="BA277" i="40"/>
  <c r="AW278" i="40"/>
  <c r="AX279" i="40"/>
  <c r="AY280" i="40"/>
  <c r="AX281" i="40"/>
  <c r="AF311" i="40"/>
  <c r="AM310" i="40"/>
  <c r="AF315" i="40"/>
  <c r="AL314" i="40"/>
  <c r="AM314" i="40"/>
  <c r="AF317" i="40"/>
  <c r="AL316" i="40"/>
  <c r="AM316" i="40"/>
  <c r="AN331" i="40"/>
  <c r="AF332" i="40"/>
  <c r="AG332" i="40" s="1"/>
  <c r="AO332" i="40" s="1"/>
  <c r="AL331" i="40"/>
  <c r="AF346" i="40"/>
  <c r="AM345" i="40"/>
  <c r="AF350" i="40"/>
  <c r="AL349" i="40"/>
  <c r="AM349" i="40"/>
  <c r="AF352" i="40"/>
  <c r="AL351" i="40"/>
  <c r="AM351" i="40"/>
  <c r="AF312" i="40"/>
  <c r="AG312" i="40" s="1"/>
  <c r="AO312" i="40" s="1"/>
  <c r="AL311" i="40"/>
  <c r="AN311" i="40"/>
  <c r="AF314" i="40"/>
  <c r="AG314" i="40" s="1"/>
  <c r="AO314" i="40" s="1"/>
  <c r="AL313" i="40"/>
  <c r="AN313" i="40"/>
  <c r="AF318" i="40"/>
  <c r="AL317" i="40"/>
  <c r="AN317" i="40"/>
  <c r="AM328" i="40"/>
  <c r="AS328" i="40" s="1"/>
  <c r="AU328" i="40" s="1"/>
  <c r="AF329" i="40"/>
  <c r="AM334" i="40"/>
  <c r="AF335" i="40"/>
  <c r="AL334" i="40"/>
  <c r="AF347" i="40"/>
  <c r="AG347" i="40" s="1"/>
  <c r="AO347" i="40" s="1"/>
  <c r="AL346" i="40"/>
  <c r="AN346" i="40"/>
  <c r="AF349" i="40"/>
  <c r="AG349" i="40" s="1"/>
  <c r="AO349" i="40" s="1"/>
  <c r="AL348" i="40"/>
  <c r="AN348" i="40"/>
  <c r="AF353" i="40"/>
  <c r="AL352" i="40"/>
  <c r="AN352" i="40"/>
  <c r="AF367" i="40"/>
  <c r="AG367" i="40" s="1"/>
  <c r="AO367" i="40" s="1"/>
  <c r="AL366" i="40"/>
  <c r="AN366" i="40"/>
  <c r="AF364" i="40"/>
  <c r="AM363" i="40"/>
  <c r="AS363" i="40" s="1"/>
  <c r="AU363" i="40" s="1"/>
  <c r="AF370" i="40"/>
  <c r="AL369" i="40"/>
  <c r="AM369" i="40"/>
  <c r="AF170" i="40"/>
  <c r="AM169" i="40"/>
  <c r="AF174" i="40"/>
  <c r="AL173" i="40"/>
  <c r="AM173" i="40"/>
  <c r="AF176" i="40"/>
  <c r="AL175" i="40"/>
  <c r="AM175" i="40"/>
  <c r="AF205" i="40"/>
  <c r="AM204" i="40"/>
  <c r="AF209" i="40"/>
  <c r="AL208" i="40"/>
  <c r="AM208" i="40"/>
  <c r="AF211" i="40"/>
  <c r="AL210" i="40"/>
  <c r="AM210" i="40"/>
  <c r="AN223" i="40"/>
  <c r="AF224" i="40"/>
  <c r="AG224" i="40" s="1"/>
  <c r="AO224" i="40" s="1"/>
  <c r="AL223" i="40"/>
  <c r="AN225" i="40"/>
  <c r="AL225" i="40"/>
  <c r="AF226" i="40"/>
  <c r="AG226" i="40" s="1"/>
  <c r="AO226" i="40" s="1"/>
  <c r="AN229" i="40"/>
  <c r="AL229" i="40"/>
  <c r="AF230" i="40"/>
  <c r="AF171" i="40"/>
  <c r="AG171" i="40" s="1"/>
  <c r="AO171" i="40" s="1"/>
  <c r="AL170" i="40"/>
  <c r="AN170" i="40"/>
  <c r="AF173" i="40"/>
  <c r="AG173" i="40" s="1"/>
  <c r="AO173" i="40" s="1"/>
  <c r="AL172" i="40"/>
  <c r="AN172" i="40"/>
  <c r="AF177" i="40"/>
  <c r="AL176" i="40"/>
  <c r="AN176" i="40"/>
  <c r="AN190" i="40"/>
  <c r="AF191" i="40"/>
  <c r="AG191" i="40" s="1"/>
  <c r="AO191" i="40" s="1"/>
  <c r="AL190" i="40"/>
  <c r="AF206" i="40"/>
  <c r="AG206" i="40" s="1"/>
  <c r="AO206" i="40" s="1"/>
  <c r="AL205" i="40"/>
  <c r="AN205" i="40"/>
  <c r="AF208" i="40"/>
  <c r="AG208" i="40" s="1"/>
  <c r="AO208" i="40" s="1"/>
  <c r="AL207" i="40"/>
  <c r="AN207" i="40"/>
  <c r="AF212" i="40"/>
  <c r="AL211" i="40"/>
  <c r="AN211" i="40"/>
  <c r="BA223" i="40"/>
  <c r="AX223" i="40"/>
  <c r="BA224" i="40"/>
  <c r="AW224" i="40"/>
  <c r="BA225" i="40"/>
  <c r="AX225" i="40"/>
  <c r="BA226" i="40"/>
  <c r="AW226" i="40"/>
  <c r="BA227" i="40"/>
  <c r="AX227" i="40"/>
  <c r="BA228" i="40"/>
  <c r="AW228" i="40"/>
  <c r="BA229" i="40"/>
  <c r="AX229" i="40"/>
  <c r="AF242" i="40"/>
  <c r="AL241" i="40"/>
  <c r="AF246" i="40"/>
  <c r="AL245" i="40"/>
  <c r="AF277" i="40"/>
  <c r="AL276" i="40"/>
  <c r="AF281" i="40"/>
  <c r="AL280" i="40"/>
  <c r="AF297" i="40"/>
  <c r="AL296" i="40"/>
  <c r="AM296" i="40"/>
  <c r="AF299" i="40"/>
  <c r="AL298" i="40"/>
  <c r="AM298" i="40"/>
  <c r="AF243" i="40"/>
  <c r="AG243" i="40" s="1"/>
  <c r="AO243" i="40" s="1"/>
  <c r="AL242" i="40"/>
  <c r="AF245" i="40"/>
  <c r="AG245" i="40" s="1"/>
  <c r="AO245" i="40" s="1"/>
  <c r="AL244" i="40"/>
  <c r="AF278" i="40"/>
  <c r="AG278" i="40" s="1"/>
  <c r="AO278" i="40" s="1"/>
  <c r="AL277" i="40"/>
  <c r="AF280" i="40"/>
  <c r="AG280" i="40" s="1"/>
  <c r="AO280" i="40" s="1"/>
  <c r="AL279" i="40"/>
  <c r="AF294" i="40"/>
  <c r="AG294" i="40" s="1"/>
  <c r="AO294" i="40" s="1"/>
  <c r="AN293" i="40"/>
  <c r="AF296" i="40"/>
  <c r="AG296" i="40" s="1"/>
  <c r="AO296" i="40" s="1"/>
  <c r="AL295" i="40"/>
  <c r="AN295" i="40"/>
  <c r="AF300" i="40"/>
  <c r="AL299" i="40"/>
  <c r="AN299" i="40"/>
  <c r="AF188" i="40"/>
  <c r="AF194" i="40"/>
  <c r="AF223" i="40"/>
  <c r="AF227" i="40"/>
  <c r="AF229" i="40"/>
  <c r="AM241" i="40"/>
  <c r="AM245" i="40"/>
  <c r="AF258" i="40"/>
  <c r="AF260" i="40"/>
  <c r="AF261" i="40"/>
  <c r="AG261" i="40" s="1"/>
  <c r="AO261" i="40" s="1"/>
  <c r="AF263" i="40"/>
  <c r="AG263" i="40" s="1"/>
  <c r="AO263" i="40" s="1"/>
  <c r="AF264" i="40"/>
  <c r="AM276" i="40"/>
  <c r="AM280" i="40"/>
  <c r="AF293" i="40"/>
  <c r="AZ223" i="40"/>
  <c r="AY224" i="40"/>
  <c r="AZ225" i="40"/>
  <c r="AL226" i="40"/>
  <c r="AY226" i="40"/>
  <c r="AZ227" i="40"/>
  <c r="AL228" i="40"/>
  <c r="AY228" i="40"/>
  <c r="AZ229" i="40"/>
  <c r="AI239" i="40"/>
  <c r="AM239" i="40"/>
  <c r="AS239" i="40" s="1"/>
  <c r="AU239" i="40" s="1"/>
  <c r="AH240" i="40"/>
  <c r="AP240" i="40" s="1"/>
  <c r="AN244" i="40"/>
  <c r="AL259" i="40"/>
  <c r="AL260" i="40"/>
  <c r="AL262" i="40"/>
  <c r="AL263" i="40"/>
  <c r="AI274" i="40"/>
  <c r="AM274" i="40"/>
  <c r="AS274" i="40" s="1"/>
  <c r="AU274" i="40" s="1"/>
  <c r="AH275" i="40"/>
  <c r="AP275" i="40" s="1"/>
  <c r="AN279" i="40"/>
  <c r="AL293" i="40"/>
  <c r="AM99" i="40"/>
  <c r="AF100" i="40"/>
  <c r="AM103" i="40"/>
  <c r="AF104" i="40"/>
  <c r="AL103" i="40"/>
  <c r="AM105" i="40"/>
  <c r="AF106" i="40"/>
  <c r="AL105" i="40"/>
  <c r="AF121" i="40"/>
  <c r="AG121" i="40" s="1"/>
  <c r="AO121" i="40" s="1"/>
  <c r="AL120" i="40"/>
  <c r="AN120" i="40"/>
  <c r="AN135" i="40"/>
  <c r="AF136" i="40"/>
  <c r="AG136" i="40" s="1"/>
  <c r="AO136" i="40" s="1"/>
  <c r="AL135" i="40"/>
  <c r="AN137" i="40"/>
  <c r="AF138" i="40"/>
  <c r="AG138" i="40" s="1"/>
  <c r="AO138" i="40" s="1"/>
  <c r="AL137" i="40"/>
  <c r="AN141" i="40"/>
  <c r="AF142" i="40"/>
  <c r="AL141" i="40"/>
  <c r="AF153" i="40"/>
  <c r="AM152" i="40"/>
  <c r="AS152" i="40" s="1"/>
  <c r="AU152" i="40" s="1"/>
  <c r="AF159" i="40"/>
  <c r="AL158" i="40"/>
  <c r="AM158" i="40"/>
  <c r="AN100" i="40"/>
  <c r="AF101" i="40"/>
  <c r="AG101" i="40" s="1"/>
  <c r="AO101" i="40" s="1"/>
  <c r="AL100" i="40"/>
  <c r="AN102" i="40"/>
  <c r="AF103" i="40"/>
  <c r="AG103" i="40" s="1"/>
  <c r="AO103" i="40" s="1"/>
  <c r="AL102" i="40"/>
  <c r="AN106" i="40"/>
  <c r="AF107" i="40"/>
  <c r="AL106" i="40"/>
  <c r="AF118" i="40"/>
  <c r="AM117" i="40"/>
  <c r="AS117" i="40" s="1"/>
  <c r="AU117" i="40" s="1"/>
  <c r="AF124" i="40"/>
  <c r="AL123" i="40"/>
  <c r="AM123" i="40"/>
  <c r="AM134" i="40"/>
  <c r="AF135" i="40"/>
  <c r="AM138" i="40"/>
  <c r="AF139" i="40"/>
  <c r="AL138" i="40"/>
  <c r="AM140" i="40"/>
  <c r="AF141" i="40"/>
  <c r="AL140" i="40"/>
  <c r="AF156" i="40"/>
  <c r="AG156" i="40" s="1"/>
  <c r="AO156" i="40" s="1"/>
  <c r="AL155" i="40"/>
  <c r="AN155" i="40"/>
  <c r="AF65" i="40"/>
  <c r="AM64" i="40"/>
  <c r="AM68" i="40"/>
  <c r="AF69" i="40"/>
  <c r="AL68" i="40"/>
  <c r="AM70" i="40"/>
  <c r="AF71" i="40"/>
  <c r="AL70" i="40"/>
  <c r="AF84" i="40"/>
  <c r="AG84" i="40" s="1"/>
  <c r="AO84" i="40" s="1"/>
  <c r="AL83" i="40"/>
  <c r="AN83" i="40"/>
  <c r="AF86" i="40"/>
  <c r="AG86" i="40" s="1"/>
  <c r="AO86" i="40" s="1"/>
  <c r="AL85" i="40"/>
  <c r="AN85" i="40"/>
  <c r="AF90" i="40"/>
  <c r="AL89" i="40"/>
  <c r="AN89" i="40"/>
  <c r="AF66" i="40"/>
  <c r="AG66" i="40" s="1"/>
  <c r="AO66" i="40" s="1"/>
  <c r="AL65" i="40"/>
  <c r="AN65" i="40"/>
  <c r="AF68" i="40"/>
  <c r="AG68" i="40" s="1"/>
  <c r="AO68" i="40" s="1"/>
  <c r="AL67" i="40"/>
  <c r="AN67" i="40"/>
  <c r="AN71" i="40"/>
  <c r="AF72" i="40"/>
  <c r="AL71" i="40"/>
  <c r="AF83" i="40"/>
  <c r="AM82" i="40"/>
  <c r="AF87" i="40"/>
  <c r="AL86" i="40"/>
  <c r="AM86" i="40"/>
  <c r="AF89" i="40"/>
  <c r="AL88" i="40"/>
  <c r="AM88" i="40"/>
  <c r="M94" i="43" l="1"/>
  <c r="M95" i="43"/>
  <c r="L91" i="43"/>
  <c r="C91" i="43"/>
  <c r="G95" i="43"/>
  <c r="C94" i="43"/>
  <c r="I94" i="43"/>
  <c r="M102" i="43"/>
  <c r="M96" i="43"/>
  <c r="K7" i="43"/>
  <c r="J7" i="43"/>
  <c r="I7" i="43"/>
  <c r="O7" i="43"/>
  <c r="N7" i="43"/>
  <c r="M91" i="43"/>
  <c r="E91" i="43"/>
  <c r="A98" i="43"/>
  <c r="A99" i="43" s="1"/>
  <c r="A100" i="43" s="1"/>
  <c r="L92" i="43"/>
  <c r="G92" i="43"/>
  <c r="N94" i="43"/>
  <c r="O94" i="43"/>
  <c r="J94" i="43"/>
  <c r="O91" i="43"/>
  <c r="K91" i="43"/>
  <c r="K93" i="43"/>
  <c r="I93" i="43"/>
  <c r="N93" i="43"/>
  <c r="J93" i="43"/>
  <c r="I95" i="43"/>
  <c r="J95" i="43" s="1"/>
  <c r="K95" i="43" s="1"/>
  <c r="I91" i="43"/>
  <c r="J91" i="43"/>
  <c r="C95" i="43"/>
  <c r="E95" i="43"/>
  <c r="G96" i="43"/>
  <c r="J6" i="43"/>
  <c r="O6" i="43"/>
  <c r="K6" i="43"/>
  <c r="I6" i="43"/>
  <c r="AS263" i="40"/>
  <c r="AU263" i="40" s="1"/>
  <c r="AS226" i="40"/>
  <c r="AU226" i="40" s="1"/>
  <c r="AS280" i="40"/>
  <c r="AU280" i="40" s="1"/>
  <c r="AS245" i="40"/>
  <c r="AU245" i="40" s="1"/>
  <c r="AJ370" i="40"/>
  <c r="AR370" i="40" s="1"/>
  <c r="AI369" i="40"/>
  <c r="AQ369" i="40" s="1"/>
  <c r="AH370" i="40"/>
  <c r="AP370" i="40" s="1"/>
  <c r="AJ364" i="40"/>
  <c r="AR364" i="40" s="1"/>
  <c r="AH364" i="40"/>
  <c r="AP364" i="40" s="1"/>
  <c r="AI363" i="40"/>
  <c r="AQ363" i="40" s="1"/>
  <c r="AI353" i="40"/>
  <c r="AQ353" i="40" s="1"/>
  <c r="AG353" i="40"/>
  <c r="AO353" i="40" s="1"/>
  <c r="AJ350" i="40"/>
  <c r="AR350" i="40" s="1"/>
  <c r="AI349" i="40"/>
  <c r="AQ349" i="40" s="1"/>
  <c r="AH350" i="40"/>
  <c r="AP350" i="40" s="1"/>
  <c r="AJ317" i="40"/>
  <c r="AR317" i="40" s="1"/>
  <c r="AI316" i="40"/>
  <c r="AQ316" i="40" s="1"/>
  <c r="AH317" i="40"/>
  <c r="AP317" i="40" s="1"/>
  <c r="AT317" i="40" s="1"/>
  <c r="AU317" i="40" s="1"/>
  <c r="AJ311" i="40"/>
  <c r="AR311" i="40" s="1"/>
  <c r="AH311" i="40"/>
  <c r="AP311" i="40" s="1"/>
  <c r="AT311" i="40" s="1"/>
  <c r="AU311" i="40" s="1"/>
  <c r="AI310" i="40"/>
  <c r="AS349" i="40"/>
  <c r="AU349" i="40" s="1"/>
  <c r="AH335" i="40"/>
  <c r="AP335" i="40" s="1"/>
  <c r="AJ335" i="40"/>
  <c r="AR335" i="40" s="1"/>
  <c r="AI334" i="40"/>
  <c r="AQ334" i="40" s="1"/>
  <c r="AH329" i="40"/>
  <c r="AP329" i="40" s="1"/>
  <c r="AI328" i="40"/>
  <c r="AQ328" i="40" s="1"/>
  <c r="AJ329" i="40"/>
  <c r="AR329" i="40" s="1"/>
  <c r="AI318" i="40"/>
  <c r="AQ318" i="40" s="1"/>
  <c r="AG318" i="40"/>
  <c r="AO318" i="40" s="1"/>
  <c r="AJ352" i="40"/>
  <c r="AR352" i="40" s="1"/>
  <c r="AI351" i="40"/>
  <c r="AQ351" i="40" s="1"/>
  <c r="AH352" i="40"/>
  <c r="AP352" i="40" s="1"/>
  <c r="AT352" i="40" s="1"/>
  <c r="AU352" i="40" s="1"/>
  <c r="AJ346" i="40"/>
  <c r="AR346" i="40" s="1"/>
  <c r="AH346" i="40"/>
  <c r="AP346" i="40" s="1"/>
  <c r="AT346" i="40" s="1"/>
  <c r="AU346" i="40" s="1"/>
  <c r="AI345" i="40"/>
  <c r="AJ315" i="40"/>
  <c r="AR315" i="40" s="1"/>
  <c r="AI314" i="40"/>
  <c r="AQ314" i="40" s="1"/>
  <c r="AH315" i="40"/>
  <c r="AP315" i="40" s="1"/>
  <c r="AS314" i="40"/>
  <c r="AU314" i="40" s="1"/>
  <c r="AM300" i="40"/>
  <c r="AS300" i="40" s="1"/>
  <c r="AQ274" i="40"/>
  <c r="AH229" i="40"/>
  <c r="AP229" i="40" s="1"/>
  <c r="AT229" i="40" s="1"/>
  <c r="AU229" i="40" s="1"/>
  <c r="AJ229" i="40"/>
  <c r="AR229" i="40" s="1"/>
  <c r="AI228" i="40"/>
  <c r="AQ228" i="40" s="1"/>
  <c r="AJ297" i="40"/>
  <c r="AR297" i="40" s="1"/>
  <c r="AI296" i="40"/>
  <c r="AQ296" i="40" s="1"/>
  <c r="AH297" i="40"/>
  <c r="AP297" i="40" s="1"/>
  <c r="AJ209" i="40"/>
  <c r="AR209" i="40" s="1"/>
  <c r="AI208" i="40"/>
  <c r="AQ208" i="40" s="1"/>
  <c r="AH209" i="40"/>
  <c r="AP209" i="40" s="1"/>
  <c r="AJ176" i="40"/>
  <c r="AR176" i="40" s="1"/>
  <c r="AI175" i="40"/>
  <c r="AQ175" i="40" s="1"/>
  <c r="AH176" i="40"/>
  <c r="AP176" i="40" s="1"/>
  <c r="AT176" i="40" s="1"/>
  <c r="AU176" i="40" s="1"/>
  <c r="AJ170" i="40"/>
  <c r="AR170" i="40" s="1"/>
  <c r="AH170" i="40"/>
  <c r="AP170" i="40" s="1"/>
  <c r="AT170" i="40" s="1"/>
  <c r="AU170" i="40" s="1"/>
  <c r="AI169" i="40"/>
  <c r="AS296" i="40"/>
  <c r="AU296" i="40" s="1"/>
  <c r="AS208" i="40"/>
  <c r="AU208" i="40" s="1"/>
  <c r="AM265" i="40"/>
  <c r="AS265" i="40" s="1"/>
  <c r="AQ239" i="40"/>
  <c r="AH293" i="40"/>
  <c r="AP293" i="40" s="1"/>
  <c r="AT293" i="40" s="1"/>
  <c r="AU293" i="40" s="1"/>
  <c r="AI292" i="40"/>
  <c r="AJ293" i="40"/>
  <c r="AR293" i="40" s="1"/>
  <c r="AH264" i="40"/>
  <c r="AP264" i="40" s="1"/>
  <c r="AJ264" i="40"/>
  <c r="AR264" i="40" s="1"/>
  <c r="AI263" i="40"/>
  <c r="AQ263" i="40" s="1"/>
  <c r="AH260" i="40"/>
  <c r="AP260" i="40" s="1"/>
  <c r="AT260" i="40" s="1"/>
  <c r="AU260" i="40" s="1"/>
  <c r="AJ260" i="40"/>
  <c r="AR260" i="40" s="1"/>
  <c r="AI259" i="40"/>
  <c r="AQ259" i="40" s="1"/>
  <c r="AH258" i="40"/>
  <c r="AP258" i="40" s="1"/>
  <c r="AI257" i="40"/>
  <c r="AQ257" i="40" s="1"/>
  <c r="AJ258" i="40"/>
  <c r="AR258" i="40" s="1"/>
  <c r="AH227" i="40"/>
  <c r="AP227" i="40" s="1"/>
  <c r="AJ227" i="40"/>
  <c r="AR227" i="40" s="1"/>
  <c r="AI226" i="40"/>
  <c r="AQ226" i="40" s="1"/>
  <c r="AH223" i="40"/>
  <c r="AP223" i="40" s="1"/>
  <c r="AT223" i="40" s="1"/>
  <c r="AU223" i="40" s="1"/>
  <c r="AI222" i="40"/>
  <c r="AQ222" i="40" s="1"/>
  <c r="AJ223" i="40"/>
  <c r="AR223" i="40" s="1"/>
  <c r="AH194" i="40"/>
  <c r="AP194" i="40" s="1"/>
  <c r="AJ194" i="40"/>
  <c r="AR194" i="40" s="1"/>
  <c r="AI193" i="40"/>
  <c r="AQ193" i="40" s="1"/>
  <c r="AH188" i="40"/>
  <c r="AP188" i="40" s="1"/>
  <c r="AI187" i="40"/>
  <c r="AQ187" i="40" s="1"/>
  <c r="AJ188" i="40"/>
  <c r="AR188" i="40" s="1"/>
  <c r="AI300" i="40"/>
  <c r="AQ300" i="40" s="1"/>
  <c r="AG300" i="40"/>
  <c r="AO300" i="40" s="1"/>
  <c r="AJ299" i="40"/>
  <c r="AR299" i="40" s="1"/>
  <c r="AI298" i="40"/>
  <c r="AQ298" i="40" s="1"/>
  <c r="AH299" i="40"/>
  <c r="AP299" i="40" s="1"/>
  <c r="AT299" i="40" s="1"/>
  <c r="AU299" i="40" s="1"/>
  <c r="AJ281" i="40"/>
  <c r="AR281" i="40" s="1"/>
  <c r="AI280" i="40"/>
  <c r="AQ280" i="40" s="1"/>
  <c r="AH281" i="40"/>
  <c r="AP281" i="40" s="1"/>
  <c r="AJ277" i="40"/>
  <c r="AR277" i="40" s="1"/>
  <c r="AI276" i="40"/>
  <c r="AQ276" i="40" s="1"/>
  <c r="AH277" i="40"/>
  <c r="AP277" i="40" s="1"/>
  <c r="AT277" i="40" s="1"/>
  <c r="AU277" i="40" s="1"/>
  <c r="AJ246" i="40"/>
  <c r="AR246" i="40" s="1"/>
  <c r="AI245" i="40"/>
  <c r="AQ245" i="40" s="1"/>
  <c r="AH246" i="40"/>
  <c r="AP246" i="40" s="1"/>
  <c r="AJ242" i="40"/>
  <c r="AR242" i="40" s="1"/>
  <c r="AI241" i="40"/>
  <c r="AQ241" i="40" s="1"/>
  <c r="AH242" i="40"/>
  <c r="AP242" i="40" s="1"/>
  <c r="AT242" i="40" s="1"/>
  <c r="AU242" i="40" s="1"/>
  <c r="AI212" i="40"/>
  <c r="AQ212" i="40" s="1"/>
  <c r="AG212" i="40"/>
  <c r="AO212" i="40" s="1"/>
  <c r="AI177" i="40"/>
  <c r="AQ177" i="40" s="1"/>
  <c r="AG177" i="40"/>
  <c r="AO177" i="40" s="1"/>
  <c r="AG230" i="40"/>
  <c r="AO230" i="40" s="1"/>
  <c r="AI230" i="40"/>
  <c r="AQ230" i="40" s="1"/>
  <c r="AJ211" i="40"/>
  <c r="AR211" i="40" s="1"/>
  <c r="AI210" i="40"/>
  <c r="AQ210" i="40" s="1"/>
  <c r="AH211" i="40"/>
  <c r="AP211" i="40" s="1"/>
  <c r="AT211" i="40" s="1"/>
  <c r="AU211" i="40" s="1"/>
  <c r="AJ205" i="40"/>
  <c r="AR205" i="40" s="1"/>
  <c r="AH205" i="40"/>
  <c r="AP205" i="40" s="1"/>
  <c r="AT205" i="40" s="1"/>
  <c r="AU205" i="40" s="1"/>
  <c r="AI204" i="40"/>
  <c r="AJ174" i="40"/>
  <c r="AR174" i="40" s="1"/>
  <c r="AI173" i="40"/>
  <c r="AQ173" i="40" s="1"/>
  <c r="AH174" i="40"/>
  <c r="AP174" i="40" s="1"/>
  <c r="AS173" i="40"/>
  <c r="AU173" i="40" s="1"/>
  <c r="AH141" i="40"/>
  <c r="AP141" i="40" s="1"/>
  <c r="AT141" i="40" s="1"/>
  <c r="AU141" i="40" s="1"/>
  <c r="AJ141" i="40"/>
  <c r="AR141" i="40" s="1"/>
  <c r="AI140" i="40"/>
  <c r="AQ140" i="40" s="1"/>
  <c r="AH135" i="40"/>
  <c r="AP135" i="40" s="1"/>
  <c r="AT135" i="40" s="1"/>
  <c r="AU135" i="40" s="1"/>
  <c r="AI134" i="40"/>
  <c r="AJ135" i="40"/>
  <c r="AR135" i="40" s="1"/>
  <c r="AJ124" i="40"/>
  <c r="AR124" i="40" s="1"/>
  <c r="AI123" i="40"/>
  <c r="AQ123" i="40" s="1"/>
  <c r="AH124" i="40"/>
  <c r="AP124" i="40" s="1"/>
  <c r="AJ118" i="40"/>
  <c r="AR118" i="40" s="1"/>
  <c r="AH118" i="40"/>
  <c r="AP118" i="40" s="1"/>
  <c r="AI117" i="40"/>
  <c r="AQ117" i="40" s="1"/>
  <c r="AG107" i="40"/>
  <c r="AO107" i="40" s="1"/>
  <c r="AI107" i="40"/>
  <c r="AQ107" i="40" s="1"/>
  <c r="AH104" i="40"/>
  <c r="AP104" i="40" s="1"/>
  <c r="AJ104" i="40"/>
  <c r="AR104" i="40" s="1"/>
  <c r="AI103" i="40"/>
  <c r="AQ103" i="40" s="1"/>
  <c r="AS138" i="40"/>
  <c r="AU138" i="40" s="1"/>
  <c r="AH139" i="40"/>
  <c r="AP139" i="40" s="1"/>
  <c r="AJ139" i="40"/>
  <c r="AR139" i="40" s="1"/>
  <c r="AI138" i="40"/>
  <c r="AQ138" i="40" s="1"/>
  <c r="AJ159" i="40"/>
  <c r="AR159" i="40" s="1"/>
  <c r="AI158" i="40"/>
  <c r="AQ158" i="40" s="1"/>
  <c r="AH159" i="40"/>
  <c r="AP159" i="40" s="1"/>
  <c r="AJ153" i="40"/>
  <c r="AR153" i="40" s="1"/>
  <c r="AH153" i="40"/>
  <c r="AP153" i="40" s="1"/>
  <c r="AI152" i="40"/>
  <c r="AQ152" i="40" s="1"/>
  <c r="AG142" i="40"/>
  <c r="AO142" i="40" s="1"/>
  <c r="AI142" i="40"/>
  <c r="AQ142" i="40" s="1"/>
  <c r="AH106" i="40"/>
  <c r="AP106" i="40" s="1"/>
  <c r="AT106" i="40" s="1"/>
  <c r="AU106" i="40" s="1"/>
  <c r="AJ106" i="40"/>
  <c r="AR106" i="40" s="1"/>
  <c r="AI105" i="40"/>
  <c r="AQ105" i="40" s="1"/>
  <c r="AH100" i="40"/>
  <c r="AP100" i="40" s="1"/>
  <c r="AT100" i="40" s="1"/>
  <c r="AU100" i="40" s="1"/>
  <c r="AI99" i="40"/>
  <c r="AJ100" i="40"/>
  <c r="AR100" i="40" s="1"/>
  <c r="AS103" i="40"/>
  <c r="AU103" i="40" s="1"/>
  <c r="AJ87" i="40"/>
  <c r="AR87" i="40" s="1"/>
  <c r="AI86" i="40"/>
  <c r="AQ86" i="40" s="1"/>
  <c r="AH87" i="40"/>
  <c r="AP87" i="40" s="1"/>
  <c r="AI90" i="40"/>
  <c r="AQ90" i="40" s="1"/>
  <c r="AG90" i="40"/>
  <c r="AO90" i="40" s="1"/>
  <c r="AH69" i="40"/>
  <c r="AP69" i="40" s="1"/>
  <c r="AJ69" i="40"/>
  <c r="AR69" i="40" s="1"/>
  <c r="AI68" i="40"/>
  <c r="AQ68" i="40" s="1"/>
  <c r="AJ65" i="40"/>
  <c r="AR65" i="40" s="1"/>
  <c r="AH65" i="40"/>
  <c r="AP65" i="40" s="1"/>
  <c r="AT65" i="40" s="1"/>
  <c r="AU65" i="40" s="1"/>
  <c r="AI64" i="40"/>
  <c r="AS86" i="40"/>
  <c r="AU86" i="40" s="1"/>
  <c r="AJ89" i="40"/>
  <c r="AR89" i="40" s="1"/>
  <c r="AI88" i="40"/>
  <c r="AQ88" i="40" s="1"/>
  <c r="AH89" i="40"/>
  <c r="AP89" i="40" s="1"/>
  <c r="AT89" i="40" s="1"/>
  <c r="AU89" i="40" s="1"/>
  <c r="AJ83" i="40"/>
  <c r="AR83" i="40" s="1"/>
  <c r="AH83" i="40"/>
  <c r="AP83" i="40" s="1"/>
  <c r="AT83" i="40" s="1"/>
  <c r="AU83" i="40" s="1"/>
  <c r="AI82" i="40"/>
  <c r="AQ82" i="40" s="1"/>
  <c r="AG72" i="40"/>
  <c r="AO72" i="40" s="1"/>
  <c r="AI72" i="40"/>
  <c r="AQ72" i="40" s="1"/>
  <c r="AH71" i="40"/>
  <c r="AP71" i="40" s="1"/>
  <c r="AT71" i="40" s="1"/>
  <c r="AU71" i="40" s="1"/>
  <c r="AJ71" i="40"/>
  <c r="AR71" i="40" s="1"/>
  <c r="AI70" i="40"/>
  <c r="AQ70" i="40" s="1"/>
  <c r="AS68" i="40"/>
  <c r="AU68" i="40" s="1"/>
  <c r="J92" i="43" l="1"/>
  <c r="I92" i="43"/>
  <c r="N92" i="43"/>
  <c r="K92" i="43"/>
  <c r="O92" i="43"/>
  <c r="I96" i="43"/>
  <c r="K96" i="43"/>
  <c r="O96" i="43"/>
  <c r="J96" i="43"/>
  <c r="N96" i="43"/>
  <c r="E96" i="43"/>
  <c r="C96" i="43"/>
  <c r="AQ292" i="40"/>
  <c r="AM318" i="40"/>
  <c r="AS318" i="40" s="1"/>
  <c r="AM371" i="40"/>
  <c r="AS371" i="40" s="1"/>
  <c r="AQ345" i="40"/>
  <c r="AM336" i="40"/>
  <c r="AS336" i="40" s="1"/>
  <c r="AQ310" i="40"/>
  <c r="AM195" i="40"/>
  <c r="AS195" i="40" s="1"/>
  <c r="AQ169" i="40"/>
  <c r="AM230" i="40"/>
  <c r="AS230" i="40" s="1"/>
  <c r="AQ204" i="40"/>
  <c r="AQ99" i="40"/>
  <c r="AM125" i="40"/>
  <c r="AS125" i="40" s="1"/>
  <c r="AQ134" i="40"/>
  <c r="AM160" i="40"/>
  <c r="AS160" i="40" s="1"/>
  <c r="AM90" i="40"/>
  <c r="AS90" i="40" s="1"/>
  <c r="AQ64" i="40"/>
  <c r="G97" i="43" l="1"/>
  <c r="J97" i="43" s="1"/>
  <c r="C97" i="43"/>
  <c r="E97" i="43"/>
  <c r="N97" i="43" l="1"/>
  <c r="K97" i="43"/>
  <c r="I97" i="43"/>
  <c r="O97" i="43"/>
  <c r="E98" i="43"/>
  <c r="C98" i="43"/>
  <c r="C99" i="43" l="1"/>
  <c r="E99" i="43"/>
  <c r="E100" i="43" l="1"/>
  <c r="C100" i="43"/>
  <c r="AY37" i="40"/>
  <c r="AD30" i="40"/>
  <c r="AG27" i="40"/>
  <c r="AD31" i="40" s="1"/>
  <c r="AH27" i="40"/>
  <c r="AD32" i="40" s="1"/>
  <c r="AI27" i="40"/>
  <c r="AD33" i="40" s="1"/>
  <c r="AJ27" i="40"/>
  <c r="AD34" i="40" s="1"/>
  <c r="AK27" i="40"/>
  <c r="AD35" i="40" s="1"/>
  <c r="AL27" i="40"/>
  <c r="AD36" i="40" s="1"/>
  <c r="AM27" i="40"/>
  <c r="AD37" i="40" s="1"/>
  <c r="AD27" i="40"/>
  <c r="AL37" i="40"/>
  <c r="L25" i="40"/>
  <c r="M25" i="40"/>
  <c r="I25" i="40"/>
  <c r="J25" i="40"/>
  <c r="K25" i="40"/>
  <c r="H25" i="40"/>
  <c r="G25" i="40"/>
  <c r="P13" i="19"/>
  <c r="P17" i="19"/>
  <c r="R8" i="19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6" i="19"/>
  <c r="P15" i="19"/>
  <c r="P14" i="19"/>
  <c r="P12" i="19"/>
  <c r="P11" i="19"/>
  <c r="P10" i="19"/>
  <c r="P9" i="19"/>
  <c r="P8" i="19"/>
  <c r="AM37" i="40"/>
  <c r="AS37" i="40" s="1"/>
  <c r="AI37" i="40"/>
  <c r="AQ37" i="40" s="1"/>
  <c r="C101" i="43" l="1"/>
  <c r="E101" i="43"/>
  <c r="N4" i="20"/>
  <c r="L182" i="40"/>
  <c r="K183" i="40"/>
  <c r="T185" i="40" s="1"/>
  <c r="L183" i="40"/>
  <c r="M183" i="40"/>
  <c r="Z185" i="40" s="1"/>
  <c r="F183" i="40"/>
  <c r="N290" i="40" s="1"/>
  <c r="G183" i="40"/>
  <c r="H183" i="40"/>
  <c r="I183" i="40"/>
  <c r="W290" i="40" s="1"/>
  <c r="J183" i="40"/>
  <c r="E183" i="40"/>
  <c r="A182" i="40"/>
  <c r="BC186" i="40" s="1"/>
  <c r="A183" i="40"/>
  <c r="F165" i="40"/>
  <c r="E167" i="40" s="1"/>
  <c r="G165" i="40"/>
  <c r="H167" i="40" s="1"/>
  <c r="H165" i="40"/>
  <c r="K167" i="40" s="1"/>
  <c r="I165" i="40"/>
  <c r="N167" i="40" s="1"/>
  <c r="J165" i="40"/>
  <c r="Q167" i="40" s="1"/>
  <c r="K165" i="40"/>
  <c r="T167" i="40" s="1"/>
  <c r="L165" i="40"/>
  <c r="W167" i="40" s="1"/>
  <c r="M165" i="40"/>
  <c r="Z167" i="40" s="1"/>
  <c r="E165" i="40"/>
  <c r="B167" i="40" s="1"/>
  <c r="F147" i="40"/>
  <c r="G147" i="40"/>
  <c r="H147" i="40"/>
  <c r="I147" i="40"/>
  <c r="J147" i="40"/>
  <c r="K147" i="40"/>
  <c r="L147" i="40"/>
  <c r="M147" i="40"/>
  <c r="E147" i="40"/>
  <c r="L164" i="40"/>
  <c r="A164" i="40"/>
  <c r="BC168" i="40" s="1"/>
  <c r="A165" i="40"/>
  <c r="L129" i="40"/>
  <c r="L146" i="40"/>
  <c r="A146" i="40"/>
  <c r="BC150" i="40" s="1"/>
  <c r="L130" i="40"/>
  <c r="M130" i="40"/>
  <c r="F130" i="40"/>
  <c r="G130" i="40"/>
  <c r="H130" i="40"/>
  <c r="I130" i="40"/>
  <c r="J130" i="40"/>
  <c r="K130" i="40"/>
  <c r="E130" i="40"/>
  <c r="A129" i="40"/>
  <c r="BC133" i="40" s="1"/>
  <c r="K112" i="40"/>
  <c r="L112" i="40"/>
  <c r="M112" i="40"/>
  <c r="F112" i="40"/>
  <c r="G112" i="40"/>
  <c r="H112" i="40"/>
  <c r="I112" i="40"/>
  <c r="J112" i="40"/>
  <c r="E112" i="40"/>
  <c r="L111" i="40"/>
  <c r="A111" i="40"/>
  <c r="BC115" i="40" s="1"/>
  <c r="L94" i="40"/>
  <c r="F95" i="40"/>
  <c r="G95" i="40"/>
  <c r="H95" i="40"/>
  <c r="I95" i="40"/>
  <c r="J95" i="40"/>
  <c r="K95" i="40"/>
  <c r="L95" i="40"/>
  <c r="M95" i="40"/>
  <c r="E95" i="40"/>
  <c r="A94" i="40"/>
  <c r="BC98" i="40" s="1"/>
  <c r="L76" i="40"/>
  <c r="G77" i="40"/>
  <c r="H77" i="40"/>
  <c r="I77" i="40"/>
  <c r="J77" i="40"/>
  <c r="K77" i="40"/>
  <c r="L77" i="40"/>
  <c r="M77" i="40"/>
  <c r="F77" i="40"/>
  <c r="E77" i="40"/>
  <c r="A76" i="40"/>
  <c r="BC80" i="40" s="1"/>
  <c r="A59" i="40"/>
  <c r="BC63" i="40" s="1"/>
  <c r="A42" i="40"/>
  <c r="BC46" i="40" s="1"/>
  <c r="L59" i="40"/>
  <c r="F60" i="40"/>
  <c r="G60" i="40"/>
  <c r="H60" i="40"/>
  <c r="I60" i="40"/>
  <c r="J60" i="40"/>
  <c r="K60" i="40"/>
  <c r="L60" i="40"/>
  <c r="M60" i="40"/>
  <c r="E60" i="40"/>
  <c r="G43" i="40"/>
  <c r="M43" i="40"/>
  <c r="F43" i="40"/>
  <c r="H43" i="40"/>
  <c r="I43" i="40"/>
  <c r="J43" i="40"/>
  <c r="K43" i="40"/>
  <c r="L43" i="40"/>
  <c r="E43" i="40"/>
  <c r="B45" i="40" s="1"/>
  <c r="B27" i="40"/>
  <c r="E27" i="40"/>
  <c r="K27" i="40"/>
  <c r="H27" i="40"/>
  <c r="V295" i="40" l="1"/>
  <c r="V298" i="40"/>
  <c r="J101" i="43"/>
  <c r="N101" i="43"/>
  <c r="I101" i="43"/>
  <c r="K101" i="43"/>
  <c r="O101" i="43"/>
  <c r="E102" i="43"/>
  <c r="C102" i="43"/>
  <c r="M295" i="40"/>
  <c r="M298" i="40"/>
  <c r="F5" i="43"/>
  <c r="N185" i="40"/>
  <c r="E185" i="40"/>
  <c r="B185" i="40"/>
  <c r="K290" i="40"/>
  <c r="H185" i="40"/>
  <c r="Q290" i="40"/>
  <c r="Q185" i="40"/>
  <c r="Z290" i="40"/>
  <c r="K185" i="40"/>
  <c r="T290" i="40"/>
  <c r="W185" i="40"/>
  <c r="B149" i="40"/>
  <c r="E149" i="40"/>
  <c r="H149" i="40"/>
  <c r="K149" i="40"/>
  <c r="N149" i="40"/>
  <c r="Q149" i="40"/>
  <c r="T149" i="40"/>
  <c r="W149" i="40"/>
  <c r="Z149" i="40"/>
  <c r="A147" i="40"/>
  <c r="Z132" i="40"/>
  <c r="W132" i="40"/>
  <c r="T132" i="40"/>
  <c r="Q132" i="40"/>
  <c r="N132" i="40"/>
  <c r="K132" i="40"/>
  <c r="H132" i="40"/>
  <c r="E132" i="40"/>
  <c r="B132" i="40"/>
  <c r="A130" i="40"/>
  <c r="Z114" i="40"/>
  <c r="W114" i="40"/>
  <c r="T114" i="40"/>
  <c r="Q114" i="40"/>
  <c r="N114" i="40"/>
  <c r="K114" i="40"/>
  <c r="H114" i="40"/>
  <c r="E114" i="40"/>
  <c r="B114" i="40"/>
  <c r="A112" i="40"/>
  <c r="Z97" i="40"/>
  <c r="W97" i="40"/>
  <c r="T97" i="40"/>
  <c r="Q97" i="40"/>
  <c r="N97" i="40"/>
  <c r="K97" i="40"/>
  <c r="H97" i="40"/>
  <c r="E97" i="40"/>
  <c r="B97" i="40"/>
  <c r="A95" i="40"/>
  <c r="Z79" i="40"/>
  <c r="W79" i="40"/>
  <c r="T79" i="40"/>
  <c r="Q79" i="40"/>
  <c r="N79" i="40"/>
  <c r="K79" i="40"/>
  <c r="H79" i="40"/>
  <c r="E79" i="40"/>
  <c r="B79" i="40"/>
  <c r="A77" i="40"/>
  <c r="Z62" i="40"/>
  <c r="W62" i="40"/>
  <c r="T62" i="40"/>
  <c r="Q62" i="40"/>
  <c r="N62" i="40"/>
  <c r="K62" i="40"/>
  <c r="H62" i="40"/>
  <c r="E62" i="40"/>
  <c r="B62" i="40"/>
  <c r="A60" i="40"/>
  <c r="A43" i="40"/>
  <c r="A25" i="40"/>
  <c r="Z45" i="40"/>
  <c r="W45" i="40"/>
  <c r="T45" i="40"/>
  <c r="Q45" i="40"/>
  <c r="N45" i="40"/>
  <c r="K45" i="40"/>
  <c r="H45" i="40"/>
  <c r="E45" i="40"/>
  <c r="Y295" i="40" l="1"/>
  <c r="Y298" i="40"/>
  <c r="D5" i="43"/>
  <c r="J102" i="43"/>
  <c r="N102" i="43"/>
  <c r="I102" i="43"/>
  <c r="K102" i="43"/>
  <c r="O102" i="43"/>
  <c r="C103" i="43"/>
  <c r="E103" i="43"/>
  <c r="K325" i="40"/>
  <c r="S295" i="40"/>
  <c r="S298" i="40"/>
  <c r="P298" i="40"/>
  <c r="P295" i="40"/>
  <c r="J298" i="40"/>
  <c r="J295" i="40"/>
  <c r="T325" i="40"/>
  <c r="B325" i="40"/>
  <c r="J330" i="40" l="1"/>
  <c r="J333" i="40"/>
  <c r="S330" i="40"/>
  <c r="S333" i="40"/>
  <c r="J103" i="43"/>
  <c r="N103" i="43"/>
  <c r="I103" i="43"/>
  <c r="K103" i="43"/>
  <c r="O103" i="43"/>
  <c r="E104" i="43"/>
  <c r="C104" i="43"/>
  <c r="B343" i="40"/>
  <c r="T343" i="40"/>
  <c r="P102" i="43"/>
  <c r="P103" i="43"/>
  <c r="S348" i="40" l="1"/>
  <c r="S351" i="40"/>
  <c r="J104" i="43"/>
  <c r="N104" i="43"/>
  <c r="I104" i="43"/>
  <c r="K104" i="43"/>
  <c r="O104" i="43"/>
  <c r="P104" i="43"/>
  <c r="C105" i="43"/>
  <c r="E105" i="43"/>
  <c r="T361" i="40"/>
  <c r="B361" i="40"/>
  <c r="S366" i="40" l="1"/>
  <c r="S369" i="40"/>
  <c r="J105" i="43"/>
  <c r="N105" i="43"/>
  <c r="I105" i="43"/>
  <c r="K105" i="43"/>
  <c r="O105" i="43"/>
  <c r="S104" i="43"/>
  <c r="R104" i="43"/>
  <c r="T104" i="43"/>
  <c r="Q104" i="43"/>
  <c r="E106" i="43"/>
  <c r="C106" i="43"/>
  <c r="G106" i="43"/>
  <c r="P105" i="43"/>
  <c r="N27" i="40"/>
  <c r="J8" i="19"/>
  <c r="J106" i="43" l="1"/>
  <c r="N106" i="43"/>
  <c r="I106" i="43"/>
  <c r="K106" i="43"/>
  <c r="O106" i="43"/>
  <c r="T105" i="43"/>
  <c r="S105" i="43"/>
  <c r="R105" i="43"/>
  <c r="Q105" i="43"/>
  <c r="P106" i="43"/>
  <c r="C107" i="43"/>
  <c r="G107" i="43"/>
  <c r="E107" i="43"/>
  <c r="J107" i="43" l="1"/>
  <c r="N107" i="43"/>
  <c r="I107" i="43"/>
  <c r="K107" i="43"/>
  <c r="O107" i="43"/>
  <c r="T106" i="43"/>
  <c r="R106" i="43"/>
  <c r="S106" i="43"/>
  <c r="Q106" i="43"/>
  <c r="E108" i="43"/>
  <c r="C108" i="43"/>
  <c r="G108" i="43"/>
  <c r="B109" i="43"/>
  <c r="P107" i="43"/>
  <c r="V2" i="19"/>
  <c r="A2" i="19"/>
  <c r="P2" i="19" s="1"/>
  <c r="A1" i="19"/>
  <c r="P1" i="19" s="1"/>
  <c r="K82" i="39"/>
  <c r="J82" i="39"/>
  <c r="C90" i="43"/>
  <c r="P101" i="43"/>
  <c r="P9" i="44"/>
  <c r="P10" i="44" s="1"/>
  <c r="A9" i="44"/>
  <c r="A10" i="44" s="1"/>
  <c r="A11" i="44" s="1"/>
  <c r="A12" i="44" s="1"/>
  <c r="A13" i="44" s="1"/>
  <c r="A14" i="44" s="1"/>
  <c r="A15" i="44" s="1"/>
  <c r="O8" i="44"/>
  <c r="A16" i="44" l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J108" i="43"/>
  <c r="N108" i="43"/>
  <c r="I108" i="43"/>
  <c r="K108" i="43"/>
  <c r="O108" i="43"/>
  <c r="R107" i="43"/>
  <c r="Q107" i="43"/>
  <c r="T107" i="43"/>
  <c r="S107" i="43"/>
  <c r="P108" i="43"/>
  <c r="C109" i="43"/>
  <c r="G109" i="43"/>
  <c r="E109" i="43"/>
  <c r="B110" i="43"/>
  <c r="E90" i="43"/>
  <c r="B90" i="43"/>
  <c r="B91" i="43"/>
  <c r="P11" i="44"/>
  <c r="O10" i="44"/>
  <c r="O9" i="44"/>
  <c r="S108" i="43" l="1"/>
  <c r="J109" i="43"/>
  <c r="N109" i="43"/>
  <c r="I109" i="43"/>
  <c r="K109" i="43"/>
  <c r="O109" i="43"/>
  <c r="T108" i="43"/>
  <c r="Q108" i="43"/>
  <c r="R108" i="43"/>
  <c r="E110" i="43"/>
  <c r="C110" i="43"/>
  <c r="G110" i="43"/>
  <c r="B111" i="43"/>
  <c r="P109" i="43"/>
  <c r="P12" i="44"/>
  <c r="O11" i="44"/>
  <c r="J110" i="43" l="1"/>
  <c r="N110" i="43"/>
  <c r="I110" i="43"/>
  <c r="K110" i="43"/>
  <c r="O110" i="43"/>
  <c r="T109" i="43"/>
  <c r="S109" i="43"/>
  <c r="R109" i="43"/>
  <c r="Q109" i="43"/>
  <c r="C111" i="43"/>
  <c r="G111" i="43"/>
  <c r="E111" i="43"/>
  <c r="B112" i="43"/>
  <c r="B92" i="43"/>
  <c r="P13" i="44"/>
  <c r="O12" i="44"/>
  <c r="J111" i="43" l="1"/>
  <c r="N111" i="43"/>
  <c r="I111" i="43"/>
  <c r="K111" i="43"/>
  <c r="O111" i="43"/>
  <c r="E112" i="43"/>
  <c r="C112" i="43"/>
  <c r="G112" i="43"/>
  <c r="B113" i="43"/>
  <c r="B93" i="43"/>
  <c r="P14" i="44"/>
  <c r="O13" i="44"/>
  <c r="J112" i="43" l="1"/>
  <c r="N112" i="43"/>
  <c r="I112" i="43"/>
  <c r="K112" i="43"/>
  <c r="O112" i="43"/>
  <c r="C113" i="43"/>
  <c r="G113" i="43"/>
  <c r="E113" i="43"/>
  <c r="B114" i="43"/>
  <c r="B94" i="43"/>
  <c r="P15" i="44"/>
  <c r="O14" i="44"/>
  <c r="J113" i="43" l="1"/>
  <c r="N113" i="43"/>
  <c r="I113" i="43"/>
  <c r="K113" i="43"/>
  <c r="O113" i="43"/>
  <c r="E114" i="43"/>
  <c r="C114" i="43"/>
  <c r="G114" i="43"/>
  <c r="B115" i="43"/>
  <c r="B95" i="43"/>
  <c r="P16" i="44"/>
  <c r="O15" i="44"/>
  <c r="J114" i="43" l="1"/>
  <c r="N114" i="43"/>
  <c r="I114" i="43"/>
  <c r="K114" i="43"/>
  <c r="O114" i="43"/>
  <c r="C115" i="43"/>
  <c r="G115" i="43"/>
  <c r="E115" i="43"/>
  <c r="B116" i="43"/>
  <c r="B96" i="43"/>
  <c r="P17" i="44"/>
  <c r="O16" i="44"/>
  <c r="J115" i="43" l="1"/>
  <c r="N115" i="43"/>
  <c r="I115" i="43"/>
  <c r="K115" i="43"/>
  <c r="O115" i="43"/>
  <c r="E116" i="43"/>
  <c r="C116" i="43"/>
  <c r="G116" i="43"/>
  <c r="B117" i="43"/>
  <c r="B97" i="43"/>
  <c r="P18" i="44"/>
  <c r="O17" i="44"/>
  <c r="F32" i="20"/>
  <c r="F60" i="20" s="1"/>
  <c r="F33" i="20"/>
  <c r="F61" i="20" s="1"/>
  <c r="K36" i="20"/>
  <c r="K37" i="20"/>
  <c r="I1" i="43"/>
  <c r="A5" i="43"/>
  <c r="C8" i="19"/>
  <c r="F73" i="20" l="1"/>
  <c r="K73" i="20" s="1"/>
  <c r="K60" i="20"/>
  <c r="F74" i="20"/>
  <c r="K74" i="20" s="1"/>
  <c r="K61" i="20"/>
  <c r="J116" i="43"/>
  <c r="N116" i="43"/>
  <c r="I116" i="43"/>
  <c r="K116" i="43"/>
  <c r="O116" i="43"/>
  <c r="C117" i="43"/>
  <c r="G117" i="43"/>
  <c r="E117" i="43"/>
  <c r="B118" i="43"/>
  <c r="E5" i="43"/>
  <c r="C5" i="43"/>
  <c r="B168" i="40"/>
  <c r="B186" i="40"/>
  <c r="B3" i="39"/>
  <c r="B11" i="39" s="1"/>
  <c r="C11" i="39" s="1"/>
  <c r="B204" i="40"/>
  <c r="B309" i="40"/>
  <c r="B98" i="43"/>
  <c r="B5" i="43"/>
  <c r="D4" i="41"/>
  <c r="P3" i="39"/>
  <c r="P19" i="44"/>
  <c r="O18" i="44"/>
  <c r="C9" i="19"/>
  <c r="P4" i="39" s="1"/>
  <c r="BF27" i="40" s="1"/>
  <c r="K75" i="20" l="1"/>
  <c r="K62" i="20"/>
  <c r="D68" i="20" s="1"/>
  <c r="K68" i="20" s="1"/>
  <c r="J117" i="43"/>
  <c r="N117" i="43"/>
  <c r="I117" i="43"/>
  <c r="K117" i="43"/>
  <c r="O117" i="43"/>
  <c r="E118" i="43"/>
  <c r="C118" i="43"/>
  <c r="G118" i="43"/>
  <c r="B119" i="43"/>
  <c r="B5" i="41"/>
  <c r="C6" i="43"/>
  <c r="E168" i="40"/>
  <c r="E186" i="40"/>
  <c r="K343" i="40" s="1"/>
  <c r="B326" i="40"/>
  <c r="E6" i="43"/>
  <c r="BF79" i="40"/>
  <c r="BF361" i="40"/>
  <c r="BF343" i="40"/>
  <c r="BF325" i="40"/>
  <c r="BF308" i="40"/>
  <c r="BF290" i="40"/>
  <c r="BF273" i="40"/>
  <c r="BF255" i="40"/>
  <c r="BF62" i="40"/>
  <c r="BF45" i="40"/>
  <c r="BF238" i="40"/>
  <c r="BF221" i="40"/>
  <c r="BF203" i="40"/>
  <c r="BF185" i="40"/>
  <c r="BF167" i="40"/>
  <c r="BF149" i="40"/>
  <c r="BF132" i="40"/>
  <c r="BF114" i="40"/>
  <c r="BF97" i="40"/>
  <c r="B99" i="43"/>
  <c r="BE27" i="40"/>
  <c r="B6" i="43"/>
  <c r="E5" i="41"/>
  <c r="A4" i="41"/>
  <c r="E4" i="41"/>
  <c r="C3" i="39"/>
  <c r="P20" i="44"/>
  <c r="O19" i="44"/>
  <c r="C10" i="19"/>
  <c r="P5" i="39" s="1"/>
  <c r="BG27" i="40" s="1"/>
  <c r="D6" i="41"/>
  <c r="J348" i="40" l="1"/>
  <c r="J351" i="40"/>
  <c r="D80" i="20"/>
  <c r="K80" i="20" s="1"/>
  <c r="J118" i="43"/>
  <c r="N118" i="43"/>
  <c r="I118" i="43"/>
  <c r="K118" i="43"/>
  <c r="O118" i="43"/>
  <c r="C119" i="43"/>
  <c r="G119" i="43"/>
  <c r="E119" i="43"/>
  <c r="B120" i="43"/>
  <c r="B7" i="41"/>
  <c r="BE221" i="40"/>
  <c r="BE203" i="40"/>
  <c r="C7" i="43"/>
  <c r="H291" i="40"/>
  <c r="H115" i="40"/>
  <c r="H186" i="40"/>
  <c r="H326" i="40"/>
  <c r="H168" i="40"/>
  <c r="E7" i="43"/>
  <c r="BG361" i="40"/>
  <c r="BG343" i="40"/>
  <c r="BG325" i="40"/>
  <c r="BG308" i="40"/>
  <c r="BG290" i="40"/>
  <c r="BG273" i="40"/>
  <c r="BG255" i="40"/>
  <c r="BG238" i="40"/>
  <c r="BG221" i="40"/>
  <c r="BG203" i="40"/>
  <c r="BG185" i="40"/>
  <c r="BG167" i="40"/>
  <c r="BG149" i="40"/>
  <c r="BG132" i="40"/>
  <c r="BG114" i="40"/>
  <c r="BG97" i="40"/>
  <c r="BG79" i="40"/>
  <c r="BG62" i="40"/>
  <c r="BG45" i="40"/>
  <c r="BE361" i="40"/>
  <c r="BE343" i="40"/>
  <c r="BE344" i="40" s="1"/>
  <c r="BE325" i="40"/>
  <c r="BE326" i="40" s="1"/>
  <c r="BE308" i="40"/>
  <c r="BE309" i="40" s="1"/>
  <c r="BE290" i="40"/>
  <c r="BE291" i="40" s="1"/>
  <c r="BE273" i="40"/>
  <c r="BE274" i="40" s="1"/>
  <c r="BE255" i="40"/>
  <c r="BE256" i="40" s="1"/>
  <c r="BE238" i="40"/>
  <c r="BE239" i="40" s="1"/>
  <c r="BE185" i="40"/>
  <c r="BE186" i="40" s="1"/>
  <c r="BE167" i="40"/>
  <c r="BE149" i="40"/>
  <c r="BE150" i="40" s="1"/>
  <c r="BE132" i="40"/>
  <c r="BE133" i="40" s="1"/>
  <c r="BE114" i="40"/>
  <c r="BE115" i="40" s="1"/>
  <c r="BE97" i="40"/>
  <c r="BE98" i="40" s="1"/>
  <c r="BE79" i="40"/>
  <c r="BE80" i="40" s="1"/>
  <c r="BE62" i="40"/>
  <c r="BE63" i="40" s="1"/>
  <c r="BE45" i="40"/>
  <c r="BE46" i="40" s="1"/>
  <c r="B100" i="43"/>
  <c r="B7" i="43"/>
  <c r="B19" i="39"/>
  <c r="P21" i="44"/>
  <c r="O20" i="44"/>
  <c r="C11" i="19"/>
  <c r="D8" i="41"/>
  <c r="E7" i="41"/>
  <c r="E6" i="41"/>
  <c r="A6" i="41"/>
  <c r="J119" i="43" l="1"/>
  <c r="N119" i="43"/>
  <c r="I119" i="43"/>
  <c r="K119" i="43"/>
  <c r="O119" i="43"/>
  <c r="E120" i="43"/>
  <c r="C120" i="43"/>
  <c r="G120" i="43"/>
  <c r="B121" i="43"/>
  <c r="C8" i="43"/>
  <c r="K168" i="40"/>
  <c r="AE295" i="40"/>
  <c r="AE137" i="40"/>
  <c r="AE172" i="40"/>
  <c r="K115" i="40"/>
  <c r="AE102" i="40"/>
  <c r="AE190" i="40"/>
  <c r="K326" i="40"/>
  <c r="K186" i="40"/>
  <c r="K291" i="40"/>
  <c r="E8" i="43"/>
  <c r="B101" i="43"/>
  <c r="P6" i="39"/>
  <c r="B8" i="43"/>
  <c r="C19" i="39"/>
  <c r="B27" i="39"/>
  <c r="P22" i="44"/>
  <c r="O21" i="44"/>
  <c r="C12" i="19"/>
  <c r="D10" i="41"/>
  <c r="A8" i="41"/>
  <c r="E9" i="41"/>
  <c r="E8" i="41"/>
  <c r="B9" i="41"/>
  <c r="J120" i="43" l="1"/>
  <c r="N120" i="43"/>
  <c r="I120" i="43"/>
  <c r="K120" i="43"/>
  <c r="O120" i="43"/>
  <c r="C121" i="43"/>
  <c r="G121" i="43"/>
  <c r="E121" i="43"/>
  <c r="B122" i="43"/>
  <c r="C9" i="43"/>
  <c r="N291" i="40"/>
  <c r="N115" i="40"/>
  <c r="N362" i="40"/>
  <c r="AE191" i="40"/>
  <c r="AE296" i="40"/>
  <c r="AE367" i="40"/>
  <c r="AE103" i="40"/>
  <c r="AE173" i="40"/>
  <c r="N168" i="40"/>
  <c r="E9" i="43"/>
  <c r="B102" i="43"/>
  <c r="BH27" i="40"/>
  <c r="P7" i="39"/>
  <c r="B9" i="43"/>
  <c r="C27" i="39"/>
  <c r="B35" i="39"/>
  <c r="P23" i="44"/>
  <c r="O22" i="44"/>
  <c r="C13" i="19"/>
  <c r="D12" i="41"/>
  <c r="A10" i="41"/>
  <c r="E11" i="41"/>
  <c r="E10" i="41"/>
  <c r="B11" i="41"/>
  <c r="J121" i="43" l="1"/>
  <c r="N121" i="43"/>
  <c r="I121" i="43"/>
  <c r="K121" i="43"/>
  <c r="O121" i="43"/>
  <c r="E122" i="43"/>
  <c r="C122" i="43"/>
  <c r="G122" i="43"/>
  <c r="B123" i="43"/>
  <c r="C10" i="43"/>
  <c r="E10" i="43"/>
  <c r="BH361" i="40"/>
  <c r="BH343" i="40"/>
  <c r="BH325" i="40"/>
  <c r="BH308" i="40"/>
  <c r="BH290" i="40"/>
  <c r="BH273" i="40"/>
  <c r="BH255" i="40"/>
  <c r="BH62" i="40"/>
  <c r="BH45" i="40"/>
  <c r="BH238" i="40"/>
  <c r="BH221" i="40"/>
  <c r="BH203" i="40"/>
  <c r="BH185" i="40"/>
  <c r="BH167" i="40"/>
  <c r="BH149" i="40"/>
  <c r="BH132" i="40"/>
  <c r="BH114" i="40"/>
  <c r="BH97" i="40"/>
  <c r="BH79" i="40"/>
  <c r="B103" i="43"/>
  <c r="BI27" i="40"/>
  <c r="P8" i="39"/>
  <c r="BJ27" i="40" s="1"/>
  <c r="B10" i="43"/>
  <c r="C35" i="39"/>
  <c r="B43" i="39"/>
  <c r="P24" i="44"/>
  <c r="O23" i="44"/>
  <c r="C14" i="19"/>
  <c r="P9" i="39" s="1"/>
  <c r="BK27" i="40" s="1"/>
  <c r="D14" i="41"/>
  <c r="A12" i="41"/>
  <c r="E13" i="41"/>
  <c r="E12" i="41"/>
  <c r="B13" i="41"/>
  <c r="J122" i="43" l="1"/>
  <c r="N122" i="43"/>
  <c r="I122" i="43"/>
  <c r="K122" i="43"/>
  <c r="O122" i="43"/>
  <c r="C123" i="43"/>
  <c r="G123" i="43"/>
  <c r="E123" i="43"/>
  <c r="B124" i="43"/>
  <c r="C11" i="43"/>
  <c r="E11" i="43"/>
  <c r="BJ361" i="40"/>
  <c r="BJ343" i="40"/>
  <c r="BJ325" i="40"/>
  <c r="BJ308" i="40"/>
  <c r="BJ290" i="40"/>
  <c r="BJ273" i="40"/>
  <c r="BJ255" i="40"/>
  <c r="BJ62" i="40"/>
  <c r="BJ45" i="40"/>
  <c r="BJ238" i="40"/>
  <c r="BJ221" i="40"/>
  <c r="BJ203" i="40"/>
  <c r="BJ185" i="40"/>
  <c r="BJ167" i="40"/>
  <c r="BJ149" i="40"/>
  <c r="BJ132" i="40"/>
  <c r="BJ114" i="40"/>
  <c r="BJ97" i="40"/>
  <c r="BJ79" i="40"/>
  <c r="BK361" i="40"/>
  <c r="BK343" i="40"/>
  <c r="BK325" i="40"/>
  <c r="BK308" i="40"/>
  <c r="BK290" i="40"/>
  <c r="BK273" i="40"/>
  <c r="BK255" i="40"/>
  <c r="BK238" i="40"/>
  <c r="BK221" i="40"/>
  <c r="BK203" i="40"/>
  <c r="BK185" i="40"/>
  <c r="BK167" i="40"/>
  <c r="BK149" i="40"/>
  <c r="BK132" i="40"/>
  <c r="BK114" i="40"/>
  <c r="BK97" i="40"/>
  <c r="BK79" i="40"/>
  <c r="BK45" i="40"/>
  <c r="BK62" i="40"/>
  <c r="BI361" i="40"/>
  <c r="BI343" i="40"/>
  <c r="BI325" i="40"/>
  <c r="BI308" i="40"/>
  <c r="BI290" i="40"/>
  <c r="BI273" i="40"/>
  <c r="BI255" i="40"/>
  <c r="BI238" i="40"/>
  <c r="BI221" i="40"/>
  <c r="BI203" i="40"/>
  <c r="BI185" i="40"/>
  <c r="BI167" i="40"/>
  <c r="BI149" i="40"/>
  <c r="BI132" i="40"/>
  <c r="BI114" i="40"/>
  <c r="BI97" i="40"/>
  <c r="BI79" i="40"/>
  <c r="BI62" i="40"/>
  <c r="BI45" i="40"/>
  <c r="B104" i="43"/>
  <c r="B11" i="43"/>
  <c r="B51" i="39"/>
  <c r="B59" i="39" s="1"/>
  <c r="C43" i="39"/>
  <c r="P25" i="44"/>
  <c r="O24" i="44"/>
  <c r="C15" i="19"/>
  <c r="D16" i="41"/>
  <c r="A14" i="41"/>
  <c r="B15" i="41"/>
  <c r="E14" i="41"/>
  <c r="E15" i="41"/>
  <c r="J123" i="43" l="1"/>
  <c r="N123" i="43"/>
  <c r="I123" i="43"/>
  <c r="K123" i="43"/>
  <c r="O123" i="43"/>
  <c r="E124" i="43"/>
  <c r="C124" i="43"/>
  <c r="G124" i="43"/>
  <c r="B125" i="43"/>
  <c r="C12" i="43"/>
  <c r="P10" i="39"/>
  <c r="E12" i="43"/>
  <c r="B105" i="43"/>
  <c r="B12" i="43"/>
  <c r="C51" i="39"/>
  <c r="C59" i="39"/>
  <c r="B67" i="39"/>
  <c r="P26" i="44"/>
  <c r="O25" i="44"/>
  <c r="C16" i="19"/>
  <c r="D18" i="41"/>
  <c r="A16" i="41"/>
  <c r="B17" i="41"/>
  <c r="E16" i="41"/>
  <c r="E17" i="41"/>
  <c r="J124" i="43" l="1"/>
  <c r="N124" i="43"/>
  <c r="I124" i="43"/>
  <c r="K124" i="43"/>
  <c r="O124" i="43"/>
  <c r="C125" i="43"/>
  <c r="G125" i="43"/>
  <c r="E125" i="43"/>
  <c r="B126" i="43"/>
  <c r="A18" i="41"/>
  <c r="C13" i="43"/>
  <c r="BL27" i="40"/>
  <c r="P11" i="39"/>
  <c r="BM27" i="40" s="1"/>
  <c r="BM361" i="40" s="1"/>
  <c r="E13" i="43"/>
  <c r="B106" i="43"/>
  <c r="B13" i="43"/>
  <c r="C67" i="39"/>
  <c r="B75" i="39"/>
  <c r="P27" i="44"/>
  <c r="O26" i="44"/>
  <c r="C17" i="19"/>
  <c r="P12" i="39" s="1"/>
  <c r="BN27" i="40" s="1"/>
  <c r="D20" i="41"/>
  <c r="B19" i="41"/>
  <c r="E18" i="41"/>
  <c r="E19" i="41"/>
  <c r="J125" i="43" l="1"/>
  <c r="N125" i="43"/>
  <c r="I125" i="43"/>
  <c r="K125" i="43"/>
  <c r="O125" i="43"/>
  <c r="E126" i="43"/>
  <c r="C126" i="43"/>
  <c r="G126" i="43"/>
  <c r="B127" i="43"/>
  <c r="C14" i="43"/>
  <c r="BL238" i="40"/>
  <c r="BL79" i="40"/>
  <c r="BL114" i="40"/>
  <c r="BL149" i="40"/>
  <c r="BL185" i="40"/>
  <c r="BL221" i="40"/>
  <c r="BL308" i="40"/>
  <c r="BL361" i="40"/>
  <c r="BL290" i="40"/>
  <c r="BL62" i="40"/>
  <c r="BL45" i="40"/>
  <c r="BL97" i="40"/>
  <c r="BL132" i="40"/>
  <c r="BL167" i="40"/>
  <c r="BL203" i="40"/>
  <c r="BL343" i="40"/>
  <c r="BL273" i="40"/>
  <c r="BL325" i="40"/>
  <c r="BL255" i="40"/>
  <c r="BM221" i="40"/>
  <c r="BM79" i="40"/>
  <c r="BM149" i="40"/>
  <c r="BM343" i="40"/>
  <c r="BM273" i="40"/>
  <c r="BM203" i="40"/>
  <c r="BM45" i="40"/>
  <c r="BM132" i="40"/>
  <c r="BM290" i="40"/>
  <c r="BM185" i="40"/>
  <c r="BM114" i="40"/>
  <c r="BM62" i="40"/>
  <c r="BM308" i="40"/>
  <c r="BM238" i="40"/>
  <c r="BM167" i="40"/>
  <c r="BM97" i="40"/>
  <c r="BM255" i="40"/>
  <c r="BM325" i="40"/>
  <c r="BN238" i="40"/>
  <c r="BN361" i="40"/>
  <c r="BN325" i="40"/>
  <c r="BN290" i="40"/>
  <c r="BN255" i="40"/>
  <c r="BN62" i="40"/>
  <c r="BN45" i="40"/>
  <c r="BN79" i="40"/>
  <c r="BN97" i="40"/>
  <c r="BN114" i="40"/>
  <c r="BN132" i="40"/>
  <c r="BN149" i="40"/>
  <c r="BN167" i="40"/>
  <c r="BN185" i="40"/>
  <c r="BN203" i="40"/>
  <c r="BN221" i="40"/>
  <c r="BN343" i="40"/>
  <c r="BN308" i="40"/>
  <c r="BN273" i="40"/>
  <c r="E14" i="43"/>
  <c r="B107" i="43"/>
  <c r="B14" i="43"/>
  <c r="C75" i="39"/>
  <c r="B83" i="39"/>
  <c r="P28" i="44"/>
  <c r="O27" i="44"/>
  <c r="C18" i="19"/>
  <c r="D22" i="41"/>
  <c r="A20" i="41"/>
  <c r="E20" i="41"/>
  <c r="E21" i="41"/>
  <c r="J126" i="43" l="1"/>
  <c r="N126" i="43"/>
  <c r="I126" i="43"/>
  <c r="K126" i="43"/>
  <c r="O126" i="43"/>
  <c r="C127" i="43"/>
  <c r="G127" i="43"/>
  <c r="E127" i="43"/>
  <c r="B128" i="43"/>
  <c r="C15" i="43"/>
  <c r="E15" i="43"/>
  <c r="B108" i="43"/>
  <c r="P13" i="39"/>
  <c r="B15" i="43"/>
  <c r="C83" i="39"/>
  <c r="B91" i="39"/>
  <c r="P29" i="44"/>
  <c r="O28" i="44"/>
  <c r="C19" i="19"/>
  <c r="P14" i="39" s="1"/>
  <c r="BP27" i="40" s="1"/>
  <c r="D24" i="41"/>
  <c r="A22" i="41"/>
  <c r="E22" i="41"/>
  <c r="E23" i="41"/>
  <c r="J127" i="43" l="1"/>
  <c r="N127" i="43"/>
  <c r="I127" i="43"/>
  <c r="K127" i="43"/>
  <c r="O127" i="43"/>
  <c r="E128" i="43"/>
  <c r="C128" i="43"/>
  <c r="G128" i="43"/>
  <c r="B129" i="43"/>
  <c r="C16" i="43"/>
  <c r="BO27" i="40"/>
  <c r="BO361" i="40" s="1"/>
  <c r="E16" i="43"/>
  <c r="BP361" i="40"/>
  <c r="BP343" i="40"/>
  <c r="BP325" i="40"/>
  <c r="BP308" i="40"/>
  <c r="BP290" i="40"/>
  <c r="BP273" i="40"/>
  <c r="BP255" i="40"/>
  <c r="BP62" i="40"/>
  <c r="BP238" i="40"/>
  <c r="BP221" i="40"/>
  <c r="BP203" i="40"/>
  <c r="BP185" i="40"/>
  <c r="BP167" i="40"/>
  <c r="BP149" i="40"/>
  <c r="BP132" i="40"/>
  <c r="BP114" i="40"/>
  <c r="BP97" i="40"/>
  <c r="BP79" i="40"/>
  <c r="BP45" i="40"/>
  <c r="BO132" i="40"/>
  <c r="B16" i="43"/>
  <c r="C91" i="39"/>
  <c r="B99" i="39"/>
  <c r="P30" i="44"/>
  <c r="O29" i="44"/>
  <c r="C20" i="19"/>
  <c r="P15" i="39" s="1"/>
  <c r="BQ27" i="40" s="1"/>
  <c r="D26" i="41"/>
  <c r="A24" i="41"/>
  <c r="E24" i="41"/>
  <c r="E25" i="41"/>
  <c r="BO167" i="40" l="1"/>
  <c r="BO273" i="40"/>
  <c r="BO45" i="40"/>
  <c r="BO308" i="40"/>
  <c r="BO62" i="40"/>
  <c r="BO203" i="40"/>
  <c r="BO97" i="40"/>
  <c r="BO238" i="40"/>
  <c r="BO343" i="40"/>
  <c r="J128" i="43"/>
  <c r="N128" i="43"/>
  <c r="I128" i="43"/>
  <c r="K128" i="43"/>
  <c r="O128" i="43"/>
  <c r="C129" i="43"/>
  <c r="G129" i="43"/>
  <c r="E129" i="43"/>
  <c r="B130" i="43"/>
  <c r="BO79" i="40"/>
  <c r="BO114" i="40"/>
  <c r="BO149" i="40"/>
  <c r="BO185" i="40"/>
  <c r="BO221" i="40"/>
  <c r="BO255" i="40"/>
  <c r="BO290" i="40"/>
  <c r="BO325" i="40"/>
  <c r="C17" i="43"/>
  <c r="E17" i="43"/>
  <c r="BQ361" i="40"/>
  <c r="BQ343" i="40"/>
  <c r="BQ325" i="40"/>
  <c r="BQ308" i="40"/>
  <c r="BQ290" i="40"/>
  <c r="BQ273" i="40"/>
  <c r="BQ255" i="40"/>
  <c r="BQ238" i="40"/>
  <c r="BQ221" i="40"/>
  <c r="BQ203" i="40"/>
  <c r="BQ185" i="40"/>
  <c r="BQ167" i="40"/>
  <c r="BQ149" i="40"/>
  <c r="BQ132" i="40"/>
  <c r="BQ114" i="40"/>
  <c r="BQ97" i="40"/>
  <c r="BQ79" i="40"/>
  <c r="BQ45" i="40"/>
  <c r="BQ62" i="40"/>
  <c r="B17" i="43"/>
  <c r="C99" i="39"/>
  <c r="B107" i="39"/>
  <c r="P31" i="44"/>
  <c r="O30" i="44"/>
  <c r="C21" i="19"/>
  <c r="P16" i="39" s="1"/>
  <c r="BR27" i="40" s="1"/>
  <c r="D28" i="41"/>
  <c r="A26" i="41"/>
  <c r="E26" i="41"/>
  <c r="E27" i="41"/>
  <c r="B29" i="41" l="1"/>
  <c r="J129" i="43"/>
  <c r="N129" i="43"/>
  <c r="I129" i="43"/>
  <c r="K129" i="43"/>
  <c r="O129" i="43"/>
  <c r="E130" i="43"/>
  <c r="C130" i="43"/>
  <c r="G130" i="43"/>
  <c r="B131" i="43"/>
  <c r="E18" i="43"/>
  <c r="C18" i="43"/>
  <c r="BR361" i="40"/>
  <c r="BR343" i="40"/>
  <c r="BR325" i="40"/>
  <c r="BR308" i="40"/>
  <c r="BR290" i="40"/>
  <c r="BR273" i="40"/>
  <c r="BR255" i="40"/>
  <c r="BR62" i="40"/>
  <c r="BR238" i="40"/>
  <c r="BR221" i="40"/>
  <c r="BR203" i="40"/>
  <c r="BR185" i="40"/>
  <c r="BR167" i="40"/>
  <c r="BR149" i="40"/>
  <c r="BR132" i="40"/>
  <c r="BR114" i="40"/>
  <c r="BR97" i="40"/>
  <c r="BR79" i="40"/>
  <c r="BR45" i="40"/>
  <c r="B18" i="43"/>
  <c r="B115" i="39"/>
  <c r="C107" i="39"/>
  <c r="P32" i="44"/>
  <c r="O31" i="44"/>
  <c r="C22" i="19"/>
  <c r="P17" i="39" s="1"/>
  <c r="BS27" i="40" s="1"/>
  <c r="D30" i="41"/>
  <c r="A28" i="41"/>
  <c r="E28" i="41"/>
  <c r="E29" i="41"/>
  <c r="J130" i="43" l="1"/>
  <c r="N130" i="43"/>
  <c r="I130" i="43"/>
  <c r="K130" i="43"/>
  <c r="O130" i="43"/>
  <c r="C131" i="43"/>
  <c r="G131" i="43"/>
  <c r="E131" i="43"/>
  <c r="B132" i="43"/>
  <c r="E19" i="43"/>
  <c r="C19" i="43"/>
  <c r="BS361" i="40"/>
  <c r="BS343" i="40"/>
  <c r="BS325" i="40"/>
  <c r="BS308" i="40"/>
  <c r="BS290" i="40"/>
  <c r="BS273" i="40"/>
  <c r="BS255" i="40"/>
  <c r="BS238" i="40"/>
  <c r="BS221" i="40"/>
  <c r="BS203" i="40"/>
  <c r="BS185" i="40"/>
  <c r="BS167" i="40"/>
  <c r="BS149" i="40"/>
  <c r="BS132" i="40"/>
  <c r="BS114" i="40"/>
  <c r="BS97" i="40"/>
  <c r="BS79" i="40"/>
  <c r="BS45" i="40"/>
  <c r="BS62" i="40"/>
  <c r="B19" i="43"/>
  <c r="B123" i="39"/>
  <c r="C115" i="39"/>
  <c r="P33" i="44"/>
  <c r="O32" i="44"/>
  <c r="C23" i="19"/>
  <c r="P18" i="39" s="1"/>
  <c r="BT27" i="40" s="1"/>
  <c r="D32" i="41"/>
  <c r="A30" i="41"/>
  <c r="B31" i="41"/>
  <c r="E30" i="41"/>
  <c r="E31" i="41"/>
  <c r="J131" i="43" l="1"/>
  <c r="N131" i="43"/>
  <c r="I131" i="43"/>
  <c r="K131" i="43"/>
  <c r="O131" i="43"/>
  <c r="E132" i="43"/>
  <c r="C132" i="43"/>
  <c r="G132" i="43"/>
  <c r="B133" i="43"/>
  <c r="E20" i="43"/>
  <c r="C20" i="43"/>
  <c r="BT361" i="40"/>
  <c r="BT343" i="40"/>
  <c r="BT325" i="40"/>
  <c r="BT308" i="40"/>
  <c r="BT290" i="40"/>
  <c r="BT273" i="40"/>
  <c r="BT255" i="40"/>
  <c r="BT62" i="40"/>
  <c r="BT238" i="40"/>
  <c r="BT221" i="40"/>
  <c r="BT203" i="40"/>
  <c r="BT185" i="40"/>
  <c r="BT167" i="40"/>
  <c r="BT149" i="40"/>
  <c r="BT132" i="40"/>
  <c r="BT114" i="40"/>
  <c r="BT97" i="40"/>
  <c r="BT79" i="40"/>
  <c r="BT45" i="40"/>
  <c r="B20" i="43"/>
  <c r="B131" i="39"/>
  <c r="C123" i="39"/>
  <c r="P34" i="44"/>
  <c r="O33" i="44"/>
  <c r="C24" i="19"/>
  <c r="D34" i="41"/>
  <c r="A32" i="41"/>
  <c r="B33" i="41"/>
  <c r="E32" i="41"/>
  <c r="E33" i="41"/>
  <c r="J132" i="43" l="1"/>
  <c r="N132" i="43"/>
  <c r="I132" i="43"/>
  <c r="K132" i="43"/>
  <c r="O132" i="43"/>
  <c r="C133" i="43"/>
  <c r="G133" i="43"/>
  <c r="E133" i="43"/>
  <c r="B134" i="43"/>
  <c r="E21" i="43"/>
  <c r="C21" i="43"/>
  <c r="B21" i="43"/>
  <c r="P19" i="39"/>
  <c r="BU27" i="40" s="1"/>
  <c r="B139" i="39"/>
  <c r="C131" i="39"/>
  <c r="P35" i="44"/>
  <c r="O34" i="44"/>
  <c r="C25" i="19"/>
  <c r="D36" i="41"/>
  <c r="A34" i="41"/>
  <c r="B35" i="41"/>
  <c r="E34" i="41"/>
  <c r="E35" i="41"/>
  <c r="J133" i="43" l="1"/>
  <c r="N133" i="43"/>
  <c r="I133" i="43"/>
  <c r="K133" i="43"/>
  <c r="O133" i="43"/>
  <c r="E134" i="43"/>
  <c r="C134" i="43"/>
  <c r="G134" i="43"/>
  <c r="B135" i="43"/>
  <c r="K361" i="40"/>
  <c r="E22" i="43"/>
  <c r="C22" i="43"/>
  <c r="BU361" i="40"/>
  <c r="BU343" i="40"/>
  <c r="BU325" i="40"/>
  <c r="BU308" i="40"/>
  <c r="BU290" i="40"/>
  <c r="BU273" i="40"/>
  <c r="BU255" i="40"/>
  <c r="BU238" i="40"/>
  <c r="BU221" i="40"/>
  <c r="BU203" i="40"/>
  <c r="BU185" i="40"/>
  <c r="BU167" i="40"/>
  <c r="BU149" i="40"/>
  <c r="BU132" i="40"/>
  <c r="BU114" i="40"/>
  <c r="BU97" i="40"/>
  <c r="BU79" i="40"/>
  <c r="BU45" i="40"/>
  <c r="BU62" i="40"/>
  <c r="B22" i="43"/>
  <c r="P20" i="39"/>
  <c r="BV27" i="40" s="1"/>
  <c r="C136" i="39"/>
  <c r="D134" i="39"/>
  <c r="B147" i="39"/>
  <c r="C139" i="39"/>
  <c r="P36" i="44"/>
  <c r="O35" i="44"/>
  <c r="C26" i="19"/>
  <c r="D38" i="41"/>
  <c r="A36" i="41"/>
  <c r="B37" i="41"/>
  <c r="E36" i="41"/>
  <c r="E37" i="41"/>
  <c r="F21" i="41" l="1"/>
  <c r="G21" i="41" s="1"/>
  <c r="F23" i="41"/>
  <c r="G23" i="41" s="1"/>
  <c r="F25" i="41"/>
  <c r="G25" i="41" s="1"/>
  <c r="F27" i="41"/>
  <c r="J366" i="40"/>
  <c r="J369" i="40"/>
  <c r="BE362" i="40"/>
  <c r="J134" i="43"/>
  <c r="N134" i="43"/>
  <c r="I134" i="43"/>
  <c r="K134" i="43"/>
  <c r="O134" i="43"/>
  <c r="C135" i="43"/>
  <c r="G135" i="43"/>
  <c r="E135" i="43"/>
  <c r="B136" i="43"/>
  <c r="K362" i="40"/>
  <c r="AE366" i="40"/>
  <c r="E23" i="43"/>
  <c r="C23" i="43"/>
  <c r="BV361" i="40"/>
  <c r="BV343" i="40"/>
  <c r="BV325" i="40"/>
  <c r="BV308" i="40"/>
  <c r="BV290" i="40"/>
  <c r="BV273" i="40"/>
  <c r="BV255" i="40"/>
  <c r="BV62" i="40"/>
  <c r="BV238" i="40"/>
  <c r="BV221" i="40"/>
  <c r="BV203" i="40"/>
  <c r="BV185" i="40"/>
  <c r="BV167" i="40"/>
  <c r="BV149" i="40"/>
  <c r="BV132" i="40"/>
  <c r="BV114" i="40"/>
  <c r="BV97" i="40"/>
  <c r="BV79" i="40"/>
  <c r="BV45" i="40"/>
  <c r="B23" i="43"/>
  <c r="M134" i="39"/>
  <c r="P21" i="39"/>
  <c r="BW27" i="40" s="1"/>
  <c r="B155" i="39"/>
  <c r="C147" i="39"/>
  <c r="P37" i="44"/>
  <c r="O36" i="44"/>
  <c r="C27" i="19"/>
  <c r="D40" i="41"/>
  <c r="A38" i="41"/>
  <c r="B39" i="41"/>
  <c r="E38" i="41"/>
  <c r="E39" i="41"/>
  <c r="G27" i="41" l="1"/>
  <c r="I27" i="41"/>
  <c r="J27" i="41"/>
  <c r="J135" i="43"/>
  <c r="N135" i="43"/>
  <c r="I135" i="43"/>
  <c r="K135" i="43"/>
  <c r="O135" i="43"/>
  <c r="E136" i="43"/>
  <c r="C136" i="43"/>
  <c r="G136" i="43"/>
  <c r="B137" i="43"/>
  <c r="B24" i="43"/>
  <c r="E24" i="43"/>
  <c r="C24" i="43"/>
  <c r="BW361" i="40"/>
  <c r="BW343" i="40"/>
  <c r="BW325" i="40"/>
  <c r="BW308" i="40"/>
  <c r="BW290" i="40"/>
  <c r="BW273" i="40"/>
  <c r="BW255" i="40"/>
  <c r="BW238" i="40"/>
  <c r="BW221" i="40"/>
  <c r="BW203" i="40"/>
  <c r="BW185" i="40"/>
  <c r="BW167" i="40"/>
  <c r="BW149" i="40"/>
  <c r="BW132" i="40"/>
  <c r="BW114" i="40"/>
  <c r="BW97" i="40"/>
  <c r="BW79" i="40"/>
  <c r="BW45" i="40"/>
  <c r="BW62" i="40"/>
  <c r="P22" i="39"/>
  <c r="BX27" i="40" s="1"/>
  <c r="B163" i="39"/>
  <c r="C155" i="39"/>
  <c r="P38" i="44"/>
  <c r="O37" i="44"/>
  <c r="C28" i="19"/>
  <c r="D42" i="41"/>
  <c r="A40" i="41"/>
  <c r="B41" i="41"/>
  <c r="E40" i="41"/>
  <c r="E41" i="41"/>
  <c r="J136" i="43" l="1"/>
  <c r="N136" i="43"/>
  <c r="I136" i="43"/>
  <c r="K136" i="43"/>
  <c r="O136" i="43"/>
  <c r="C137" i="43"/>
  <c r="G137" i="43"/>
  <c r="E137" i="43"/>
  <c r="B138" i="43"/>
  <c r="E25" i="43"/>
  <c r="C25" i="43"/>
  <c r="BX361" i="40"/>
  <c r="BX343" i="40"/>
  <c r="BX325" i="40"/>
  <c r="BX308" i="40"/>
  <c r="BX290" i="40"/>
  <c r="BX273" i="40"/>
  <c r="BX255" i="40"/>
  <c r="BX62" i="40"/>
  <c r="BX238" i="40"/>
  <c r="BX221" i="40"/>
  <c r="BX203" i="40"/>
  <c r="BX185" i="40"/>
  <c r="BX167" i="40"/>
  <c r="BX149" i="40"/>
  <c r="BX132" i="40"/>
  <c r="BX114" i="40"/>
  <c r="BX97" i="40"/>
  <c r="BX79" i="40"/>
  <c r="BX45" i="40"/>
  <c r="B25" i="43"/>
  <c r="P23" i="39"/>
  <c r="BY27" i="40" s="1"/>
  <c r="B171" i="39"/>
  <c r="C163" i="39"/>
  <c r="P39" i="44"/>
  <c r="O38" i="44"/>
  <c r="C29" i="19"/>
  <c r="D44" i="41"/>
  <c r="A42" i="41"/>
  <c r="B43" i="41"/>
  <c r="E42" i="41"/>
  <c r="E43" i="41"/>
  <c r="J41" i="19"/>
  <c r="F41" i="19"/>
  <c r="Z27" i="40"/>
  <c r="W27" i="40"/>
  <c r="T27" i="40"/>
  <c r="Q27" i="40"/>
  <c r="J137" i="43" l="1"/>
  <c r="N137" i="43"/>
  <c r="I137" i="43"/>
  <c r="K137" i="43"/>
  <c r="O137" i="43"/>
  <c r="E138" i="43"/>
  <c r="C138" i="43"/>
  <c r="G138" i="43"/>
  <c r="B139" i="43"/>
  <c r="BE28" i="40"/>
  <c r="K41" i="19"/>
  <c r="E26" i="43"/>
  <c r="C26" i="43"/>
  <c r="BY361" i="40"/>
  <c r="BY343" i="40"/>
  <c r="BY325" i="40"/>
  <c r="BY308" i="40"/>
  <c r="BY290" i="40"/>
  <c r="BY273" i="40"/>
  <c r="BY255" i="40"/>
  <c r="BY238" i="40"/>
  <c r="BY221" i="40"/>
  <c r="BY203" i="40"/>
  <c r="BY185" i="40"/>
  <c r="BY167" i="40"/>
  <c r="BY149" i="40"/>
  <c r="BY132" i="40"/>
  <c r="BY114" i="40"/>
  <c r="BY97" i="40"/>
  <c r="BY79" i="40"/>
  <c r="BY45" i="40"/>
  <c r="BY62" i="40"/>
  <c r="B26" i="43"/>
  <c r="P24" i="39"/>
  <c r="BZ27" i="40" s="1"/>
  <c r="B179" i="39"/>
  <c r="C171" i="39"/>
  <c r="M41" i="19"/>
  <c r="G41" i="19"/>
  <c r="P40" i="44"/>
  <c r="O39" i="44"/>
  <c r="C30" i="19"/>
  <c r="D46" i="41"/>
  <c r="A44" i="41"/>
  <c r="B45" i="41"/>
  <c r="E44" i="41"/>
  <c r="E45" i="41"/>
  <c r="J138" i="43" l="1"/>
  <c r="N138" i="43"/>
  <c r="I138" i="43"/>
  <c r="K138" i="43"/>
  <c r="O138" i="43"/>
  <c r="C139" i="43"/>
  <c r="G139" i="43"/>
  <c r="E139" i="43"/>
  <c r="B140" i="43"/>
  <c r="E27" i="43"/>
  <c r="C27" i="43"/>
  <c r="BZ361" i="40"/>
  <c r="BZ343" i="40"/>
  <c r="BZ325" i="40"/>
  <c r="BZ308" i="40"/>
  <c r="BZ290" i="40"/>
  <c r="BZ273" i="40"/>
  <c r="BZ255" i="40"/>
  <c r="BZ62" i="40"/>
  <c r="BZ238" i="40"/>
  <c r="BZ221" i="40"/>
  <c r="BZ203" i="40"/>
  <c r="BZ185" i="40"/>
  <c r="BZ167" i="40"/>
  <c r="BZ149" i="40"/>
  <c r="BZ132" i="40"/>
  <c r="BZ114" i="40"/>
  <c r="BZ97" i="40"/>
  <c r="BZ79" i="40"/>
  <c r="BZ45" i="40"/>
  <c r="B27" i="43"/>
  <c r="P25" i="39"/>
  <c r="B187" i="39"/>
  <c r="C179" i="39"/>
  <c r="P41" i="44"/>
  <c r="O40" i="44"/>
  <c r="C31" i="19"/>
  <c r="D48" i="41"/>
  <c r="A46" i="41"/>
  <c r="B47" i="41"/>
  <c r="E46" i="41"/>
  <c r="E47" i="41"/>
  <c r="J139" i="43" l="1"/>
  <c r="N139" i="43"/>
  <c r="I139" i="43"/>
  <c r="K139" i="43"/>
  <c r="O139" i="43"/>
  <c r="E140" i="43"/>
  <c r="C140" i="43"/>
  <c r="G140" i="43"/>
  <c r="B141" i="43"/>
  <c r="E28" i="43"/>
  <c r="C28" i="43"/>
  <c r="B28" i="43"/>
  <c r="P26" i="39"/>
  <c r="CA27" i="40"/>
  <c r="B195" i="39"/>
  <c r="C187" i="39"/>
  <c r="P42" i="44"/>
  <c r="O41" i="44"/>
  <c r="C32" i="19"/>
  <c r="P27" i="39" s="1"/>
  <c r="CC27" i="40" s="1"/>
  <c r="D50" i="41"/>
  <c r="A48" i="41"/>
  <c r="B49" i="41"/>
  <c r="E48" i="41"/>
  <c r="E49" i="41"/>
  <c r="R6" i="20"/>
  <c r="J140" i="43" l="1"/>
  <c r="N140" i="43"/>
  <c r="I140" i="43"/>
  <c r="K140" i="43"/>
  <c r="O140" i="43"/>
  <c r="C141" i="43"/>
  <c r="G141" i="43"/>
  <c r="E141" i="43"/>
  <c r="B142" i="43"/>
  <c r="E29" i="43"/>
  <c r="C29" i="43"/>
  <c r="CC361" i="40"/>
  <c r="CC343" i="40"/>
  <c r="CC325" i="40"/>
  <c r="CC308" i="40"/>
  <c r="CC290" i="40"/>
  <c r="CC273" i="40"/>
  <c r="CC255" i="40"/>
  <c r="CC238" i="40"/>
  <c r="CC221" i="40"/>
  <c r="CC203" i="40"/>
  <c r="CC185" i="40"/>
  <c r="CC167" i="40"/>
  <c r="CC149" i="40"/>
  <c r="CC132" i="40"/>
  <c r="CC114" i="40"/>
  <c r="CC97" i="40"/>
  <c r="CC79" i="40"/>
  <c r="CC45" i="40"/>
  <c r="CC62" i="40"/>
  <c r="CA361" i="40"/>
  <c r="CA343" i="40"/>
  <c r="CA325" i="40"/>
  <c r="CA308" i="40"/>
  <c r="CA290" i="40"/>
  <c r="CA273" i="40"/>
  <c r="CA255" i="40"/>
  <c r="CA238" i="40"/>
  <c r="CA221" i="40"/>
  <c r="CA203" i="40"/>
  <c r="CA185" i="40"/>
  <c r="CA167" i="40"/>
  <c r="CA149" i="40"/>
  <c r="CA132" i="40"/>
  <c r="CA114" i="40"/>
  <c r="CA97" i="40"/>
  <c r="CA79" i="40"/>
  <c r="CA45" i="40"/>
  <c r="CA62" i="40"/>
  <c r="B29" i="43"/>
  <c r="CB27" i="40"/>
  <c r="B203" i="39"/>
  <c r="C195" i="39"/>
  <c r="P43" i="44"/>
  <c r="O42" i="44"/>
  <c r="C33" i="19"/>
  <c r="D52" i="41"/>
  <c r="A50" i="41"/>
  <c r="B51" i="41"/>
  <c r="E50" i="41"/>
  <c r="E51" i="41"/>
  <c r="J141" i="43" l="1"/>
  <c r="N141" i="43"/>
  <c r="I141" i="43"/>
  <c r="K141" i="43"/>
  <c r="O141" i="43"/>
  <c r="E142" i="43"/>
  <c r="C142" i="43"/>
  <c r="G142" i="43"/>
  <c r="B143" i="43"/>
  <c r="E30" i="43"/>
  <c r="C30" i="43"/>
  <c r="CB361" i="40"/>
  <c r="CB343" i="40"/>
  <c r="CB325" i="40"/>
  <c r="CB308" i="40"/>
  <c r="CB290" i="40"/>
  <c r="CB273" i="40"/>
  <c r="CB255" i="40"/>
  <c r="CB62" i="40"/>
  <c r="CB238" i="40"/>
  <c r="CB221" i="40"/>
  <c r="CB203" i="40"/>
  <c r="CB185" i="40"/>
  <c r="CB167" i="40"/>
  <c r="CB149" i="40"/>
  <c r="CB132" i="40"/>
  <c r="CB114" i="40"/>
  <c r="CB97" i="40"/>
  <c r="CB79" i="40"/>
  <c r="CB45" i="40"/>
  <c r="B30" i="43"/>
  <c r="C200" i="39"/>
  <c r="P28" i="39"/>
  <c r="D198" i="39"/>
  <c r="C176" i="39"/>
  <c r="C184" i="39"/>
  <c r="C192" i="39"/>
  <c r="D174" i="39"/>
  <c r="D182" i="39"/>
  <c r="D190" i="39"/>
  <c r="B211" i="39"/>
  <c r="C203" i="39"/>
  <c r="P44" i="44"/>
  <c r="O43" i="44"/>
  <c r="C34" i="19"/>
  <c r="D54" i="41"/>
  <c r="A52" i="41"/>
  <c r="B53" i="41"/>
  <c r="E52" i="41"/>
  <c r="E53" i="41"/>
  <c r="AS39" i="19"/>
  <c r="AS8" i="19"/>
  <c r="M198" i="39" l="1"/>
  <c r="J142" i="43"/>
  <c r="N142" i="43"/>
  <c r="I142" i="43"/>
  <c r="K142" i="43"/>
  <c r="O142" i="43"/>
  <c r="C143" i="43"/>
  <c r="G143" i="43"/>
  <c r="E143" i="43"/>
  <c r="B144" i="43"/>
  <c r="E31" i="43"/>
  <c r="C31" i="43"/>
  <c r="B31" i="43"/>
  <c r="CD27" i="40"/>
  <c r="M190" i="39"/>
  <c r="M174" i="39"/>
  <c r="M182" i="39"/>
  <c r="P29" i="39"/>
  <c r="CE27" i="40" s="1"/>
  <c r="C208" i="39"/>
  <c r="D206" i="39"/>
  <c r="B219" i="39"/>
  <c r="C211" i="39"/>
  <c r="P45" i="44"/>
  <c r="O44" i="44"/>
  <c r="C35" i="19"/>
  <c r="D56" i="41"/>
  <c r="A54" i="41"/>
  <c r="B55" i="41"/>
  <c r="E54" i="41"/>
  <c r="E55" i="41"/>
  <c r="J143" i="43" l="1"/>
  <c r="N143" i="43"/>
  <c r="I143" i="43"/>
  <c r="K143" i="43"/>
  <c r="O143" i="43"/>
  <c r="E144" i="43"/>
  <c r="C144" i="43"/>
  <c r="G144" i="43"/>
  <c r="B145" i="43"/>
  <c r="E32" i="43"/>
  <c r="C32" i="43"/>
  <c r="CE361" i="40"/>
  <c r="CE343" i="40"/>
  <c r="CE325" i="40"/>
  <c r="CE308" i="40"/>
  <c r="CE290" i="40"/>
  <c r="CE273" i="40"/>
  <c r="CE255" i="40"/>
  <c r="CE238" i="40"/>
  <c r="CE221" i="40"/>
  <c r="CE203" i="40"/>
  <c r="CE185" i="40"/>
  <c r="CE167" i="40"/>
  <c r="CE149" i="40"/>
  <c r="CE132" i="40"/>
  <c r="CE114" i="40"/>
  <c r="CE97" i="40"/>
  <c r="CE79" i="40"/>
  <c r="CE45" i="40"/>
  <c r="CE62" i="40"/>
  <c r="CD361" i="40"/>
  <c r="CD343" i="40"/>
  <c r="CD325" i="40"/>
  <c r="CD308" i="40"/>
  <c r="CD290" i="40"/>
  <c r="CD273" i="40"/>
  <c r="CD255" i="40"/>
  <c r="CD62" i="40"/>
  <c r="CD238" i="40"/>
  <c r="CD221" i="40"/>
  <c r="CD203" i="40"/>
  <c r="CD185" i="40"/>
  <c r="CD167" i="40"/>
  <c r="CD149" i="40"/>
  <c r="CD132" i="40"/>
  <c r="CD114" i="40"/>
  <c r="CD97" i="40"/>
  <c r="CD79" i="40"/>
  <c r="CD45" i="40"/>
  <c r="B32" i="43"/>
  <c r="P30" i="39"/>
  <c r="CF27" i="40" s="1"/>
  <c r="M206" i="39"/>
  <c r="N206" i="39" s="1"/>
  <c r="B227" i="39"/>
  <c r="C219" i="39"/>
  <c r="P46" i="44"/>
  <c r="O45" i="44"/>
  <c r="C36" i="19"/>
  <c r="D58" i="41"/>
  <c r="A56" i="41"/>
  <c r="B57" i="41"/>
  <c r="E56" i="41"/>
  <c r="E57" i="41"/>
  <c r="AW39" i="19"/>
  <c r="F40" i="19"/>
  <c r="J40" i="19"/>
  <c r="W17" i="20"/>
  <c r="AS29" i="19"/>
  <c r="AS32" i="19"/>
  <c r="J144" i="43" l="1"/>
  <c r="N144" i="43"/>
  <c r="I144" i="43"/>
  <c r="K144" i="43"/>
  <c r="O144" i="43"/>
  <c r="C145" i="43"/>
  <c r="G145" i="43"/>
  <c r="E145" i="43"/>
  <c r="B146" i="43"/>
  <c r="K40" i="19"/>
  <c r="E33" i="43"/>
  <c r="C33" i="43"/>
  <c r="CF361" i="40"/>
  <c r="CF343" i="40"/>
  <c r="CF325" i="40"/>
  <c r="CF308" i="40"/>
  <c r="CF290" i="40"/>
  <c r="CF273" i="40"/>
  <c r="CF255" i="40"/>
  <c r="CF238" i="40"/>
  <c r="CF62" i="40"/>
  <c r="CF221" i="40"/>
  <c r="CF203" i="40"/>
  <c r="CF185" i="40"/>
  <c r="CF167" i="40"/>
  <c r="CF149" i="40"/>
  <c r="CF132" i="40"/>
  <c r="CF114" i="40"/>
  <c r="CF97" i="40"/>
  <c r="CF79" i="40"/>
  <c r="CF45" i="40"/>
  <c r="B33" i="43"/>
  <c r="P31" i="39"/>
  <c r="B235" i="39"/>
  <c r="C227" i="39"/>
  <c r="G40" i="19"/>
  <c r="P47" i="44"/>
  <c r="O46" i="44"/>
  <c r="C37" i="19"/>
  <c r="D60" i="41"/>
  <c r="A58" i="41"/>
  <c r="B59" i="41"/>
  <c r="E58" i="41"/>
  <c r="E59" i="41"/>
  <c r="AS28" i="19"/>
  <c r="AV28" i="19" s="1"/>
  <c r="AS37" i="19"/>
  <c r="AS36" i="19"/>
  <c r="AV36" i="19" s="1"/>
  <c r="AS35" i="19"/>
  <c r="AV35" i="19" s="1"/>
  <c r="AS34" i="19"/>
  <c r="AV34" i="19" s="1"/>
  <c r="AS33" i="19"/>
  <c r="AS31" i="19"/>
  <c r="AV31" i="19" s="1"/>
  <c r="AS30" i="19"/>
  <c r="AV30" i="19" s="1"/>
  <c r="AS27" i="19"/>
  <c r="AW27" i="19" s="1"/>
  <c r="AS26" i="19"/>
  <c r="AV26" i="19" s="1"/>
  <c r="AS25" i="19"/>
  <c r="AV25" i="19" s="1"/>
  <c r="AS24" i="19"/>
  <c r="AV24" i="19" s="1"/>
  <c r="AS23" i="19"/>
  <c r="AV23" i="19" s="1"/>
  <c r="AS22" i="19"/>
  <c r="AW22" i="19" s="1"/>
  <c r="AS20" i="19"/>
  <c r="AV20" i="19" s="1"/>
  <c r="AS19" i="19"/>
  <c r="AV19" i="19" s="1"/>
  <c r="AS18" i="19"/>
  <c r="AV18" i="19" s="1"/>
  <c r="AS17" i="19"/>
  <c r="AV17" i="19" s="1"/>
  <c r="AW32" i="19"/>
  <c r="AV32" i="19"/>
  <c r="AW29" i="19"/>
  <c r="AV29" i="19"/>
  <c r="M40" i="19"/>
  <c r="J145" i="43" l="1"/>
  <c r="N145" i="43"/>
  <c r="I145" i="43"/>
  <c r="K145" i="43"/>
  <c r="O145" i="43"/>
  <c r="E146" i="43"/>
  <c r="C146" i="43"/>
  <c r="G146" i="43"/>
  <c r="B147" i="43"/>
  <c r="AW35" i="19"/>
  <c r="E34" i="43"/>
  <c r="C34" i="43"/>
  <c r="B34" i="43"/>
  <c r="AW34" i="19"/>
  <c r="CG27" i="40"/>
  <c r="AW24" i="19"/>
  <c r="AW31" i="19"/>
  <c r="C232" i="39"/>
  <c r="P32" i="39"/>
  <c r="CH27" i="40" s="1"/>
  <c r="D230" i="39"/>
  <c r="B243" i="39"/>
  <c r="C235" i="39"/>
  <c r="AW28" i="19"/>
  <c r="AW25" i="19"/>
  <c r="AW36" i="19"/>
  <c r="P48" i="44"/>
  <c r="O47" i="44"/>
  <c r="C38" i="19"/>
  <c r="D62" i="41"/>
  <c r="A60" i="41"/>
  <c r="B61" i="41"/>
  <c r="E60" i="41"/>
  <c r="E61" i="41"/>
  <c r="AW23" i="19"/>
  <c r="AW26" i="19"/>
  <c r="AW20" i="19"/>
  <c r="AW19" i="19"/>
  <c r="AV33" i="19"/>
  <c r="AV22" i="19"/>
  <c r="AV37" i="19"/>
  <c r="AV27" i="19"/>
  <c r="AW33" i="19"/>
  <c r="AW30" i="19"/>
  <c r="AW37" i="19"/>
  <c r="AW18" i="19"/>
  <c r="AW17" i="19"/>
  <c r="J146" i="43" l="1"/>
  <c r="N146" i="43"/>
  <c r="I146" i="43"/>
  <c r="K146" i="43"/>
  <c r="O146" i="43"/>
  <c r="C147" i="43"/>
  <c r="G147" i="43"/>
  <c r="E147" i="43"/>
  <c r="B148" i="43"/>
  <c r="E35" i="43"/>
  <c r="C35" i="43"/>
  <c r="CH361" i="40"/>
  <c r="CH343" i="40"/>
  <c r="CH325" i="40"/>
  <c r="CH308" i="40"/>
  <c r="CH290" i="40"/>
  <c r="CH273" i="40"/>
  <c r="CH255" i="40"/>
  <c r="CH238" i="40"/>
  <c r="CH62" i="40"/>
  <c r="CH221" i="40"/>
  <c r="CH203" i="40"/>
  <c r="CH185" i="40"/>
  <c r="CH167" i="40"/>
  <c r="CH149" i="40"/>
  <c r="CH132" i="40"/>
  <c r="CH114" i="40"/>
  <c r="CH97" i="40"/>
  <c r="CH79" i="40"/>
  <c r="CH45" i="40"/>
  <c r="CG361" i="40"/>
  <c r="CG343" i="40"/>
  <c r="CG325" i="40"/>
  <c r="CG308" i="40"/>
  <c r="CG290" i="40"/>
  <c r="CG273" i="40"/>
  <c r="CG255" i="40"/>
  <c r="CG238" i="40"/>
  <c r="CG221" i="40"/>
  <c r="CG203" i="40"/>
  <c r="CG185" i="40"/>
  <c r="CG167" i="40"/>
  <c r="CG149" i="40"/>
  <c r="CG132" i="40"/>
  <c r="CG114" i="40"/>
  <c r="CG97" i="40"/>
  <c r="CG79" i="40"/>
  <c r="CG45" i="40"/>
  <c r="CG62" i="40"/>
  <c r="B35" i="43"/>
  <c r="M230" i="39"/>
  <c r="N230" i="39" s="1"/>
  <c r="P33" i="39"/>
  <c r="CI27" i="40" s="1"/>
  <c r="C240" i="39"/>
  <c r="D238" i="39"/>
  <c r="B251" i="39"/>
  <c r="C243" i="39"/>
  <c r="P49" i="44"/>
  <c r="O48" i="44"/>
  <c r="C39" i="19"/>
  <c r="D64" i="41"/>
  <c r="A62" i="41"/>
  <c r="B63" i="41"/>
  <c r="E62" i="41"/>
  <c r="E63" i="41"/>
  <c r="K42" i="20"/>
  <c r="R19" i="20"/>
  <c r="A59" i="35"/>
  <c r="A56" i="35"/>
  <c r="J147" i="43" l="1"/>
  <c r="N147" i="43"/>
  <c r="I147" i="43"/>
  <c r="K147" i="43"/>
  <c r="O147" i="43"/>
  <c r="E148" i="43"/>
  <c r="C148" i="43"/>
  <c r="G148" i="43"/>
  <c r="B149" i="43"/>
  <c r="E36" i="43"/>
  <c r="C36" i="43"/>
  <c r="CI361" i="40"/>
  <c r="CI343" i="40"/>
  <c r="CI325" i="40"/>
  <c r="CI308" i="40"/>
  <c r="CI290" i="40"/>
  <c r="CI273" i="40"/>
  <c r="CI255" i="40"/>
  <c r="CI238" i="40"/>
  <c r="CI221" i="40"/>
  <c r="CI203" i="40"/>
  <c r="CI185" i="40"/>
  <c r="CI167" i="40"/>
  <c r="CI149" i="40"/>
  <c r="CI132" i="40"/>
  <c r="CI114" i="40"/>
  <c r="CI97" i="40"/>
  <c r="CI79" i="40"/>
  <c r="CI45" i="40"/>
  <c r="CI62" i="40"/>
  <c r="B36" i="43"/>
  <c r="M238" i="39"/>
  <c r="N238" i="39" s="1"/>
  <c r="P34" i="39"/>
  <c r="CJ27" i="40" s="1"/>
  <c r="C248" i="39"/>
  <c r="D246" i="39"/>
  <c r="B259" i="39"/>
  <c r="C251" i="39"/>
  <c r="P50" i="44"/>
  <c r="O49" i="44"/>
  <c r="C40" i="19"/>
  <c r="D66" i="41"/>
  <c r="A64" i="41"/>
  <c r="B65" i="41"/>
  <c r="E64" i="41"/>
  <c r="E65" i="41"/>
  <c r="AS21" i="19"/>
  <c r="AV21" i="19" s="1"/>
  <c r="J148" i="43" l="1"/>
  <c r="N148" i="43"/>
  <c r="I148" i="43"/>
  <c r="K148" i="43"/>
  <c r="O148" i="43"/>
  <c r="C149" i="43"/>
  <c r="G149" i="43"/>
  <c r="E149" i="43"/>
  <c r="B150" i="43"/>
  <c r="E37" i="43"/>
  <c r="C37" i="43"/>
  <c r="CJ361" i="40"/>
  <c r="CJ343" i="40"/>
  <c r="CJ325" i="40"/>
  <c r="CJ308" i="40"/>
  <c r="CJ290" i="40"/>
  <c r="CJ273" i="40"/>
  <c r="CJ255" i="40"/>
  <c r="CJ238" i="40"/>
  <c r="CJ62" i="40"/>
  <c r="CJ221" i="40"/>
  <c r="CJ203" i="40"/>
  <c r="CJ185" i="40"/>
  <c r="CJ167" i="40"/>
  <c r="CJ149" i="40"/>
  <c r="CJ132" i="40"/>
  <c r="CJ114" i="40"/>
  <c r="CJ97" i="40"/>
  <c r="CJ79" i="40"/>
  <c r="CJ45" i="40"/>
  <c r="B37" i="43"/>
  <c r="M246" i="39"/>
  <c r="P35" i="39"/>
  <c r="CK27" i="40" s="1"/>
  <c r="C256" i="39"/>
  <c r="D254" i="39"/>
  <c r="B267" i="39"/>
  <c r="C259" i="39"/>
  <c r="P51" i="44"/>
  <c r="O50" i="44"/>
  <c r="C41" i="19"/>
  <c r="E204" i="40" s="1"/>
  <c r="D68" i="41"/>
  <c r="A66" i="41"/>
  <c r="B67" i="41"/>
  <c r="E66" i="41"/>
  <c r="E67" i="41"/>
  <c r="AW21" i="19"/>
  <c r="J149" i="43" l="1"/>
  <c r="N149" i="43"/>
  <c r="I149" i="43"/>
  <c r="K149" i="43"/>
  <c r="O149" i="43"/>
  <c r="E150" i="43"/>
  <c r="C150" i="43"/>
  <c r="G150" i="43"/>
  <c r="B151" i="43"/>
  <c r="H46" i="40"/>
  <c r="H274" i="40"/>
  <c r="K46" i="40"/>
  <c r="AE50" i="40"/>
  <c r="K80" i="40"/>
  <c r="AE85" i="40" s="1"/>
  <c r="AE67" i="40"/>
  <c r="N80" i="40"/>
  <c r="AE86" i="40" s="1"/>
  <c r="K274" i="40"/>
  <c r="AE68" i="40"/>
  <c r="N46" i="40"/>
  <c r="AE54" i="40"/>
  <c r="Z326" i="40"/>
  <c r="Z274" i="40"/>
  <c r="AE51" i="40"/>
  <c r="N326" i="40"/>
  <c r="AE138" i="40"/>
  <c r="N274" i="40"/>
  <c r="W362" i="40"/>
  <c r="AE53" i="40"/>
  <c r="AE55" i="40"/>
  <c r="N186" i="40"/>
  <c r="AE52" i="40"/>
  <c r="T274" i="40"/>
  <c r="Z186" i="40"/>
  <c r="Q115" i="40"/>
  <c r="T168" i="40"/>
  <c r="AE141" i="40"/>
  <c r="Z133" i="40"/>
  <c r="Q309" i="40"/>
  <c r="Z291" i="40"/>
  <c r="Z63" i="40"/>
  <c r="Q80" i="40"/>
  <c r="AE299" i="40"/>
  <c r="AE72" i="40"/>
  <c r="AE369" i="40"/>
  <c r="AE368" i="40"/>
  <c r="AE69" i="40"/>
  <c r="W150" i="40"/>
  <c r="AE370" i="40"/>
  <c r="AE177" i="40"/>
  <c r="T133" i="40"/>
  <c r="W274" i="40"/>
  <c r="AE174" i="40"/>
  <c r="AE300" i="40"/>
  <c r="W46" i="40"/>
  <c r="Z309" i="40"/>
  <c r="Q291" i="40"/>
  <c r="Q46" i="40"/>
  <c r="T63" i="40"/>
  <c r="Q274" i="40"/>
  <c r="T46" i="40"/>
  <c r="Q63" i="40"/>
  <c r="Q168" i="40"/>
  <c r="AE104" i="40"/>
  <c r="AE318" i="40"/>
  <c r="AE298" i="40"/>
  <c r="Q362" i="40"/>
  <c r="T186" i="40"/>
  <c r="W80" i="40"/>
  <c r="Z98" i="40"/>
  <c r="AE193" i="40"/>
  <c r="AE107" i="40"/>
  <c r="Z80" i="40"/>
  <c r="AE371" i="40"/>
  <c r="Z115" i="40"/>
  <c r="W115" i="40"/>
  <c r="T98" i="40"/>
  <c r="AE106" i="40"/>
  <c r="Z150" i="40"/>
  <c r="T326" i="40"/>
  <c r="AE139" i="40"/>
  <c r="AE297" i="40"/>
  <c r="T362" i="40"/>
  <c r="AE195" i="40"/>
  <c r="T115" i="40"/>
  <c r="AE316" i="40"/>
  <c r="W291" i="40"/>
  <c r="AE140" i="40"/>
  <c r="AE194" i="40"/>
  <c r="Z362" i="40"/>
  <c r="AE70" i="40"/>
  <c r="AE317" i="40"/>
  <c r="Z168" i="40"/>
  <c r="Q133" i="40"/>
  <c r="Z46" i="40"/>
  <c r="AE315" i="40"/>
  <c r="AE71" i="40"/>
  <c r="W98" i="40"/>
  <c r="T80" i="40"/>
  <c r="W309" i="40"/>
  <c r="AE142" i="40"/>
  <c r="W186" i="40"/>
  <c r="W168" i="40"/>
  <c r="AE192" i="40"/>
  <c r="T309" i="40"/>
  <c r="AE176" i="40"/>
  <c r="Q186" i="40"/>
  <c r="AE175" i="40"/>
  <c r="W133" i="40"/>
  <c r="T150" i="40"/>
  <c r="Q326" i="40"/>
  <c r="AE105" i="40"/>
  <c r="W326" i="40"/>
  <c r="T291" i="40"/>
  <c r="W63" i="40"/>
  <c r="AE120" i="40"/>
  <c r="AE331" i="40"/>
  <c r="AE121" i="40"/>
  <c r="AE48" i="40"/>
  <c r="E326" i="40"/>
  <c r="C264" i="39"/>
  <c r="AE265" i="40"/>
  <c r="K344" i="40"/>
  <c r="Z222" i="40"/>
  <c r="K204" i="40"/>
  <c r="E239" i="40"/>
  <c r="N239" i="40"/>
  <c r="H256" i="40"/>
  <c r="Z239" i="40"/>
  <c r="N256" i="40"/>
  <c r="K256" i="40"/>
  <c r="E309" i="40"/>
  <c r="T239" i="40"/>
  <c r="AE263" i="40"/>
  <c r="H344" i="40"/>
  <c r="AE264" i="40"/>
  <c r="E222" i="40"/>
  <c r="B291" i="40"/>
  <c r="B344" i="40"/>
  <c r="E291" i="40"/>
  <c r="AE349" i="40"/>
  <c r="N204" i="40"/>
  <c r="AE314" i="40"/>
  <c r="N222" i="40"/>
  <c r="E344" i="40"/>
  <c r="H239" i="40"/>
  <c r="H362" i="40"/>
  <c r="T344" i="40"/>
  <c r="AE352" i="40"/>
  <c r="H222" i="40"/>
  <c r="W204" i="40"/>
  <c r="K239" i="40"/>
  <c r="B362" i="40"/>
  <c r="B274" i="40"/>
  <c r="AE350" i="40"/>
  <c r="Q344" i="40"/>
  <c r="E256" i="40"/>
  <c r="AE261" i="40"/>
  <c r="AE49" i="40"/>
  <c r="AE313" i="40"/>
  <c r="E362" i="40"/>
  <c r="AE353" i="40"/>
  <c r="B239" i="40"/>
  <c r="B256" i="40"/>
  <c r="H309" i="40"/>
  <c r="E274" i="40"/>
  <c r="W222" i="40"/>
  <c r="AE348" i="40"/>
  <c r="AE260" i="40"/>
  <c r="T256" i="40"/>
  <c r="W256" i="40"/>
  <c r="Z256" i="40"/>
  <c r="Z344" i="40"/>
  <c r="W344" i="40"/>
  <c r="Q256" i="40"/>
  <c r="AE47" i="40"/>
  <c r="W239" i="40"/>
  <c r="N344" i="40"/>
  <c r="K309" i="40"/>
  <c r="AE351" i="40"/>
  <c r="N309" i="40"/>
  <c r="AE262" i="40"/>
  <c r="Q239" i="40"/>
  <c r="Q222" i="40"/>
  <c r="E38" i="43"/>
  <c r="C38" i="43"/>
  <c r="CK361" i="40"/>
  <c r="CK343" i="40"/>
  <c r="CK325" i="40"/>
  <c r="CK308" i="40"/>
  <c r="CK290" i="40"/>
  <c r="CK273" i="40"/>
  <c r="CK255" i="40"/>
  <c r="CK238" i="40"/>
  <c r="CK221" i="40"/>
  <c r="CK203" i="40"/>
  <c r="CK185" i="40"/>
  <c r="CK167" i="40"/>
  <c r="CK149" i="40"/>
  <c r="CK132" i="40"/>
  <c r="CK114" i="40"/>
  <c r="CK97" i="40"/>
  <c r="CK79" i="40"/>
  <c r="CK45" i="40"/>
  <c r="CK62" i="40"/>
  <c r="B38" i="43"/>
  <c r="N246" i="39"/>
  <c r="AE30" i="40"/>
  <c r="AE33" i="40"/>
  <c r="AE31" i="40"/>
  <c r="N133" i="40"/>
  <c r="AE32" i="40"/>
  <c r="AE29" i="40"/>
  <c r="B150" i="40"/>
  <c r="E80" i="40"/>
  <c r="E28" i="40"/>
  <c r="B63" i="40"/>
  <c r="H28" i="40"/>
  <c r="N28" i="40"/>
  <c r="B98" i="40"/>
  <c r="T28" i="40"/>
  <c r="W28" i="40"/>
  <c r="B28" i="40"/>
  <c r="Q28" i="40"/>
  <c r="AE34" i="40"/>
  <c r="Z28" i="40"/>
  <c r="AE37" i="40"/>
  <c r="AE35" i="40"/>
  <c r="AE36" i="40"/>
  <c r="H80" i="40"/>
  <c r="K28" i="40"/>
  <c r="B133" i="40"/>
  <c r="B115" i="40"/>
  <c r="H98" i="40"/>
  <c r="Q150" i="40"/>
  <c r="E46" i="40"/>
  <c r="K98" i="40"/>
  <c r="N63" i="40"/>
  <c r="E115" i="40"/>
  <c r="H63" i="40"/>
  <c r="K133" i="40"/>
  <c r="N150" i="40"/>
  <c r="B46" i="40"/>
  <c r="B80" i="40"/>
  <c r="K150" i="40"/>
  <c r="H133" i="40"/>
  <c r="E98" i="40"/>
  <c r="E150" i="40"/>
  <c r="K63" i="40"/>
  <c r="E133" i="40"/>
  <c r="E63" i="40"/>
  <c r="H150" i="40"/>
  <c r="N98" i="40"/>
  <c r="Q98" i="40"/>
  <c r="D166" i="39"/>
  <c r="C168" i="39"/>
  <c r="C160" i="39"/>
  <c r="D158" i="39"/>
  <c r="M254" i="39"/>
  <c r="C216" i="39"/>
  <c r="C152" i="39"/>
  <c r="D142" i="39"/>
  <c r="C144" i="39"/>
  <c r="D150" i="39"/>
  <c r="D222" i="39"/>
  <c r="C224" i="39"/>
  <c r="D214" i="39"/>
  <c r="P36" i="39"/>
  <c r="D110" i="39"/>
  <c r="C56" i="39"/>
  <c r="C112" i="39"/>
  <c r="D54" i="39"/>
  <c r="C48" i="39"/>
  <c r="C80" i="39"/>
  <c r="D22" i="39"/>
  <c r="C96" i="39"/>
  <c r="D14" i="39"/>
  <c r="D94" i="39"/>
  <c r="D38" i="39"/>
  <c r="D78" i="39"/>
  <c r="D126" i="39"/>
  <c r="D86" i="39"/>
  <c r="C24" i="39"/>
  <c r="D62" i="39"/>
  <c r="C16" i="39"/>
  <c r="C88" i="39"/>
  <c r="C40" i="39"/>
  <c r="C128" i="39"/>
  <c r="C104" i="39"/>
  <c r="C64" i="39"/>
  <c r="D70" i="39"/>
  <c r="D46" i="39"/>
  <c r="C120" i="39"/>
  <c r="C32" i="39"/>
  <c r="D30" i="39"/>
  <c r="D102" i="39"/>
  <c r="C72" i="39"/>
  <c r="D118" i="39"/>
  <c r="C8" i="39"/>
  <c r="C272" i="39"/>
  <c r="D262" i="39"/>
  <c r="M262" i="39" s="1"/>
  <c r="D6" i="39"/>
  <c r="D270" i="39"/>
  <c r="E260" i="39"/>
  <c r="K260" i="39" s="1"/>
  <c r="E268" i="39"/>
  <c r="J268" i="39" s="1"/>
  <c r="G268" i="39"/>
  <c r="G260" i="39"/>
  <c r="H259" i="39"/>
  <c r="H267" i="39"/>
  <c r="I267" i="39" s="1"/>
  <c r="E259" i="39"/>
  <c r="C267" i="39"/>
  <c r="E267" i="39" s="1"/>
  <c r="P52" i="44"/>
  <c r="O51" i="44"/>
  <c r="D70" i="41"/>
  <c r="A68" i="41"/>
  <c r="B69" i="41"/>
  <c r="E68" i="41"/>
  <c r="E69" i="41"/>
  <c r="A70" i="41" l="1"/>
  <c r="J150" i="43"/>
  <c r="N150" i="43"/>
  <c r="I150" i="43"/>
  <c r="K150" i="43"/>
  <c r="O150" i="43"/>
  <c r="C151" i="43"/>
  <c r="G151" i="43"/>
  <c r="E151" i="43"/>
  <c r="B152" i="43"/>
  <c r="J260" i="39"/>
  <c r="AE335" i="40"/>
  <c r="AE333" i="40"/>
  <c r="AE88" i="40"/>
  <c r="AE123" i="40"/>
  <c r="AE160" i="40"/>
  <c r="AE125" i="40"/>
  <c r="AE90" i="40"/>
  <c r="AV90" i="40"/>
  <c r="AW90" i="40" s="1"/>
  <c r="AE89" i="40"/>
  <c r="AE122" i="40"/>
  <c r="AE332" i="40"/>
  <c r="AE158" i="40"/>
  <c r="AE334" i="40"/>
  <c r="AE124" i="40"/>
  <c r="AE159" i="40"/>
  <c r="AE87" i="40"/>
  <c r="AE336" i="40"/>
  <c r="E39" i="43"/>
  <c r="C39" i="43"/>
  <c r="AV156" i="40"/>
  <c r="AE156" i="40"/>
  <c r="AE155" i="40"/>
  <c r="AE157" i="40"/>
  <c r="B39" i="43"/>
  <c r="CL27" i="40"/>
  <c r="M166" i="39"/>
  <c r="N254" i="39"/>
  <c r="M158" i="39"/>
  <c r="M270" i="39"/>
  <c r="F272" i="39" s="1"/>
  <c r="M214" i="39"/>
  <c r="N214" i="39" s="1"/>
  <c r="M222" i="39"/>
  <c r="M126" i="39"/>
  <c r="M150" i="39"/>
  <c r="M142" i="39"/>
  <c r="N262" i="39"/>
  <c r="M30" i="39"/>
  <c r="N30" i="39" s="1"/>
  <c r="F271" i="39"/>
  <c r="I259" i="39"/>
  <c r="F261" i="39"/>
  <c r="F262" i="39"/>
  <c r="F263" i="39"/>
  <c r="F264" i="39"/>
  <c r="K268" i="39"/>
  <c r="L268" i="39"/>
  <c r="L260" i="39"/>
  <c r="M6" i="39"/>
  <c r="M46" i="39"/>
  <c r="M38" i="39"/>
  <c r="M118" i="39"/>
  <c r="M62" i="39"/>
  <c r="M14" i="39"/>
  <c r="M70" i="39"/>
  <c r="M94" i="39"/>
  <c r="M110" i="39"/>
  <c r="M78" i="39"/>
  <c r="M86" i="39"/>
  <c r="M54" i="39"/>
  <c r="M22" i="39"/>
  <c r="M102" i="39"/>
  <c r="P53" i="44"/>
  <c r="O52" i="44"/>
  <c r="E71" i="41"/>
  <c r="B71" i="41"/>
  <c r="E70" i="41"/>
  <c r="AS9" i="19"/>
  <c r="AS10" i="19"/>
  <c r="AS11" i="19"/>
  <c r="AS12" i="19"/>
  <c r="AS15" i="19"/>
  <c r="AS16" i="19"/>
  <c r="F270" i="39" l="1"/>
  <c r="N270" i="39"/>
  <c r="J151" i="43"/>
  <c r="N151" i="43"/>
  <c r="I151" i="43"/>
  <c r="K151" i="43"/>
  <c r="O151" i="43"/>
  <c r="E152" i="43"/>
  <c r="C152" i="43"/>
  <c r="G152" i="43"/>
  <c r="B153" i="43"/>
  <c r="F269" i="39"/>
  <c r="E40" i="43"/>
  <c r="C40" i="43"/>
  <c r="CL361" i="40"/>
  <c r="CL343" i="40"/>
  <c r="CL325" i="40"/>
  <c r="CL308" i="40"/>
  <c r="CL290" i="40"/>
  <c r="CL273" i="40"/>
  <c r="CL255" i="40"/>
  <c r="CL238" i="40"/>
  <c r="CL62" i="40"/>
  <c r="CL221" i="40"/>
  <c r="CL203" i="40"/>
  <c r="CL185" i="40"/>
  <c r="CL167" i="40"/>
  <c r="CL149" i="40"/>
  <c r="CL132" i="40"/>
  <c r="CL114" i="40"/>
  <c r="CL97" i="40"/>
  <c r="CL79" i="40"/>
  <c r="CL45" i="40"/>
  <c r="BA156" i="40"/>
  <c r="AW156" i="40"/>
  <c r="B40" i="43"/>
  <c r="N222" i="39"/>
  <c r="N126" i="39"/>
  <c r="N118" i="39"/>
  <c r="N134" i="39"/>
  <c r="N190" i="39"/>
  <c r="N166" i="39"/>
  <c r="N182" i="39"/>
  <c r="N174" i="39"/>
  <c r="N38" i="39"/>
  <c r="N150" i="39"/>
  <c r="N46" i="39"/>
  <c r="N158" i="39"/>
  <c r="N198" i="39"/>
  <c r="N62" i="39"/>
  <c r="N6" i="39"/>
  <c r="N70" i="39"/>
  <c r="N142" i="39"/>
  <c r="N22" i="39"/>
  <c r="N86" i="39"/>
  <c r="N78" i="39"/>
  <c r="N94" i="39"/>
  <c r="N14" i="39"/>
  <c r="N102" i="39"/>
  <c r="N54" i="39"/>
  <c r="N110" i="39"/>
  <c r="P54" i="44"/>
  <c r="O53" i="44"/>
  <c r="AV16" i="19"/>
  <c r="AW16" i="19"/>
  <c r="AV12" i="19"/>
  <c r="AW12" i="19"/>
  <c r="AV10" i="19"/>
  <c r="AW10" i="19"/>
  <c r="AV15" i="19"/>
  <c r="AW15" i="19"/>
  <c r="AS14" i="19"/>
  <c r="AS13" i="19"/>
  <c r="AV11" i="19"/>
  <c r="AW11" i="19"/>
  <c r="AV9" i="19"/>
  <c r="AW9" i="19"/>
  <c r="J152" i="43" l="1"/>
  <c r="N152" i="43"/>
  <c r="I152" i="43"/>
  <c r="K152" i="43"/>
  <c r="O152" i="43"/>
  <c r="C153" i="43"/>
  <c r="G153" i="43"/>
  <c r="E153" i="43"/>
  <c r="B154" i="43"/>
  <c r="E41" i="43"/>
  <c r="C41" i="43"/>
  <c r="B41" i="43"/>
  <c r="P55" i="44"/>
  <c r="O54" i="44"/>
  <c r="AV13" i="19"/>
  <c r="AW13" i="19"/>
  <c r="AV8" i="19"/>
  <c r="AW8" i="19"/>
  <c r="AV14" i="19"/>
  <c r="AW14" i="19"/>
  <c r="J153" i="43" l="1"/>
  <c r="N153" i="43"/>
  <c r="I153" i="43"/>
  <c r="K153" i="43"/>
  <c r="O153" i="43"/>
  <c r="E154" i="43"/>
  <c r="C154" i="43"/>
  <c r="G154" i="43"/>
  <c r="B155" i="43"/>
  <c r="E42" i="43"/>
  <c r="C42" i="43"/>
  <c r="B42" i="43"/>
  <c r="P56" i="44"/>
  <c r="O55" i="44"/>
  <c r="J154" i="43" l="1"/>
  <c r="N154" i="43"/>
  <c r="I154" i="43"/>
  <c r="K154" i="43"/>
  <c r="O154" i="43"/>
  <c r="C155" i="43"/>
  <c r="G155" i="43"/>
  <c r="E155" i="43"/>
  <c r="B156" i="43"/>
  <c r="E43" i="43"/>
  <c r="C43" i="43"/>
  <c r="B43" i="43"/>
  <c r="P57" i="44"/>
  <c r="O56" i="44"/>
  <c r="J155" i="43" l="1"/>
  <c r="N155" i="43"/>
  <c r="I155" i="43"/>
  <c r="K155" i="43"/>
  <c r="O155" i="43"/>
  <c r="C156" i="43"/>
  <c r="G156" i="43"/>
  <c r="B157" i="43"/>
  <c r="E156" i="43"/>
  <c r="E44" i="43"/>
  <c r="C44" i="43"/>
  <c r="B44" i="43"/>
  <c r="P58" i="44"/>
  <c r="O58" i="44" s="1"/>
  <c r="O57" i="44"/>
  <c r="J156" i="43" l="1"/>
  <c r="N156" i="43"/>
  <c r="I156" i="43"/>
  <c r="K156" i="43"/>
  <c r="O156" i="43"/>
  <c r="E157" i="43"/>
  <c r="C157" i="43"/>
  <c r="G157" i="43"/>
  <c r="B158" i="43"/>
  <c r="C46" i="43"/>
  <c r="B45" i="43"/>
  <c r="E46" i="43"/>
  <c r="E45" i="43"/>
  <c r="C45" i="43"/>
  <c r="B46" i="43"/>
  <c r="J157" i="43" l="1"/>
  <c r="N157" i="43"/>
  <c r="I157" i="43"/>
  <c r="K157" i="43"/>
  <c r="O157" i="43"/>
  <c r="C158" i="43"/>
  <c r="G158" i="43"/>
  <c r="B159" i="43"/>
  <c r="E158" i="43"/>
  <c r="E47" i="43"/>
  <c r="C47" i="43"/>
  <c r="B47" i="43"/>
  <c r="A8" i="19"/>
  <c r="J158" i="43" l="1"/>
  <c r="N158" i="43"/>
  <c r="I158" i="43"/>
  <c r="K158" i="43"/>
  <c r="O158" i="43"/>
  <c r="E159" i="43"/>
  <c r="C159" i="43"/>
  <c r="G159" i="43"/>
  <c r="B160" i="43"/>
  <c r="A9" i="19"/>
  <c r="B8" i="19"/>
  <c r="AD8" i="19" s="1"/>
  <c r="E48" i="43"/>
  <c r="C48" i="43"/>
  <c r="B48" i="43"/>
  <c r="J159" i="43" l="1"/>
  <c r="N159" i="43"/>
  <c r="I159" i="43"/>
  <c r="K159" i="43"/>
  <c r="O159" i="43"/>
  <c r="C160" i="43"/>
  <c r="G160" i="43"/>
  <c r="B161" i="43"/>
  <c r="E160" i="43"/>
  <c r="A10" i="19"/>
  <c r="B9" i="19"/>
  <c r="AD9" i="19" s="1"/>
  <c r="E49" i="43"/>
  <c r="C49" i="43"/>
  <c r="B49" i="43"/>
  <c r="AK8" i="19"/>
  <c r="AJ8" i="19"/>
  <c r="AI8" i="19"/>
  <c r="C4" i="41"/>
  <c r="Q8" i="19"/>
  <c r="U8" i="19"/>
  <c r="A3" i="39"/>
  <c r="AP8" i="19"/>
  <c r="Q9" i="19" l="1"/>
  <c r="J160" i="43"/>
  <c r="N160" i="43"/>
  <c r="I160" i="43"/>
  <c r="K160" i="43"/>
  <c r="O160" i="43"/>
  <c r="E161" i="43"/>
  <c r="C161" i="43"/>
  <c r="G161" i="43"/>
  <c r="B162" i="43"/>
  <c r="C6" i="41"/>
  <c r="A11" i="39"/>
  <c r="A11" i="19"/>
  <c r="B10" i="19"/>
  <c r="E50" i="43"/>
  <c r="C50" i="43"/>
  <c r="B50" i="43"/>
  <c r="AL8" i="19"/>
  <c r="AM8" i="19"/>
  <c r="AJ9" i="19"/>
  <c r="AI9" i="19"/>
  <c r="AK9" i="19"/>
  <c r="J161" i="43" l="1"/>
  <c r="N161" i="43"/>
  <c r="I161" i="43"/>
  <c r="K161" i="43"/>
  <c r="O161" i="43"/>
  <c r="C162" i="43"/>
  <c r="G162" i="43"/>
  <c r="B163" i="43"/>
  <c r="E162" i="43"/>
  <c r="A12" i="19"/>
  <c r="B11" i="19"/>
  <c r="U10" i="19"/>
  <c r="Q10" i="19"/>
  <c r="C8" i="41"/>
  <c r="AP10" i="19"/>
  <c r="AD10" i="19"/>
  <c r="A19" i="39"/>
  <c r="E51" i="43"/>
  <c r="C51" i="43"/>
  <c r="B51" i="43"/>
  <c r="AL9" i="19"/>
  <c r="AM9" i="19"/>
  <c r="J162" i="43" l="1"/>
  <c r="N162" i="43"/>
  <c r="I162" i="43"/>
  <c r="K162" i="43"/>
  <c r="O162" i="43"/>
  <c r="E163" i="43"/>
  <c r="C163" i="43"/>
  <c r="G163" i="43"/>
  <c r="B164" i="43"/>
  <c r="AK10" i="19"/>
  <c r="AJ10" i="19"/>
  <c r="AI10" i="19"/>
  <c r="A13" i="19"/>
  <c r="B12" i="19"/>
  <c r="Q11" i="19"/>
  <c r="C10" i="41"/>
  <c r="AD11" i="19"/>
  <c r="A27" i="39"/>
  <c r="E52" i="43"/>
  <c r="C52" i="43"/>
  <c r="B52" i="43"/>
  <c r="J163" i="43" l="1"/>
  <c r="N163" i="43"/>
  <c r="I163" i="43"/>
  <c r="K163" i="43"/>
  <c r="O163" i="43"/>
  <c r="C164" i="43"/>
  <c r="G164" i="43"/>
  <c r="B165" i="43"/>
  <c r="E164" i="43"/>
  <c r="Q12" i="19"/>
  <c r="C12" i="41"/>
  <c r="AD12" i="19"/>
  <c r="A35" i="39"/>
  <c r="AM10" i="19"/>
  <c r="AL10" i="19"/>
  <c r="AJ11" i="19"/>
  <c r="AK11" i="19"/>
  <c r="AI11" i="19"/>
  <c r="B13" i="19"/>
  <c r="A14" i="19"/>
  <c r="E53" i="43"/>
  <c r="C53" i="43"/>
  <c r="B53" i="43"/>
  <c r="J164" i="43" l="1"/>
  <c r="N164" i="43"/>
  <c r="I164" i="43"/>
  <c r="K164" i="43"/>
  <c r="O164" i="43"/>
  <c r="E165" i="43"/>
  <c r="C165" i="43"/>
  <c r="G165" i="43"/>
  <c r="B166" i="43"/>
  <c r="A15" i="19"/>
  <c r="B14" i="19"/>
  <c r="U14" i="19" s="1"/>
  <c r="AM11" i="19"/>
  <c r="AL11" i="19"/>
  <c r="AK12" i="19"/>
  <c r="AJ12" i="19"/>
  <c r="AI12" i="19"/>
  <c r="Q13" i="19"/>
  <c r="C14" i="41"/>
  <c r="AD13" i="19"/>
  <c r="A43" i="39"/>
  <c r="E54" i="43"/>
  <c r="C54" i="43"/>
  <c r="B54" i="43"/>
  <c r="U13" i="19"/>
  <c r="U12" i="19"/>
  <c r="U11" i="19"/>
  <c r="U9" i="19"/>
  <c r="M18" i="20"/>
  <c r="M23" i="20" s="1"/>
  <c r="J165" i="43" l="1"/>
  <c r="N165" i="43"/>
  <c r="I165" i="43"/>
  <c r="K165" i="43"/>
  <c r="O165" i="43"/>
  <c r="C166" i="43"/>
  <c r="G166" i="43"/>
  <c r="B167" i="43"/>
  <c r="E166" i="43"/>
  <c r="AM12" i="19"/>
  <c r="AL12" i="19"/>
  <c r="A16" i="19"/>
  <c r="B15" i="19"/>
  <c r="AP15" i="19" s="1"/>
  <c r="AI13" i="19"/>
  <c r="AJ13" i="19"/>
  <c r="AK13" i="19"/>
  <c r="Q14" i="19"/>
  <c r="C16" i="41"/>
  <c r="AD14" i="19"/>
  <c r="A51" i="39"/>
  <c r="E55" i="43"/>
  <c r="C55" i="43"/>
  <c r="B55" i="43"/>
  <c r="AP9" i="19"/>
  <c r="AP14" i="19"/>
  <c r="AP11" i="19"/>
  <c r="AP13" i="19"/>
  <c r="AP12" i="19"/>
  <c r="R21" i="20"/>
  <c r="R33" i="20"/>
  <c r="R46" i="20" s="1"/>
  <c r="S4" i="19"/>
  <c r="J39" i="19"/>
  <c r="H251" i="39" s="1"/>
  <c r="F39" i="19"/>
  <c r="J38" i="19"/>
  <c r="H243" i="39" s="1"/>
  <c r="F38" i="19"/>
  <c r="J37" i="19"/>
  <c r="H235" i="39" s="1"/>
  <c r="F37" i="19"/>
  <c r="J36" i="19"/>
  <c r="H227" i="39" s="1"/>
  <c r="F36" i="19"/>
  <c r="J35" i="19"/>
  <c r="H219" i="39" s="1"/>
  <c r="F35" i="19"/>
  <c r="J34" i="19"/>
  <c r="H211" i="39" s="1"/>
  <c r="F34" i="19"/>
  <c r="J33" i="19"/>
  <c r="H203" i="39" s="1"/>
  <c r="F33" i="19"/>
  <c r="J32" i="19"/>
  <c r="H195" i="39" s="1"/>
  <c r="F32" i="19"/>
  <c r="J31" i="19"/>
  <c r="H187" i="39" s="1"/>
  <c r="F31" i="19"/>
  <c r="J30" i="19"/>
  <c r="H179" i="39" s="1"/>
  <c r="F30" i="19"/>
  <c r="J29" i="19"/>
  <c r="H171" i="39" s="1"/>
  <c r="F29" i="19"/>
  <c r="J28" i="19"/>
  <c r="H163" i="39" s="1"/>
  <c r="F28" i="19"/>
  <c r="J27" i="19"/>
  <c r="H155" i="39" s="1"/>
  <c r="F27" i="19"/>
  <c r="J26" i="19"/>
  <c r="H147" i="39" s="1"/>
  <c r="F26" i="19"/>
  <c r="J25" i="19"/>
  <c r="H139" i="39" s="1"/>
  <c r="F25" i="19"/>
  <c r="J24" i="19"/>
  <c r="H131" i="39" s="1"/>
  <c r="F24" i="19"/>
  <c r="J23" i="19"/>
  <c r="H123" i="39" s="1"/>
  <c r="F23" i="19"/>
  <c r="J22" i="19"/>
  <c r="H115" i="39" s="1"/>
  <c r="F22" i="19"/>
  <c r="J21" i="19"/>
  <c r="H107" i="39" s="1"/>
  <c r="F21" i="19"/>
  <c r="J20" i="19"/>
  <c r="H99" i="39" s="1"/>
  <c r="F20" i="19"/>
  <c r="J19" i="19"/>
  <c r="H91" i="39" s="1"/>
  <c r="I91" i="39" s="1"/>
  <c r="F19" i="19"/>
  <c r="J18" i="19"/>
  <c r="H83" i="39" s="1"/>
  <c r="I83" i="39" s="1"/>
  <c r="F18" i="19"/>
  <c r="J17" i="19"/>
  <c r="H75" i="39" s="1"/>
  <c r="I75" i="39" s="1"/>
  <c r="F17" i="19"/>
  <c r="J16" i="19"/>
  <c r="H67" i="39" s="1"/>
  <c r="I67" i="39" s="1"/>
  <c r="J15" i="19"/>
  <c r="F15" i="19"/>
  <c r="E60" i="39" s="1"/>
  <c r="F14" i="19"/>
  <c r="J13" i="19"/>
  <c r="H43" i="39" s="1"/>
  <c r="I43" i="39" s="1"/>
  <c r="F13" i="19"/>
  <c r="J12" i="19"/>
  <c r="H35" i="39" s="1"/>
  <c r="I35" i="39" s="1"/>
  <c r="F12" i="19"/>
  <c r="J11" i="19"/>
  <c r="H27" i="39" s="1"/>
  <c r="I27" i="39" s="1"/>
  <c r="F11" i="19"/>
  <c r="J10" i="19"/>
  <c r="H19" i="39" s="1"/>
  <c r="I19" i="39" s="1"/>
  <c r="F10" i="19"/>
  <c r="J9" i="19"/>
  <c r="H11" i="39" s="1"/>
  <c r="I11" i="39" s="1"/>
  <c r="F9" i="19"/>
  <c r="H3" i="39"/>
  <c r="I3" i="39" s="1"/>
  <c r="F8" i="19"/>
  <c r="K8" i="19" s="1"/>
  <c r="J166" i="43" l="1"/>
  <c r="N166" i="43"/>
  <c r="I166" i="43"/>
  <c r="K166" i="43"/>
  <c r="O166" i="43"/>
  <c r="E167" i="43"/>
  <c r="C167" i="43"/>
  <c r="G167" i="43"/>
  <c r="B168" i="43"/>
  <c r="E52" i="39"/>
  <c r="K52" i="39" s="1"/>
  <c r="K14" i="19"/>
  <c r="K10" i="19"/>
  <c r="K22" i="19"/>
  <c r="K24" i="19"/>
  <c r="G132" i="39" s="1"/>
  <c r="H292" i="40"/>
  <c r="H327" i="40"/>
  <c r="AF49" i="40"/>
  <c r="B205" i="40"/>
  <c r="B310" i="40"/>
  <c r="D311" i="40" s="1"/>
  <c r="AL13" i="19"/>
  <c r="AM13" i="19"/>
  <c r="A17" i="19"/>
  <c r="L17" i="19" s="1"/>
  <c r="B16" i="19"/>
  <c r="AK14" i="19"/>
  <c r="AJ14" i="19"/>
  <c r="AI14" i="19"/>
  <c r="Q15" i="19"/>
  <c r="C18" i="41"/>
  <c r="AD15" i="19"/>
  <c r="A59" i="39"/>
  <c r="U15" i="19"/>
  <c r="E56" i="43"/>
  <c r="C56" i="43"/>
  <c r="B56" i="43"/>
  <c r="I243" i="39"/>
  <c r="I251" i="39"/>
  <c r="K38" i="19"/>
  <c r="G244" i="39" s="1"/>
  <c r="E244" i="39"/>
  <c r="F247" i="39" s="1"/>
  <c r="K39" i="19"/>
  <c r="G252" i="39" s="1"/>
  <c r="E252" i="39"/>
  <c r="F256" i="39" s="1"/>
  <c r="K23" i="19"/>
  <c r="G124" i="39" s="1"/>
  <c r="E84" i="39"/>
  <c r="J84" i="39" s="1"/>
  <c r="K18" i="19"/>
  <c r="E187" i="40" s="1"/>
  <c r="E92" i="39"/>
  <c r="K92" i="39" s="1"/>
  <c r="K19" i="19"/>
  <c r="H187" i="40" s="1"/>
  <c r="E100" i="39"/>
  <c r="J100" i="39" s="1"/>
  <c r="K20" i="19"/>
  <c r="E108" i="39"/>
  <c r="J108" i="39" s="1"/>
  <c r="K21" i="19"/>
  <c r="E140" i="39"/>
  <c r="J140" i="39" s="1"/>
  <c r="K25" i="19"/>
  <c r="E148" i="39"/>
  <c r="L148" i="39" s="1"/>
  <c r="K26" i="19"/>
  <c r="E156" i="39"/>
  <c r="L156" i="39" s="1"/>
  <c r="K27" i="19"/>
  <c r="E164" i="39"/>
  <c r="L164" i="39" s="1"/>
  <c r="K28" i="19"/>
  <c r="E172" i="39"/>
  <c r="L172" i="39" s="1"/>
  <c r="K29" i="19"/>
  <c r="E180" i="39"/>
  <c r="L180" i="39" s="1"/>
  <c r="K30" i="19"/>
  <c r="E188" i="39"/>
  <c r="L188" i="39" s="1"/>
  <c r="K31" i="19"/>
  <c r="E196" i="39"/>
  <c r="L196" i="39" s="1"/>
  <c r="K32" i="19"/>
  <c r="E204" i="39"/>
  <c r="L204" i="39" s="1"/>
  <c r="K33" i="19"/>
  <c r="E212" i="39"/>
  <c r="L212" i="39" s="1"/>
  <c r="K34" i="19"/>
  <c r="E220" i="39"/>
  <c r="L220" i="39" s="1"/>
  <c r="K35" i="19"/>
  <c r="E228" i="39"/>
  <c r="L228" i="39" s="1"/>
  <c r="K36" i="19"/>
  <c r="E236" i="39"/>
  <c r="L236" i="39" s="1"/>
  <c r="K37" i="19"/>
  <c r="E76" i="39"/>
  <c r="J76" i="39" s="1"/>
  <c r="K17" i="19"/>
  <c r="E28" i="39"/>
  <c r="J28" i="39" s="1"/>
  <c r="K11" i="19"/>
  <c r="E36" i="39"/>
  <c r="J36" i="39" s="1"/>
  <c r="K12" i="19"/>
  <c r="E44" i="39"/>
  <c r="K44" i="39" s="1"/>
  <c r="K13" i="19"/>
  <c r="E12" i="39"/>
  <c r="L12" i="39" s="1"/>
  <c r="K9" i="19"/>
  <c r="H51" i="39"/>
  <c r="I51" i="39" s="1"/>
  <c r="H275" i="40"/>
  <c r="H59" i="39"/>
  <c r="I59" i="39" s="1"/>
  <c r="K15" i="19"/>
  <c r="H116" i="40" s="1"/>
  <c r="I139" i="39"/>
  <c r="F141" i="39"/>
  <c r="I147" i="39"/>
  <c r="F149" i="39"/>
  <c r="I155" i="39"/>
  <c r="F158" i="39"/>
  <c r="I163" i="39"/>
  <c r="F165" i="39"/>
  <c r="I171" i="39"/>
  <c r="F174" i="39"/>
  <c r="I179" i="39"/>
  <c r="F182" i="39"/>
  <c r="I187" i="39"/>
  <c r="F190" i="39"/>
  <c r="I195" i="39"/>
  <c r="F198" i="39"/>
  <c r="I203" i="39"/>
  <c r="F206" i="39"/>
  <c r="I211" i="39"/>
  <c r="F214" i="39"/>
  <c r="I219" i="39"/>
  <c r="F221" i="39"/>
  <c r="F229" i="39"/>
  <c r="I227" i="39"/>
  <c r="F230" i="39"/>
  <c r="I235" i="39"/>
  <c r="F237" i="39"/>
  <c r="E132" i="39"/>
  <c r="F133" i="39" s="1"/>
  <c r="I131" i="39"/>
  <c r="F134" i="39"/>
  <c r="F109" i="39"/>
  <c r="G116" i="39"/>
  <c r="E116" i="39"/>
  <c r="F118" i="39" s="1"/>
  <c r="E124" i="39"/>
  <c r="F128" i="39" s="1"/>
  <c r="H29" i="40"/>
  <c r="E20" i="39"/>
  <c r="F22" i="39" s="1"/>
  <c r="K60" i="39"/>
  <c r="J60" i="39"/>
  <c r="I99" i="39"/>
  <c r="F101" i="39"/>
  <c r="I107" i="39"/>
  <c r="I115" i="39"/>
  <c r="I123" i="39"/>
  <c r="E4" i="39"/>
  <c r="F7" i="39" s="1"/>
  <c r="G188" i="39"/>
  <c r="G196" i="39"/>
  <c r="G204" i="39"/>
  <c r="G212" i="39"/>
  <c r="G220" i="39"/>
  <c r="G228" i="39"/>
  <c r="G236" i="39"/>
  <c r="G140" i="39"/>
  <c r="G148" i="39"/>
  <c r="G156" i="39"/>
  <c r="G164" i="39"/>
  <c r="G172" i="39"/>
  <c r="G180" i="39"/>
  <c r="G92" i="39"/>
  <c r="G100" i="39"/>
  <c r="G108" i="39"/>
  <c r="B151" i="40"/>
  <c r="F85" i="39"/>
  <c r="G76" i="39"/>
  <c r="G84" i="39"/>
  <c r="L8" i="19"/>
  <c r="L11" i="19"/>
  <c r="L12" i="19"/>
  <c r="L13" i="19"/>
  <c r="L14" i="19"/>
  <c r="L15" i="19"/>
  <c r="L9" i="19"/>
  <c r="L10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8" i="19"/>
  <c r="M9" i="19"/>
  <c r="M10" i="19"/>
  <c r="M11" i="19"/>
  <c r="M12" i="19"/>
  <c r="M13" i="19"/>
  <c r="M14" i="19"/>
  <c r="M15" i="19"/>
  <c r="M17" i="19"/>
  <c r="M18" i="19"/>
  <c r="M19" i="19"/>
  <c r="M20" i="19"/>
  <c r="M21" i="19"/>
  <c r="M22" i="19"/>
  <c r="M23" i="19"/>
  <c r="M24" i="19"/>
  <c r="M25" i="19"/>
  <c r="G31" i="19"/>
  <c r="E187" i="39" s="1"/>
  <c r="G33" i="19"/>
  <c r="E203" i="39" s="1"/>
  <c r="G8" i="19"/>
  <c r="E3" i="39" s="1"/>
  <c r="G12" i="19"/>
  <c r="E35" i="39" s="1"/>
  <c r="F16" i="19"/>
  <c r="G19" i="19"/>
  <c r="E91" i="39" s="1"/>
  <c r="G23" i="19"/>
  <c r="E123" i="39" s="1"/>
  <c r="G25" i="19"/>
  <c r="E139" i="39" s="1"/>
  <c r="G35" i="19"/>
  <c r="E219" i="39" s="1"/>
  <c r="G37" i="19"/>
  <c r="E235" i="39" s="1"/>
  <c r="G10" i="19"/>
  <c r="E19" i="39" s="1"/>
  <c r="G14" i="19"/>
  <c r="E51" i="39" s="1"/>
  <c r="G17" i="19"/>
  <c r="E75" i="39" s="1"/>
  <c r="G21" i="19"/>
  <c r="E107" i="39" s="1"/>
  <c r="G27" i="19"/>
  <c r="E155" i="39" s="1"/>
  <c r="G29" i="19"/>
  <c r="E171" i="39" s="1"/>
  <c r="G39" i="19"/>
  <c r="E251" i="39" s="1"/>
  <c r="G9" i="19"/>
  <c r="E11" i="39" s="1"/>
  <c r="G11" i="19"/>
  <c r="E27" i="39" s="1"/>
  <c r="G13" i="19"/>
  <c r="E43" i="39" s="1"/>
  <c r="G15" i="19"/>
  <c r="E59" i="39" s="1"/>
  <c r="G18" i="19"/>
  <c r="E83" i="39" s="1"/>
  <c r="G20" i="19"/>
  <c r="E99" i="39" s="1"/>
  <c r="G22" i="19"/>
  <c r="E115" i="39" s="1"/>
  <c r="G24" i="19"/>
  <c r="E131" i="39" s="1"/>
  <c r="G26" i="19"/>
  <c r="E147" i="39" s="1"/>
  <c r="G28" i="19"/>
  <c r="E163" i="39" s="1"/>
  <c r="G30" i="19"/>
  <c r="E179" i="39" s="1"/>
  <c r="G32" i="19"/>
  <c r="E195" i="39" s="1"/>
  <c r="G34" i="19"/>
  <c r="E211" i="39" s="1"/>
  <c r="G36" i="19"/>
  <c r="E227" i="39" s="1"/>
  <c r="G38" i="19"/>
  <c r="E243" i="39" s="1"/>
  <c r="F29" i="39" l="1"/>
  <c r="J204" i="39"/>
  <c r="J172" i="39"/>
  <c r="J52" i="39"/>
  <c r="L140" i="39"/>
  <c r="W17" i="19"/>
  <c r="J167" i="43"/>
  <c r="N167" i="43"/>
  <c r="I167" i="43"/>
  <c r="K167" i="43"/>
  <c r="O167" i="43"/>
  <c r="C168" i="43"/>
  <c r="G168" i="43"/>
  <c r="B169" i="43"/>
  <c r="E168" i="43"/>
  <c r="B81" i="40"/>
  <c r="J293" i="40"/>
  <c r="H293" i="40"/>
  <c r="H188" i="40"/>
  <c r="G188" i="40"/>
  <c r="J328" i="40"/>
  <c r="H328" i="40"/>
  <c r="H81" i="40"/>
  <c r="B29" i="40"/>
  <c r="F40" i="39"/>
  <c r="F110" i="39"/>
  <c r="J236" i="39"/>
  <c r="J188" i="39"/>
  <c r="J156" i="39"/>
  <c r="F238" i="39"/>
  <c r="F222" i="39"/>
  <c r="F213" i="39"/>
  <c r="F205" i="39"/>
  <c r="F197" i="39"/>
  <c r="F189" i="39"/>
  <c r="F181" i="39"/>
  <c r="F173" i="39"/>
  <c r="F166" i="39"/>
  <c r="F157" i="39"/>
  <c r="F150" i="39"/>
  <c r="F142" i="39"/>
  <c r="F45" i="39"/>
  <c r="F94" i="39"/>
  <c r="F111" i="39"/>
  <c r="F102" i="39"/>
  <c r="K100" i="39"/>
  <c r="J220" i="39"/>
  <c r="J196" i="39"/>
  <c r="J180" i="39"/>
  <c r="J164" i="39"/>
  <c r="J148" i="39"/>
  <c r="F39" i="39"/>
  <c r="F79" i="39"/>
  <c r="J44" i="39"/>
  <c r="K108" i="39"/>
  <c r="J92" i="39"/>
  <c r="K228" i="39"/>
  <c r="J212" i="39"/>
  <c r="F200" i="39"/>
  <c r="F191" i="39"/>
  <c r="F184" i="39"/>
  <c r="F175" i="39"/>
  <c r="F167" i="39"/>
  <c r="F159" i="39"/>
  <c r="F151" i="39"/>
  <c r="F144" i="39"/>
  <c r="K140" i="39"/>
  <c r="F240" i="39"/>
  <c r="F239" i="39"/>
  <c r="F232" i="39"/>
  <c r="F216" i="39"/>
  <c r="F207" i="39"/>
  <c r="F54" i="39"/>
  <c r="F112" i="39"/>
  <c r="K76" i="39"/>
  <c r="K236" i="39"/>
  <c r="J228" i="39"/>
  <c r="K220" i="39"/>
  <c r="K212" i="39"/>
  <c r="K204" i="39"/>
  <c r="F199" i="39"/>
  <c r="K196" i="39"/>
  <c r="F192" i="39"/>
  <c r="K188" i="39"/>
  <c r="F183" i="39"/>
  <c r="K180" i="39"/>
  <c r="F176" i="39"/>
  <c r="K172" i="39"/>
  <c r="F168" i="39"/>
  <c r="K164" i="39"/>
  <c r="F160" i="39"/>
  <c r="K156" i="39"/>
  <c r="F152" i="39"/>
  <c r="K148" i="39"/>
  <c r="F143" i="39"/>
  <c r="F231" i="39"/>
  <c r="F223" i="39"/>
  <c r="F224" i="39"/>
  <c r="F215" i="39"/>
  <c r="F208" i="39"/>
  <c r="H47" i="40"/>
  <c r="E169" i="40"/>
  <c r="B187" i="40"/>
  <c r="D188" i="40" s="1"/>
  <c r="H169" i="40"/>
  <c r="W134" i="40"/>
  <c r="W292" i="40"/>
  <c r="AF54" i="40"/>
  <c r="W310" i="40"/>
  <c r="W363" i="40"/>
  <c r="W151" i="40"/>
  <c r="W64" i="40"/>
  <c r="W169" i="40"/>
  <c r="W187" i="40"/>
  <c r="W99" i="40"/>
  <c r="W275" i="40"/>
  <c r="W327" i="40"/>
  <c r="W81" i="40"/>
  <c r="W116" i="40"/>
  <c r="T363" i="40"/>
  <c r="T47" i="40"/>
  <c r="T134" i="40"/>
  <c r="AF53" i="40"/>
  <c r="T187" i="40"/>
  <c r="T81" i="40"/>
  <c r="T116" i="40"/>
  <c r="T151" i="40"/>
  <c r="T327" i="40"/>
  <c r="T310" i="40"/>
  <c r="T99" i="40"/>
  <c r="T275" i="40"/>
  <c r="T292" i="40"/>
  <c r="T169" i="40"/>
  <c r="T345" i="40"/>
  <c r="Q363" i="40"/>
  <c r="Q292" i="40"/>
  <c r="Q134" i="40"/>
  <c r="Q275" i="40"/>
  <c r="AF52" i="40"/>
  <c r="Q327" i="40"/>
  <c r="Q187" i="40"/>
  <c r="Q169" i="40"/>
  <c r="Q310" i="40"/>
  <c r="Q64" i="40"/>
  <c r="Q47" i="40"/>
  <c r="Q116" i="40"/>
  <c r="N116" i="40"/>
  <c r="N47" i="40"/>
  <c r="N81" i="40"/>
  <c r="N363" i="40"/>
  <c r="N292" i="40"/>
  <c r="N169" i="40"/>
  <c r="N275" i="40"/>
  <c r="N187" i="40"/>
  <c r="AF51" i="40"/>
  <c r="N327" i="40"/>
  <c r="AF50" i="40"/>
  <c r="AG49" i="40" s="1"/>
  <c r="K292" i="40"/>
  <c r="K169" i="40"/>
  <c r="K275" i="40"/>
  <c r="K327" i="40"/>
  <c r="K81" i="40"/>
  <c r="K187" i="40"/>
  <c r="J188" i="40" s="1"/>
  <c r="K363" i="40"/>
  <c r="K47" i="40"/>
  <c r="F255" i="39"/>
  <c r="F248" i="39"/>
  <c r="H257" i="40"/>
  <c r="W223" i="40"/>
  <c r="K310" i="40"/>
  <c r="H310" i="40"/>
  <c r="W240" i="40"/>
  <c r="W257" i="40"/>
  <c r="E310" i="40"/>
  <c r="K240" i="40"/>
  <c r="N223" i="40"/>
  <c r="H363" i="40"/>
  <c r="E345" i="40"/>
  <c r="K345" i="40"/>
  <c r="Q345" i="40"/>
  <c r="E275" i="40"/>
  <c r="H345" i="40"/>
  <c r="H240" i="40"/>
  <c r="B240" i="40"/>
  <c r="K257" i="40"/>
  <c r="B363" i="40"/>
  <c r="D364" i="40" s="1"/>
  <c r="Q240" i="40"/>
  <c r="T240" i="40"/>
  <c r="AF31" i="40"/>
  <c r="AF34" i="40"/>
  <c r="AF33" i="40"/>
  <c r="AF32" i="40"/>
  <c r="E223" i="40"/>
  <c r="N257" i="40"/>
  <c r="T257" i="40"/>
  <c r="B257" i="40"/>
  <c r="E257" i="40"/>
  <c r="B345" i="40"/>
  <c r="D346" i="40" s="1"/>
  <c r="E363" i="40"/>
  <c r="W345" i="40"/>
  <c r="N310" i="40"/>
  <c r="E327" i="40"/>
  <c r="E240" i="40"/>
  <c r="E292" i="40"/>
  <c r="N240" i="40"/>
  <c r="N345" i="40"/>
  <c r="B275" i="40"/>
  <c r="D276" i="40" s="1"/>
  <c r="B292" i="40"/>
  <c r="D293" i="40" s="1"/>
  <c r="AF48" i="40"/>
  <c r="AJ48" i="40" s="1"/>
  <c r="Q257" i="40"/>
  <c r="AF30" i="40"/>
  <c r="B327" i="40"/>
  <c r="D328" i="40" s="1"/>
  <c r="AF47" i="40"/>
  <c r="AF29" i="40"/>
  <c r="AL14" i="19"/>
  <c r="AM14" i="19"/>
  <c r="A18" i="19"/>
  <c r="B17" i="19"/>
  <c r="AJ15" i="19"/>
  <c r="AK15" i="19"/>
  <c r="AI15" i="19"/>
  <c r="Q16" i="19"/>
  <c r="C20" i="41"/>
  <c r="AD16" i="19"/>
  <c r="A67" i="39"/>
  <c r="U16" i="19"/>
  <c r="AP16" i="19"/>
  <c r="E57" i="43"/>
  <c r="C57" i="43"/>
  <c r="B57" i="43"/>
  <c r="K252" i="39"/>
  <c r="L252" i="39"/>
  <c r="J252" i="39"/>
  <c r="F253" i="39"/>
  <c r="F254" i="39"/>
  <c r="J244" i="39"/>
  <c r="K244" i="39"/>
  <c r="F245" i="39"/>
  <c r="F246" i="39"/>
  <c r="L244" i="39"/>
  <c r="G60" i="39"/>
  <c r="AF36" i="40"/>
  <c r="AF35" i="40"/>
  <c r="AG35" i="40" s="1"/>
  <c r="F93" i="39"/>
  <c r="F86" i="39"/>
  <c r="K28" i="39"/>
  <c r="K84" i="39"/>
  <c r="F13" i="39"/>
  <c r="F61" i="39"/>
  <c r="K36" i="39"/>
  <c r="J12" i="39"/>
  <c r="F46" i="39"/>
  <c r="F14" i="39"/>
  <c r="F80" i="39"/>
  <c r="F62" i="39"/>
  <c r="F53" i="39"/>
  <c r="K12" i="39"/>
  <c r="E68" i="39"/>
  <c r="F71" i="39" s="1"/>
  <c r="K16" i="19"/>
  <c r="B169" i="40" s="1"/>
  <c r="D170" i="40" s="1"/>
  <c r="B99" i="40"/>
  <c r="Q151" i="40"/>
  <c r="E134" i="40"/>
  <c r="B116" i="40"/>
  <c r="K99" i="40"/>
  <c r="E64" i="40"/>
  <c r="B64" i="40"/>
  <c r="D65" i="40" s="1"/>
  <c r="K134" i="40"/>
  <c r="Q99" i="40"/>
  <c r="H134" i="40"/>
  <c r="E116" i="40"/>
  <c r="H117" i="40" s="1"/>
  <c r="K64" i="40"/>
  <c r="K151" i="40"/>
  <c r="N151" i="40"/>
  <c r="N64" i="40"/>
  <c r="H99" i="40"/>
  <c r="H151" i="40"/>
  <c r="E81" i="40"/>
  <c r="N99" i="40"/>
  <c r="E99" i="40"/>
  <c r="H64" i="40"/>
  <c r="E47" i="40"/>
  <c r="B134" i="40"/>
  <c r="D135" i="40" s="1"/>
  <c r="B47" i="40"/>
  <c r="D48" i="40" s="1"/>
  <c r="G28" i="39"/>
  <c r="K29" i="40"/>
  <c r="J30" i="40" s="1"/>
  <c r="G52" i="39"/>
  <c r="T29" i="40"/>
  <c r="G36" i="39"/>
  <c r="N29" i="40"/>
  <c r="G20" i="39"/>
  <c r="W29" i="40"/>
  <c r="G44" i="39"/>
  <c r="Q29" i="40"/>
  <c r="G12" i="39"/>
  <c r="E29" i="40"/>
  <c r="G4" i="39"/>
  <c r="F6" i="39"/>
  <c r="F5" i="39"/>
  <c r="F21" i="39"/>
  <c r="F117" i="39"/>
  <c r="F127" i="39"/>
  <c r="K132" i="39"/>
  <c r="J132" i="39"/>
  <c r="L132" i="39"/>
  <c r="F136" i="39"/>
  <c r="F135" i="39"/>
  <c r="K20" i="39"/>
  <c r="J20" i="39"/>
  <c r="J124" i="39"/>
  <c r="K124" i="39"/>
  <c r="F126" i="39"/>
  <c r="F125" i="39"/>
  <c r="J116" i="39"/>
  <c r="K116" i="39"/>
  <c r="F119" i="39"/>
  <c r="F120" i="39"/>
  <c r="J4" i="39"/>
  <c r="K4" i="39"/>
  <c r="F104" i="39"/>
  <c r="F103" i="39"/>
  <c r="F96" i="39"/>
  <c r="F95" i="39"/>
  <c r="F88" i="39"/>
  <c r="F87" i="39"/>
  <c r="F78" i="39"/>
  <c r="F77" i="39"/>
  <c r="F64" i="39"/>
  <c r="F63" i="39"/>
  <c r="F55" i="39"/>
  <c r="F56" i="39"/>
  <c r="F24" i="39"/>
  <c r="F23" i="39"/>
  <c r="F16" i="39"/>
  <c r="F15" i="39"/>
  <c r="F30" i="39"/>
  <c r="F48" i="39"/>
  <c r="F47" i="39"/>
  <c r="F38" i="39"/>
  <c r="F37" i="39"/>
  <c r="F31" i="39"/>
  <c r="F32" i="39"/>
  <c r="L124" i="39"/>
  <c r="L116" i="39"/>
  <c r="L108" i="39"/>
  <c r="L100" i="39"/>
  <c r="L92" i="39"/>
  <c r="L84" i="39"/>
  <c r="L76" i="39"/>
  <c r="L20" i="39"/>
  <c r="L16" i="19"/>
  <c r="L60" i="39"/>
  <c r="L52" i="39"/>
  <c r="L44" i="39"/>
  <c r="L36" i="39"/>
  <c r="L28" i="39"/>
  <c r="L4" i="39"/>
  <c r="F8" i="39"/>
  <c r="N17" i="19"/>
  <c r="O17" i="19" s="1"/>
  <c r="V17" i="19" s="1"/>
  <c r="N13" i="19"/>
  <c r="O13" i="19" s="1"/>
  <c r="N15" i="19"/>
  <c r="O15" i="19" s="1"/>
  <c r="N14" i="19"/>
  <c r="O14" i="19" s="1"/>
  <c r="N12" i="19"/>
  <c r="O12" i="19" s="1"/>
  <c r="N11" i="19"/>
  <c r="O11" i="19" s="1"/>
  <c r="N10" i="19"/>
  <c r="O10" i="19" s="1"/>
  <c r="N9" i="19"/>
  <c r="O9" i="19" s="1"/>
  <c r="N8" i="19"/>
  <c r="M16" i="19"/>
  <c r="G16" i="19"/>
  <c r="E67" i="39" s="1"/>
  <c r="W15" i="19" l="1"/>
  <c r="V15" i="19"/>
  <c r="W14" i="19"/>
  <c r="V14" i="19"/>
  <c r="J168" i="43"/>
  <c r="N168" i="43"/>
  <c r="I168" i="43"/>
  <c r="K168" i="43"/>
  <c r="O168" i="43"/>
  <c r="E169" i="43"/>
  <c r="C169" i="43"/>
  <c r="G169" i="43"/>
  <c r="D100" i="40"/>
  <c r="E188" i="40"/>
  <c r="D117" i="40"/>
  <c r="D82" i="40"/>
  <c r="D30" i="40"/>
  <c r="D258" i="40"/>
  <c r="D241" i="40"/>
  <c r="O8" i="19"/>
  <c r="H90" i="43" s="1"/>
  <c r="E48" i="40"/>
  <c r="G48" i="40"/>
  <c r="G100" i="40"/>
  <c r="E100" i="40"/>
  <c r="E82" i="40"/>
  <c r="G82" i="40"/>
  <c r="J100" i="40"/>
  <c r="H100" i="40"/>
  <c r="N152" i="40"/>
  <c r="P152" i="40"/>
  <c r="M65" i="40"/>
  <c r="K65" i="40"/>
  <c r="J135" i="40"/>
  <c r="H135" i="40"/>
  <c r="K135" i="40"/>
  <c r="G65" i="40"/>
  <c r="E65" i="40"/>
  <c r="Q152" i="40"/>
  <c r="S152" i="40"/>
  <c r="P241" i="40"/>
  <c r="N241" i="40"/>
  <c r="G241" i="40"/>
  <c r="E241" i="40"/>
  <c r="N311" i="40"/>
  <c r="P311" i="40"/>
  <c r="G364" i="40"/>
  <c r="E364" i="40"/>
  <c r="G258" i="40"/>
  <c r="E258" i="40"/>
  <c r="V258" i="40"/>
  <c r="T258" i="40"/>
  <c r="S241" i="40"/>
  <c r="Q241" i="40"/>
  <c r="M258" i="40"/>
  <c r="K258" i="40"/>
  <c r="J241" i="40"/>
  <c r="H241" i="40"/>
  <c r="E276" i="40"/>
  <c r="G276" i="40"/>
  <c r="K346" i="40"/>
  <c r="M346" i="40"/>
  <c r="J364" i="40"/>
  <c r="H364" i="40"/>
  <c r="M241" i="40"/>
  <c r="K241" i="40"/>
  <c r="Y258" i="40"/>
  <c r="W258" i="40"/>
  <c r="H311" i="40"/>
  <c r="J311" i="40"/>
  <c r="W224" i="40"/>
  <c r="Y224" i="40"/>
  <c r="K48" i="40"/>
  <c r="M48" i="40"/>
  <c r="K188" i="40"/>
  <c r="M188" i="40"/>
  <c r="M328" i="40"/>
  <c r="K328" i="40"/>
  <c r="M170" i="40"/>
  <c r="K170" i="40"/>
  <c r="N276" i="40"/>
  <c r="P276" i="40"/>
  <c r="P293" i="40"/>
  <c r="N293" i="40"/>
  <c r="N82" i="40"/>
  <c r="P117" i="40"/>
  <c r="Q48" i="40"/>
  <c r="S48" i="40"/>
  <c r="Q311" i="40"/>
  <c r="S311" i="40"/>
  <c r="Q188" i="40"/>
  <c r="S188" i="40"/>
  <c r="S135" i="40"/>
  <c r="Q135" i="40"/>
  <c r="S364" i="40"/>
  <c r="Q364" i="40"/>
  <c r="V170" i="40"/>
  <c r="T170" i="40"/>
  <c r="T276" i="40"/>
  <c r="V276" i="40"/>
  <c r="T311" i="40"/>
  <c r="V311" i="40"/>
  <c r="T152" i="40"/>
  <c r="V152" i="40"/>
  <c r="T82" i="40"/>
  <c r="V82" i="40"/>
  <c r="T48" i="40"/>
  <c r="V48" i="40"/>
  <c r="W117" i="40"/>
  <c r="Y117" i="40"/>
  <c r="Y328" i="40"/>
  <c r="W328" i="40"/>
  <c r="Y100" i="40"/>
  <c r="W100" i="40"/>
  <c r="W170" i="40"/>
  <c r="W152" i="40"/>
  <c r="Y152" i="40"/>
  <c r="W311" i="40"/>
  <c r="Y311" i="40"/>
  <c r="Y293" i="40"/>
  <c r="W293" i="40"/>
  <c r="J170" i="40"/>
  <c r="H170" i="40"/>
  <c r="G170" i="40"/>
  <c r="E170" i="40"/>
  <c r="H276" i="40"/>
  <c r="S30" i="40"/>
  <c r="Q30" i="40"/>
  <c r="P30" i="40"/>
  <c r="N30" i="40"/>
  <c r="V30" i="40"/>
  <c r="T30" i="40"/>
  <c r="M30" i="40"/>
  <c r="K30" i="40"/>
  <c r="J65" i="40"/>
  <c r="H65" i="40"/>
  <c r="P100" i="40"/>
  <c r="N100" i="40"/>
  <c r="J152" i="40"/>
  <c r="P65" i="40"/>
  <c r="N65" i="40"/>
  <c r="K152" i="40"/>
  <c r="M152" i="40"/>
  <c r="E117" i="40"/>
  <c r="G117" i="40"/>
  <c r="S100" i="40"/>
  <c r="Q100" i="40"/>
  <c r="M100" i="40"/>
  <c r="K100" i="40"/>
  <c r="G135" i="40"/>
  <c r="E135" i="40"/>
  <c r="S258" i="40"/>
  <c r="Q258" i="40"/>
  <c r="N346" i="40"/>
  <c r="P346" i="40"/>
  <c r="G293" i="40"/>
  <c r="E293" i="40"/>
  <c r="G328" i="40"/>
  <c r="E328" i="40"/>
  <c r="W346" i="40"/>
  <c r="Y346" i="40"/>
  <c r="P258" i="40"/>
  <c r="N258" i="40"/>
  <c r="V241" i="40"/>
  <c r="T241" i="40"/>
  <c r="H346" i="40"/>
  <c r="J346" i="40"/>
  <c r="Q346" i="40"/>
  <c r="S346" i="40"/>
  <c r="E346" i="40"/>
  <c r="G346" i="40"/>
  <c r="E311" i="40"/>
  <c r="G311" i="40"/>
  <c r="Y241" i="40"/>
  <c r="W241" i="40"/>
  <c r="K311" i="40"/>
  <c r="M311" i="40"/>
  <c r="J258" i="40"/>
  <c r="H258" i="40"/>
  <c r="M364" i="40"/>
  <c r="K364" i="40"/>
  <c r="K82" i="40"/>
  <c r="M82" i="40"/>
  <c r="K276" i="40"/>
  <c r="M276" i="40"/>
  <c r="M293" i="40"/>
  <c r="K293" i="40"/>
  <c r="P328" i="40"/>
  <c r="N328" i="40"/>
  <c r="N188" i="40"/>
  <c r="P188" i="40"/>
  <c r="P170" i="40"/>
  <c r="N170" i="40"/>
  <c r="P364" i="40"/>
  <c r="N364" i="40"/>
  <c r="N48" i="40"/>
  <c r="P48" i="40"/>
  <c r="Q117" i="40"/>
  <c r="S117" i="40"/>
  <c r="Q65" i="40"/>
  <c r="S170" i="40"/>
  <c r="Q170" i="40"/>
  <c r="S328" i="40"/>
  <c r="Q328" i="40"/>
  <c r="Q276" i="40"/>
  <c r="S276" i="40"/>
  <c r="S293" i="40"/>
  <c r="Q293" i="40"/>
  <c r="T346" i="40"/>
  <c r="V346" i="40"/>
  <c r="V293" i="40"/>
  <c r="T293" i="40"/>
  <c r="V100" i="40"/>
  <c r="T100" i="40"/>
  <c r="V328" i="40"/>
  <c r="T328" i="40"/>
  <c r="T117" i="40"/>
  <c r="V117" i="40"/>
  <c r="T188" i="40"/>
  <c r="V188" i="40"/>
  <c r="V135" i="40"/>
  <c r="T135" i="40"/>
  <c r="V364" i="40"/>
  <c r="T364" i="40"/>
  <c r="W82" i="40"/>
  <c r="Y82" i="40"/>
  <c r="W276" i="40"/>
  <c r="Y276" i="40"/>
  <c r="W188" i="40"/>
  <c r="Y188" i="40"/>
  <c r="Y65" i="40"/>
  <c r="W65" i="40"/>
  <c r="Y364" i="40"/>
  <c r="W364" i="40"/>
  <c r="Y135" i="40"/>
  <c r="W135" i="40"/>
  <c r="H48" i="40"/>
  <c r="J48" i="40"/>
  <c r="H82" i="40"/>
  <c r="J82" i="40"/>
  <c r="J276" i="40"/>
  <c r="W30" i="40"/>
  <c r="Y30" i="40"/>
  <c r="G30" i="40"/>
  <c r="H30" i="40"/>
  <c r="E30" i="40"/>
  <c r="AG53" i="40"/>
  <c r="AH32" i="40"/>
  <c r="AI31" i="40"/>
  <c r="AH30" i="40"/>
  <c r="K68" i="39"/>
  <c r="F72" i="39"/>
  <c r="E151" i="40"/>
  <c r="D152" i="40" s="1"/>
  <c r="T64" i="40"/>
  <c r="S65" i="40" s="1"/>
  <c r="W47" i="40"/>
  <c r="K116" i="40"/>
  <c r="J117" i="40" s="1"/>
  <c r="Q81" i="40"/>
  <c r="AG29" i="40"/>
  <c r="AJ32" i="40"/>
  <c r="AI33" i="40"/>
  <c r="AI29" i="40"/>
  <c r="AM55" i="40" s="1"/>
  <c r="AS55" i="40" s="1"/>
  <c r="Z47" i="40"/>
  <c r="Z64" i="40"/>
  <c r="Z363" i="40"/>
  <c r="Z310" i="40"/>
  <c r="Z292" i="40"/>
  <c r="Z187" i="40"/>
  <c r="Z151" i="40"/>
  <c r="Z81" i="40"/>
  <c r="Z169" i="40"/>
  <c r="Y170" i="40" s="1"/>
  <c r="Z275" i="40"/>
  <c r="Z99" i="40"/>
  <c r="Z134" i="40"/>
  <c r="AF55" i="40"/>
  <c r="AJ54" i="40" s="1"/>
  <c r="Z116" i="40"/>
  <c r="Z327" i="40"/>
  <c r="AI53" i="40"/>
  <c r="Z223" i="40"/>
  <c r="Z257" i="40"/>
  <c r="Z345" i="40"/>
  <c r="Z240" i="40"/>
  <c r="AG31" i="40"/>
  <c r="AG47" i="40"/>
  <c r="AG33" i="40"/>
  <c r="AG51" i="40"/>
  <c r="AJ52" i="40"/>
  <c r="AI51" i="40"/>
  <c r="AH52" i="40"/>
  <c r="AH50" i="40"/>
  <c r="AJ50" i="40"/>
  <c r="AI49" i="40"/>
  <c r="H15" i="43"/>
  <c r="H23" i="43"/>
  <c r="H31" i="43"/>
  <c r="H39" i="43"/>
  <c r="H25" i="43"/>
  <c r="H17" i="43"/>
  <c r="H14" i="43"/>
  <c r="H21" i="43"/>
  <c r="H29" i="43"/>
  <c r="H37" i="43"/>
  <c r="H45" i="43"/>
  <c r="H53" i="43"/>
  <c r="H61" i="43"/>
  <c r="H13" i="43"/>
  <c r="H22" i="43"/>
  <c r="H30" i="43"/>
  <c r="H38" i="43"/>
  <c r="H46" i="43"/>
  <c r="H16" i="43"/>
  <c r="H24" i="43"/>
  <c r="H32" i="43"/>
  <c r="H11" i="43"/>
  <c r="H10" i="43"/>
  <c r="H18" i="43"/>
  <c r="AI47" i="40"/>
  <c r="AJ30" i="40"/>
  <c r="AH48" i="40"/>
  <c r="H8" i="43"/>
  <c r="H7" i="43"/>
  <c r="H9" i="43"/>
  <c r="AJ16" i="19"/>
  <c r="AI16" i="19"/>
  <c r="AK16" i="19"/>
  <c r="A19" i="19"/>
  <c r="B18" i="19"/>
  <c r="L18" i="19"/>
  <c r="N18" i="19" s="1"/>
  <c r="O18" i="19" s="1"/>
  <c r="W18" i="19" s="1"/>
  <c r="AL15" i="19"/>
  <c r="AM15" i="19"/>
  <c r="Q17" i="19"/>
  <c r="C22" i="41"/>
  <c r="AD17" i="19"/>
  <c r="A75" i="39"/>
  <c r="U17" i="19"/>
  <c r="AP17" i="19"/>
  <c r="E58" i="43"/>
  <c r="C58" i="43"/>
  <c r="AJ34" i="40"/>
  <c r="AH34" i="40"/>
  <c r="B58" i="43"/>
  <c r="AF37" i="40"/>
  <c r="AG37" i="40" s="1"/>
  <c r="AO37" i="40" s="1"/>
  <c r="N134" i="40"/>
  <c r="M135" i="40" s="1"/>
  <c r="AI35" i="40"/>
  <c r="J68" i="39"/>
  <c r="G68" i="39"/>
  <c r="Z29" i="40"/>
  <c r="F70" i="39"/>
  <c r="F69" i="39"/>
  <c r="L68" i="39"/>
  <c r="H8" i="41"/>
  <c r="H12" i="41"/>
  <c r="H18" i="41"/>
  <c r="H22" i="41"/>
  <c r="H6" i="41"/>
  <c r="H10" i="41"/>
  <c r="H16" i="41"/>
  <c r="H24" i="41"/>
  <c r="H14" i="41"/>
  <c r="H4" i="41"/>
  <c r="N16" i="19"/>
  <c r="F19" i="20"/>
  <c r="F6" i="20"/>
  <c r="V18" i="19" l="1"/>
  <c r="H100" i="43"/>
  <c r="H5" i="43"/>
  <c r="H98" i="43"/>
  <c r="H99" i="43"/>
  <c r="J169" i="43"/>
  <c r="N169" i="43"/>
  <c r="I169" i="43"/>
  <c r="K169" i="43"/>
  <c r="O169" i="43"/>
  <c r="H152" i="40"/>
  <c r="N117" i="40"/>
  <c r="O16" i="19"/>
  <c r="P135" i="40"/>
  <c r="N135" i="40"/>
  <c r="AB241" i="40"/>
  <c r="Z241" i="40"/>
  <c r="AB258" i="40"/>
  <c r="Z258" i="40"/>
  <c r="Z117" i="40"/>
  <c r="AB117" i="40"/>
  <c r="AB135" i="40"/>
  <c r="Z135" i="40"/>
  <c r="Z276" i="40"/>
  <c r="AB276" i="40"/>
  <c r="Z82" i="40"/>
  <c r="AB82" i="40"/>
  <c r="Z188" i="40"/>
  <c r="AB188" i="40"/>
  <c r="Z311" i="40"/>
  <c r="AB311" i="40"/>
  <c r="AB65" i="40"/>
  <c r="Z65" i="40"/>
  <c r="Q82" i="40"/>
  <c r="S82" i="40"/>
  <c r="W48" i="40"/>
  <c r="Y48" i="40"/>
  <c r="E152" i="40"/>
  <c r="G152" i="40"/>
  <c r="Z346" i="40"/>
  <c r="AB346" i="40"/>
  <c r="Z224" i="40"/>
  <c r="AB224" i="40"/>
  <c r="AB328" i="40"/>
  <c r="Z328" i="40"/>
  <c r="AB100" i="40"/>
  <c r="Z100" i="40"/>
  <c r="AB170" i="40"/>
  <c r="Z170" i="40"/>
  <c r="Z152" i="40"/>
  <c r="AB152" i="40"/>
  <c r="AB293" i="40"/>
  <c r="Z293" i="40"/>
  <c r="AB364" i="40"/>
  <c r="Z364" i="40"/>
  <c r="Z48" i="40"/>
  <c r="AB48" i="40"/>
  <c r="K117" i="40"/>
  <c r="M117" i="40"/>
  <c r="V65" i="40"/>
  <c r="T65" i="40"/>
  <c r="P82" i="40"/>
  <c r="Z30" i="40"/>
  <c r="AB30" i="40"/>
  <c r="AH54" i="40"/>
  <c r="H42" i="43"/>
  <c r="H26" i="43"/>
  <c r="H35" i="43"/>
  <c r="H56" i="43"/>
  <c r="H40" i="43"/>
  <c r="H70" i="43"/>
  <c r="H54" i="43"/>
  <c r="H69" i="43"/>
  <c r="H49" i="43"/>
  <c r="H33" i="43"/>
  <c r="H71" i="43"/>
  <c r="H55" i="43"/>
  <c r="H34" i="43"/>
  <c r="H27" i="43"/>
  <c r="H19" i="43"/>
  <c r="H64" i="43"/>
  <c r="H48" i="43"/>
  <c r="H78" i="43"/>
  <c r="H62" i="43"/>
  <c r="H77" i="43"/>
  <c r="H41" i="43"/>
  <c r="H63" i="43"/>
  <c r="H47" i="43"/>
  <c r="AH36" i="40"/>
  <c r="AJ36" i="40"/>
  <c r="AB354" i="40"/>
  <c r="AB266" i="40"/>
  <c r="AB336" i="40"/>
  <c r="AI55" i="40"/>
  <c r="AQ55" i="40" s="1"/>
  <c r="AG55" i="40"/>
  <c r="AO55" i="40" s="1"/>
  <c r="AB108" i="40"/>
  <c r="AB178" i="40"/>
  <c r="AB160" i="40"/>
  <c r="AB301" i="40"/>
  <c r="AB372" i="40"/>
  <c r="AB56" i="40"/>
  <c r="AB249" i="40"/>
  <c r="AB232" i="40"/>
  <c r="AB125" i="40"/>
  <c r="AB143" i="40"/>
  <c r="AB284" i="40"/>
  <c r="AB90" i="40"/>
  <c r="AB196" i="40"/>
  <c r="AB319" i="40"/>
  <c r="AB73" i="40"/>
  <c r="H12" i="43"/>
  <c r="H20" i="43"/>
  <c r="H28" i="43"/>
  <c r="C24" i="41"/>
  <c r="A83" i="39"/>
  <c r="Q18" i="19"/>
  <c r="AD18" i="19"/>
  <c r="U18" i="19"/>
  <c r="AP18" i="19"/>
  <c r="AI17" i="19"/>
  <c r="AJ17" i="19"/>
  <c r="AK17" i="19"/>
  <c r="A20" i="19"/>
  <c r="B19" i="19"/>
  <c r="L19" i="19"/>
  <c r="N19" i="19" s="1"/>
  <c r="AM16" i="19"/>
  <c r="AL16" i="19"/>
  <c r="E59" i="43"/>
  <c r="C59" i="43"/>
  <c r="B59" i="43"/>
  <c r="S102" i="43"/>
  <c r="T102" i="43"/>
  <c r="Q102" i="43"/>
  <c r="R102" i="43"/>
  <c r="T103" i="43"/>
  <c r="S103" i="43"/>
  <c r="Q103" i="43"/>
  <c r="R103" i="43"/>
  <c r="T101" i="43"/>
  <c r="S101" i="43"/>
  <c r="Q101" i="43"/>
  <c r="R101" i="43"/>
  <c r="AB38" i="40"/>
  <c r="H20" i="41"/>
  <c r="W50" i="20"/>
  <c r="K50" i="20"/>
  <c r="W11" i="19" s="1"/>
  <c r="W46" i="20"/>
  <c r="F46" i="20"/>
  <c r="K46" i="20" s="1"/>
  <c r="W45" i="20"/>
  <c r="K45" i="20"/>
  <c r="R44" i="20"/>
  <c r="W44" i="20" s="1"/>
  <c r="F44" i="20"/>
  <c r="K44" i="20" s="1"/>
  <c r="W38" i="20"/>
  <c r="T40" i="20" s="1"/>
  <c r="K38" i="20"/>
  <c r="W33" i="20"/>
  <c r="K33" i="20"/>
  <c r="W32" i="20"/>
  <c r="K32" i="20"/>
  <c r="R31" i="20"/>
  <c r="W31" i="20" s="1"/>
  <c r="F31" i="20"/>
  <c r="K31" i="20" s="1"/>
  <c r="W25" i="20"/>
  <c r="K25" i="20"/>
  <c r="H27" i="20" s="1"/>
  <c r="W21" i="20"/>
  <c r="F21" i="20"/>
  <c r="K21" i="20" s="1"/>
  <c r="W20" i="20"/>
  <c r="K20" i="20"/>
  <c r="W19" i="20"/>
  <c r="K19" i="20"/>
  <c r="W13" i="20"/>
  <c r="K13" i="20"/>
  <c r="H15" i="20" s="1"/>
  <c r="W8" i="20"/>
  <c r="K8" i="20"/>
  <c r="W7" i="20"/>
  <c r="K7" i="20"/>
  <c r="W6" i="20"/>
  <c r="K6" i="20"/>
  <c r="W16" i="19" l="1"/>
  <c r="V16" i="19"/>
  <c r="W8" i="19"/>
  <c r="W12" i="19"/>
  <c r="W9" i="19"/>
  <c r="W13" i="19"/>
  <c r="T52" i="20"/>
  <c r="W10" i="19"/>
  <c r="H79" i="43"/>
  <c r="O19" i="19"/>
  <c r="H65" i="43"/>
  <c r="H72" i="43"/>
  <c r="H36" i="43"/>
  <c r="H57" i="43"/>
  <c r="H43" i="43"/>
  <c r="H50" i="43"/>
  <c r="Q19" i="19"/>
  <c r="C26" i="41"/>
  <c r="AD19" i="19"/>
  <c r="A91" i="39"/>
  <c r="U19" i="19"/>
  <c r="AP19" i="19"/>
  <c r="AL17" i="19"/>
  <c r="AM17" i="19"/>
  <c r="A21" i="19"/>
  <c r="B20" i="19"/>
  <c r="L20" i="19"/>
  <c r="N20" i="19" s="1"/>
  <c r="AJ18" i="19"/>
  <c r="AK18" i="19"/>
  <c r="AI18" i="19"/>
  <c r="E60" i="43"/>
  <c r="C60" i="43"/>
  <c r="B60" i="43"/>
  <c r="K34" i="20"/>
  <c r="D40" i="20" s="1"/>
  <c r="K47" i="20"/>
  <c r="V11" i="19" s="1"/>
  <c r="K9" i="20"/>
  <c r="D15" i="20" s="1"/>
  <c r="K15" i="20" s="1"/>
  <c r="K22" i="20"/>
  <c r="D27" i="20" s="1"/>
  <c r="K27" i="20" s="1"/>
  <c r="H40" i="20"/>
  <c r="H52" i="20"/>
  <c r="T15" i="20"/>
  <c r="W22" i="20"/>
  <c r="W47" i="20"/>
  <c r="W9" i="20"/>
  <c r="W34" i="20"/>
  <c r="P40" i="20" s="1"/>
  <c r="W40" i="20" s="1"/>
  <c r="T27" i="20"/>
  <c r="H26" i="41" l="1"/>
  <c r="W19" i="19"/>
  <c r="V19" i="19"/>
  <c r="D52" i="20"/>
  <c r="K40" i="20"/>
  <c r="V13" i="19"/>
  <c r="V9" i="19"/>
  <c r="Z9" i="19" s="1"/>
  <c r="AA9" i="19" s="1"/>
  <c r="V8" i="19"/>
  <c r="Z8" i="19" s="1"/>
  <c r="I5" i="39" s="1"/>
  <c r="Q3" i="39" s="1"/>
  <c r="V12" i="19"/>
  <c r="Z12" i="19" s="1"/>
  <c r="P52" i="20"/>
  <c r="W52" i="20" s="1"/>
  <c r="V10" i="19"/>
  <c r="H44" i="43"/>
  <c r="O20" i="19"/>
  <c r="H51" i="43"/>
  <c r="H66" i="43"/>
  <c r="H73" i="43"/>
  <c r="H28" i="41"/>
  <c r="H58" i="43"/>
  <c r="H80" i="43"/>
  <c r="A22" i="19"/>
  <c r="B21" i="19"/>
  <c r="L21" i="19"/>
  <c r="N21" i="19" s="1"/>
  <c r="AJ19" i="19"/>
  <c r="AI19" i="19"/>
  <c r="AK19" i="19"/>
  <c r="AL18" i="19"/>
  <c r="AM18" i="19"/>
  <c r="A99" i="39"/>
  <c r="Q20" i="19"/>
  <c r="C28" i="41"/>
  <c r="AD20" i="19"/>
  <c r="U20" i="19"/>
  <c r="AP20" i="19"/>
  <c r="E61" i="43"/>
  <c r="C61" i="43"/>
  <c r="B61" i="43"/>
  <c r="K52" i="20"/>
  <c r="P27" i="20"/>
  <c r="W27" i="20" s="1"/>
  <c r="P15" i="20"/>
  <c r="W15" i="20" s="1"/>
  <c r="Z19" i="19" l="1"/>
  <c r="I96" i="39" s="1"/>
  <c r="W20" i="19"/>
  <c r="V20" i="19"/>
  <c r="H59" i="43"/>
  <c r="O21" i="19"/>
  <c r="H74" i="43"/>
  <c r="H52" i="43"/>
  <c r="H67" i="43"/>
  <c r="H81" i="43"/>
  <c r="H30" i="41"/>
  <c r="AL19" i="19"/>
  <c r="AM19" i="19"/>
  <c r="A23" i="19"/>
  <c r="B22" i="19"/>
  <c r="L22" i="19"/>
  <c r="N22" i="19" s="1"/>
  <c r="O22" i="19" s="1"/>
  <c r="W22" i="19" s="1"/>
  <c r="AJ20" i="19"/>
  <c r="AK20" i="19"/>
  <c r="AI20" i="19"/>
  <c r="C30" i="41"/>
  <c r="A107" i="39"/>
  <c r="Q21" i="19"/>
  <c r="AD21" i="19"/>
  <c r="U21" i="19"/>
  <c r="AP21" i="19"/>
  <c r="E62" i="43"/>
  <c r="C62" i="43"/>
  <c r="B62" i="43"/>
  <c r="Z18" i="19"/>
  <c r="AA18" i="19" s="1"/>
  <c r="AB18" i="19" s="1"/>
  <c r="Z17" i="19"/>
  <c r="AA17" i="19" s="1"/>
  <c r="Z14" i="19"/>
  <c r="AA14" i="19" s="1"/>
  <c r="Z15" i="19"/>
  <c r="AA15" i="19" s="1"/>
  <c r="Z10" i="19"/>
  <c r="AA10" i="19" s="1"/>
  <c r="Z16" i="19"/>
  <c r="I70" i="39" s="1"/>
  <c r="Z11" i="19"/>
  <c r="AA11" i="19" s="1"/>
  <c r="AB11" i="19" s="1"/>
  <c r="Z13" i="19"/>
  <c r="AA13" i="19" s="1"/>
  <c r="I13" i="39"/>
  <c r="Q4" i="39" s="1"/>
  <c r="AA19" i="19"/>
  <c r="I7" i="39"/>
  <c r="AA8" i="19"/>
  <c r="AB9" i="19"/>
  <c r="AB15" i="19"/>
  <c r="I93" i="39"/>
  <c r="I16" i="39"/>
  <c r="I14" i="39"/>
  <c r="I15" i="39"/>
  <c r="I8" i="39"/>
  <c r="I6" i="39"/>
  <c r="R3" i="39" s="1"/>
  <c r="AA12" i="19"/>
  <c r="I95" i="39" l="1"/>
  <c r="S14" i="39" s="1"/>
  <c r="I94" i="39"/>
  <c r="R14" i="39" s="1"/>
  <c r="T31" i="40" s="1"/>
  <c r="Z20" i="19"/>
  <c r="I101" i="39" s="1"/>
  <c r="I78" i="39"/>
  <c r="I79" i="39"/>
  <c r="I69" i="39"/>
  <c r="Q11" i="39" s="1"/>
  <c r="I23" i="39"/>
  <c r="S5" i="39" s="1"/>
  <c r="I62" i="39"/>
  <c r="R10" i="39" s="1"/>
  <c r="V22" i="19"/>
  <c r="I63" i="39"/>
  <c r="S10" i="39" s="1"/>
  <c r="V21" i="19"/>
  <c r="W21" i="19"/>
  <c r="I48" i="39"/>
  <c r="T8" i="39" s="1"/>
  <c r="V23" i="19"/>
  <c r="H60" i="43"/>
  <c r="H82" i="43"/>
  <c r="I54" i="39"/>
  <c r="R9" i="39" s="1"/>
  <c r="I87" i="39"/>
  <c r="S13" i="39" s="1"/>
  <c r="H68" i="43"/>
  <c r="H75" i="43"/>
  <c r="I47" i="39"/>
  <c r="S8" i="39" s="1"/>
  <c r="I86" i="39"/>
  <c r="R13" i="39" s="1"/>
  <c r="H32" i="41"/>
  <c r="AK21" i="19"/>
  <c r="AJ21" i="19"/>
  <c r="AI21" i="19"/>
  <c r="AL20" i="19"/>
  <c r="AM20" i="19"/>
  <c r="A24" i="19"/>
  <c r="B23" i="19"/>
  <c r="L23" i="19"/>
  <c r="N23" i="19" s="1"/>
  <c r="O23" i="19" s="1"/>
  <c r="W23" i="19" s="1"/>
  <c r="Q22" i="19"/>
  <c r="C32" i="41"/>
  <c r="AD22" i="19"/>
  <c r="A115" i="39"/>
  <c r="U22" i="19"/>
  <c r="AP22" i="19"/>
  <c r="E63" i="43"/>
  <c r="C63" i="43"/>
  <c r="B63" i="43"/>
  <c r="I56" i="39"/>
  <c r="T9" i="39" s="1"/>
  <c r="I85" i="39"/>
  <c r="Q13" i="39" s="1"/>
  <c r="I88" i="39"/>
  <c r="T13" i="39" s="1"/>
  <c r="X13" i="39" s="1"/>
  <c r="I53" i="39"/>
  <c r="Q9" i="39" s="1"/>
  <c r="I55" i="39"/>
  <c r="S9" i="39" s="1"/>
  <c r="AV351" i="40" s="1"/>
  <c r="I22" i="39"/>
  <c r="R5" i="39" s="1"/>
  <c r="I31" i="39"/>
  <c r="S6" i="39" s="1"/>
  <c r="AV333" i="40" s="1"/>
  <c r="I24" i="39"/>
  <c r="T5" i="39" s="1"/>
  <c r="I21" i="39"/>
  <c r="Q5" i="39" s="1"/>
  <c r="I30" i="39"/>
  <c r="R6" i="39" s="1"/>
  <c r="I71" i="39"/>
  <c r="S11" i="39" s="1"/>
  <c r="I77" i="39"/>
  <c r="Q12" i="39" s="1"/>
  <c r="U12" i="39" s="1"/>
  <c r="I80" i="39"/>
  <c r="T12" i="39" s="1"/>
  <c r="X12" i="39" s="1"/>
  <c r="I45" i="39"/>
  <c r="Q8" i="39" s="1"/>
  <c r="B37" i="40" s="1"/>
  <c r="I46" i="39"/>
  <c r="R8" i="39" s="1"/>
  <c r="I61" i="39"/>
  <c r="Q10" i="39" s="1"/>
  <c r="B159" i="40" s="1"/>
  <c r="I64" i="39"/>
  <c r="T10" i="39" s="1"/>
  <c r="AB17" i="19"/>
  <c r="I32" i="39"/>
  <c r="T6" i="39" s="1"/>
  <c r="I29" i="39"/>
  <c r="Q6" i="39" s="1"/>
  <c r="AA16" i="19"/>
  <c r="I72" i="39"/>
  <c r="T11" i="39" s="1"/>
  <c r="AB21" i="19"/>
  <c r="AB19" i="19"/>
  <c r="T3" i="39"/>
  <c r="S4" i="39"/>
  <c r="T4" i="39"/>
  <c r="O25" i="41"/>
  <c r="Q14" i="39"/>
  <c r="R11" i="39"/>
  <c r="R4" i="39"/>
  <c r="R12" i="39"/>
  <c r="D189" i="40" s="1"/>
  <c r="I23" i="41"/>
  <c r="J23" i="41" s="1"/>
  <c r="K23" i="41" s="1"/>
  <c r="L23" i="41" s="1"/>
  <c r="S12" i="39"/>
  <c r="K27" i="41"/>
  <c r="L27" i="41" s="1"/>
  <c r="T14" i="39"/>
  <c r="X14" i="39" s="1"/>
  <c r="S3" i="39"/>
  <c r="AA20" i="19"/>
  <c r="AB8" i="19"/>
  <c r="K5" i="39" s="1"/>
  <c r="AB14" i="19"/>
  <c r="AB10" i="19"/>
  <c r="AB13" i="19"/>
  <c r="I37" i="39"/>
  <c r="Q7" i="39" s="1"/>
  <c r="I38" i="39"/>
  <c r="I40" i="39"/>
  <c r="I39" i="39"/>
  <c r="I103" i="39" l="1"/>
  <c r="I102" i="39"/>
  <c r="R15" i="39" s="1"/>
  <c r="K189" i="40" s="1"/>
  <c r="I104" i="39"/>
  <c r="T15" i="39" s="1"/>
  <c r="X15" i="39" s="1"/>
  <c r="Z21" i="19"/>
  <c r="AA21" i="19"/>
  <c r="I110" i="39"/>
  <c r="R16" i="39" s="1"/>
  <c r="E49" i="40" s="1"/>
  <c r="G49" i="40" s="1"/>
  <c r="AV30" i="40"/>
  <c r="BA30" i="40" s="1"/>
  <c r="E37" i="40"/>
  <c r="AH62" i="40" s="1"/>
  <c r="AD67" i="40" s="1"/>
  <c r="D118" i="40"/>
  <c r="D31" i="40"/>
  <c r="U13" i="39"/>
  <c r="Q37" i="40"/>
  <c r="D136" i="40"/>
  <c r="E31" i="40"/>
  <c r="AV29" i="40"/>
  <c r="BA29" i="40" s="1"/>
  <c r="AV31" i="40"/>
  <c r="BA31" i="40" s="1"/>
  <c r="AV125" i="40"/>
  <c r="AV160" i="40"/>
  <c r="AV118" i="40"/>
  <c r="BA118" i="40" s="1"/>
  <c r="AV153" i="40"/>
  <c r="AV336" i="40"/>
  <c r="AV83" i="40"/>
  <c r="I111" i="39"/>
  <c r="S16" i="39" s="1"/>
  <c r="AV48" i="40" s="1"/>
  <c r="H34" i="41"/>
  <c r="Z49" i="40"/>
  <c r="AV55" i="40"/>
  <c r="AW55" i="40" s="1"/>
  <c r="D171" i="40"/>
  <c r="I109" i="39"/>
  <c r="Q16" i="39" s="1"/>
  <c r="I112" i="39"/>
  <c r="T16" i="39" s="1"/>
  <c r="X16" i="39" s="1"/>
  <c r="W49" i="40"/>
  <c r="D153" i="40"/>
  <c r="H76" i="43"/>
  <c r="H83" i="43"/>
  <c r="T37" i="40"/>
  <c r="AV89" i="40"/>
  <c r="AV124" i="40"/>
  <c r="AV159" i="40"/>
  <c r="AV122" i="40"/>
  <c r="AV87" i="40"/>
  <c r="AV157" i="40"/>
  <c r="AV123" i="40"/>
  <c r="AV88" i="40"/>
  <c r="AV158" i="40"/>
  <c r="AV155" i="40"/>
  <c r="AX155" i="40" s="1"/>
  <c r="AV334" i="40"/>
  <c r="AZ333" i="40" s="1"/>
  <c r="BA333" i="40"/>
  <c r="AX333" i="40"/>
  <c r="AV297" i="40"/>
  <c r="BA297" i="40" s="1"/>
  <c r="AV332" i="40"/>
  <c r="AY332" i="40" s="1"/>
  <c r="AV84" i="40"/>
  <c r="AV154" i="40"/>
  <c r="AV101" i="40"/>
  <c r="H300" i="40"/>
  <c r="AV294" i="40"/>
  <c r="H335" i="40"/>
  <c r="M294" i="40"/>
  <c r="K294" i="40"/>
  <c r="M329" i="40"/>
  <c r="M365" i="40"/>
  <c r="K329" i="40"/>
  <c r="K365" i="40"/>
  <c r="K118" i="40"/>
  <c r="K101" i="40"/>
  <c r="K153" i="40"/>
  <c r="AK50" i="40"/>
  <c r="J329" i="40"/>
  <c r="H294" i="40"/>
  <c r="H329" i="40"/>
  <c r="J294" i="40"/>
  <c r="H118" i="40"/>
  <c r="H101" i="40"/>
  <c r="H153" i="40"/>
  <c r="AK49" i="40"/>
  <c r="AL49" i="40" s="1"/>
  <c r="H195" i="40"/>
  <c r="AK228" i="40" s="1"/>
  <c r="Z22" i="19"/>
  <c r="N124" i="40"/>
  <c r="N107" i="40"/>
  <c r="N159" i="40"/>
  <c r="AV366" i="40"/>
  <c r="K371" i="40"/>
  <c r="K335" i="40"/>
  <c r="K300" i="40"/>
  <c r="AV102" i="40"/>
  <c r="K124" i="40"/>
  <c r="K107" i="40"/>
  <c r="K159" i="40"/>
  <c r="Q107" i="40"/>
  <c r="H37" i="40"/>
  <c r="AK70" i="40" s="1"/>
  <c r="H124" i="40"/>
  <c r="H107" i="40"/>
  <c r="H189" i="40"/>
  <c r="AV189" i="40"/>
  <c r="AV365" i="40"/>
  <c r="BA365" i="40" s="1"/>
  <c r="G207" i="40"/>
  <c r="D329" i="40"/>
  <c r="E207" i="40"/>
  <c r="D312" i="40"/>
  <c r="D207" i="40"/>
  <c r="AI22" i="19"/>
  <c r="AJ22" i="19"/>
  <c r="AK22" i="19"/>
  <c r="A123" i="39"/>
  <c r="U23" i="19"/>
  <c r="AD23" i="19"/>
  <c r="C34" i="41"/>
  <c r="AP23" i="19"/>
  <c r="Q23" i="19"/>
  <c r="AL21" i="19"/>
  <c r="AM21" i="19"/>
  <c r="AL64" i="40"/>
  <c r="AS64" i="40" s="1"/>
  <c r="AU64" i="40" s="1"/>
  <c r="AE62" i="40"/>
  <c r="AD64" i="40" s="1"/>
  <c r="AF64" i="40" s="1"/>
  <c r="AG64" i="40" s="1"/>
  <c r="AO64" i="40" s="1"/>
  <c r="B318" i="40"/>
  <c r="B213" i="40"/>
  <c r="E335" i="40"/>
  <c r="B335" i="40"/>
  <c r="E213" i="40"/>
  <c r="E329" i="40"/>
  <c r="G329" i="40"/>
  <c r="A25" i="19"/>
  <c r="B24" i="19"/>
  <c r="L24" i="19"/>
  <c r="N24" i="19" s="1"/>
  <c r="W3" i="39"/>
  <c r="AL47" i="40"/>
  <c r="AK37" i="40"/>
  <c r="AV346" i="40"/>
  <c r="AV364" i="40"/>
  <c r="AK34" i="40"/>
  <c r="AL34" i="40" s="1"/>
  <c r="AK32" i="40"/>
  <c r="AL32" i="40" s="1"/>
  <c r="AV352" i="40"/>
  <c r="AW351" i="40" s="1"/>
  <c r="AV264" i="40"/>
  <c r="AV350" i="40"/>
  <c r="AV313" i="40"/>
  <c r="BA351" i="40"/>
  <c r="AV135" i="40"/>
  <c r="BA135" i="40" s="1"/>
  <c r="AV311" i="40"/>
  <c r="AV258" i="40"/>
  <c r="AV293" i="40"/>
  <c r="AV347" i="40"/>
  <c r="BA347" i="40" s="1"/>
  <c r="AV35" i="40"/>
  <c r="BA35" i="40" s="1"/>
  <c r="E64" i="43"/>
  <c r="C64" i="43"/>
  <c r="B64" i="43"/>
  <c r="AK36" i="40"/>
  <c r="AL36" i="40" s="1"/>
  <c r="AN36" i="40" s="1"/>
  <c r="W12" i="39"/>
  <c r="AV47" i="40"/>
  <c r="BA47" i="40" s="1"/>
  <c r="W13" i="39"/>
  <c r="AV170" i="40"/>
  <c r="AV188" i="40"/>
  <c r="E195" i="40"/>
  <c r="E177" i="40"/>
  <c r="AK31" i="40"/>
  <c r="AL31" i="40" s="1"/>
  <c r="AK48" i="40"/>
  <c r="AL48" i="40" s="1"/>
  <c r="AV137" i="40"/>
  <c r="B177" i="40"/>
  <c r="W55" i="40"/>
  <c r="Y49" i="40"/>
  <c r="W14" i="39"/>
  <c r="AV100" i="40"/>
  <c r="AV295" i="40"/>
  <c r="B195" i="40"/>
  <c r="AK35" i="40"/>
  <c r="AL35" i="40" s="1"/>
  <c r="AV171" i="40"/>
  <c r="H177" i="40"/>
  <c r="H171" i="40"/>
  <c r="U14" i="39"/>
  <c r="V14" i="39"/>
  <c r="V13" i="39"/>
  <c r="E171" i="40"/>
  <c r="D172" i="40" s="1"/>
  <c r="E189" i="40"/>
  <c r="D190" i="40" s="1"/>
  <c r="Z55" i="40"/>
  <c r="AV54" i="40"/>
  <c r="W89" i="40"/>
  <c r="E124" i="40"/>
  <c r="V6" i="39"/>
  <c r="E136" i="40"/>
  <c r="D137" i="40" s="1"/>
  <c r="E142" i="40"/>
  <c r="E107" i="40"/>
  <c r="K136" i="40"/>
  <c r="N37" i="40"/>
  <c r="AV33" i="40"/>
  <c r="W37" i="40"/>
  <c r="AV36" i="40"/>
  <c r="AV34" i="40"/>
  <c r="Z37" i="40"/>
  <c r="AV37" i="40"/>
  <c r="AW37" i="40" s="1"/>
  <c r="U6" i="39"/>
  <c r="AV32" i="40"/>
  <c r="K37" i="40"/>
  <c r="E153" i="40"/>
  <c r="D154" i="40" s="1"/>
  <c r="AK30" i="40"/>
  <c r="AL30" i="40" s="1"/>
  <c r="AL29" i="40"/>
  <c r="V12" i="39"/>
  <c r="E118" i="40"/>
  <c r="D119" i="40" s="1"/>
  <c r="W11" i="39"/>
  <c r="N142" i="40"/>
  <c r="E101" i="40"/>
  <c r="V11" i="39"/>
  <c r="E55" i="40"/>
  <c r="K142" i="40"/>
  <c r="X4" i="39"/>
  <c r="X11" i="39"/>
  <c r="AB16" i="19"/>
  <c r="X9" i="39"/>
  <c r="X5" i="39"/>
  <c r="U11" i="39"/>
  <c r="X6" i="39"/>
  <c r="B124" i="40"/>
  <c r="V3" i="39"/>
  <c r="U9" i="39"/>
  <c r="W6" i="39"/>
  <c r="U5" i="39"/>
  <c r="W10" i="39"/>
  <c r="H159" i="40"/>
  <c r="V10" i="39"/>
  <c r="W5" i="39"/>
  <c r="V9" i="39"/>
  <c r="V4" i="39"/>
  <c r="W31" i="40"/>
  <c r="X10" i="39"/>
  <c r="U8" i="39"/>
  <c r="W4" i="39"/>
  <c r="X3" i="39"/>
  <c r="U4" i="39"/>
  <c r="V5" i="39"/>
  <c r="W8" i="39"/>
  <c r="B142" i="40"/>
  <c r="Q31" i="40"/>
  <c r="X8" i="39"/>
  <c r="U3" i="39"/>
  <c r="U10" i="39"/>
  <c r="V8" i="39"/>
  <c r="W9" i="39"/>
  <c r="E159" i="40"/>
  <c r="K6" i="39"/>
  <c r="K31" i="40"/>
  <c r="Z31" i="40"/>
  <c r="AB20" i="19"/>
  <c r="I25" i="41"/>
  <c r="J25" i="41" s="1"/>
  <c r="K25" i="41" s="1"/>
  <c r="L25" i="41" s="1"/>
  <c r="O27" i="41"/>
  <c r="O23" i="41"/>
  <c r="S7" i="39"/>
  <c r="AV335" i="40" s="1"/>
  <c r="R7" i="39"/>
  <c r="Q15" i="39"/>
  <c r="Q159" i="40" s="1"/>
  <c r="T7" i="39"/>
  <c r="S15" i="39"/>
  <c r="K195" i="40" s="1"/>
  <c r="AB12" i="19"/>
  <c r="AZ155" i="40" l="1"/>
  <c r="AY117" i="40"/>
  <c r="W25" i="19"/>
  <c r="Y50" i="40"/>
  <c r="Y51" i="40" s="1"/>
  <c r="AW31" i="40"/>
  <c r="AK67" i="40"/>
  <c r="AY55" i="40"/>
  <c r="AY29" i="40"/>
  <c r="AK220" i="40"/>
  <c r="AD228" i="40" s="1"/>
  <c r="AF228" i="40" s="1"/>
  <c r="AG228" i="40" s="1"/>
  <c r="AO228" i="40" s="1"/>
  <c r="AS228" i="40" s="1"/>
  <c r="AU228" i="40" s="1"/>
  <c r="O24" i="19"/>
  <c r="D208" i="40"/>
  <c r="M189" i="40"/>
  <c r="Y31" i="40"/>
  <c r="G118" i="40"/>
  <c r="G119" i="40" s="1"/>
  <c r="M136" i="40"/>
  <c r="AE239" i="40"/>
  <c r="J153" i="40"/>
  <c r="J154" i="40" s="1"/>
  <c r="G101" i="40"/>
  <c r="G102" i="40" s="1"/>
  <c r="G136" i="40"/>
  <c r="J189" i="40"/>
  <c r="J190" i="40" s="1"/>
  <c r="J191" i="40" s="1"/>
  <c r="D32" i="40"/>
  <c r="AZ30" i="40"/>
  <c r="AX30" i="40"/>
  <c r="AM29" i="40"/>
  <c r="AM31" i="40"/>
  <c r="AO31" i="40" s="1"/>
  <c r="AS31" i="40" s="1"/>
  <c r="AU31" i="40" s="1"/>
  <c r="AV64" i="40"/>
  <c r="BA64" i="40" s="1"/>
  <c r="AY90" i="40" s="1"/>
  <c r="B55" i="40"/>
  <c r="AE80" i="40" s="1"/>
  <c r="AD82" i="40" s="1"/>
  <c r="AF82" i="40" s="1"/>
  <c r="AG82" i="40" s="1"/>
  <c r="AO82" i="40" s="1"/>
  <c r="G31" i="40"/>
  <c r="B72" i="40"/>
  <c r="AE97" i="40" s="1"/>
  <c r="AD99" i="40" s="1"/>
  <c r="AF99" i="40" s="1"/>
  <c r="AG99" i="40" s="1"/>
  <c r="AO99" i="40" s="1"/>
  <c r="D49" i="40"/>
  <c r="D50" i="40" s="1"/>
  <c r="D66" i="40"/>
  <c r="AY152" i="40"/>
  <c r="BA153" i="40"/>
  <c r="AZ153" i="40"/>
  <c r="AX153" i="40"/>
  <c r="AZ83" i="40"/>
  <c r="BA83" i="40"/>
  <c r="AX83" i="40"/>
  <c r="Z23" i="19"/>
  <c r="I125" i="39" s="1"/>
  <c r="Q18" i="39" s="1"/>
  <c r="U18" i="39" s="1"/>
  <c r="N136" i="40"/>
  <c r="M137" i="40" s="1"/>
  <c r="D101" i="40"/>
  <c r="D102" i="40" s="1"/>
  <c r="AV190" i="40"/>
  <c r="AW189" i="40" s="1"/>
  <c r="H84" i="43"/>
  <c r="AY154" i="40"/>
  <c r="BA155" i="40"/>
  <c r="AK62" i="40"/>
  <c r="AD70" i="40" s="1"/>
  <c r="AL69" i="40" s="1"/>
  <c r="AW365" i="40"/>
  <c r="K331" i="40"/>
  <c r="K332" i="40" s="1"/>
  <c r="J331" i="40"/>
  <c r="J336" i="40" s="1"/>
  <c r="BA335" i="40"/>
  <c r="AY334" i="40"/>
  <c r="AZ335" i="40"/>
  <c r="AX335" i="40"/>
  <c r="AY123" i="40"/>
  <c r="BA124" i="40"/>
  <c r="AZ124" i="40"/>
  <c r="AX124" i="40"/>
  <c r="BA159" i="40"/>
  <c r="AX159" i="40"/>
  <c r="AZ159" i="40"/>
  <c r="AY158" i="40"/>
  <c r="AZ89" i="40"/>
  <c r="BA89" i="40"/>
  <c r="AY88" i="40"/>
  <c r="AX89" i="40"/>
  <c r="BA158" i="40"/>
  <c r="AW158" i="40"/>
  <c r="AW123" i="40"/>
  <c r="BA123" i="40"/>
  <c r="AZ157" i="40"/>
  <c r="AX157" i="40"/>
  <c r="AY156" i="40"/>
  <c r="BA157" i="40"/>
  <c r="BA122" i="40"/>
  <c r="AX122" i="40"/>
  <c r="AZ122" i="40"/>
  <c r="AW88" i="40"/>
  <c r="BA88" i="40"/>
  <c r="AX87" i="40"/>
  <c r="BA87" i="40"/>
  <c r="AZ87" i="40"/>
  <c r="BA334" i="40"/>
  <c r="AW334" i="40"/>
  <c r="AW332" i="40"/>
  <c r="BA332" i="40"/>
  <c r="AN34" i="40"/>
  <c r="AR34" i="40" s="1"/>
  <c r="M153" i="40"/>
  <c r="BA189" i="40"/>
  <c r="AN48" i="40"/>
  <c r="AR48" i="40" s="1"/>
  <c r="J118" i="40"/>
  <c r="J119" i="40" s="1"/>
  <c r="BA84" i="40"/>
  <c r="J101" i="40"/>
  <c r="J102" i="40" s="1"/>
  <c r="BA154" i="40"/>
  <c r="AW154" i="40"/>
  <c r="I128" i="39"/>
  <c r="T18" i="39" s="1"/>
  <c r="X18" i="39" s="1"/>
  <c r="N365" i="40"/>
  <c r="P329" i="40"/>
  <c r="P294" i="40"/>
  <c r="N294" i="40"/>
  <c r="N329" i="40"/>
  <c r="P365" i="40"/>
  <c r="N300" i="40"/>
  <c r="AV367" i="40"/>
  <c r="AZ366" i="40" s="1"/>
  <c r="AV103" i="40"/>
  <c r="AZ102" i="40" s="1"/>
  <c r="N195" i="40"/>
  <c r="N371" i="40"/>
  <c r="N335" i="40"/>
  <c r="AV191" i="40"/>
  <c r="AY101" i="40"/>
  <c r="BA102" i="40"/>
  <c r="AL50" i="40"/>
  <c r="AM49" i="40"/>
  <c r="M118" i="40"/>
  <c r="BA294" i="40"/>
  <c r="AW294" i="40"/>
  <c r="BA101" i="40"/>
  <c r="AW101" i="40"/>
  <c r="AV296" i="40"/>
  <c r="AX295" i="40" s="1"/>
  <c r="AV173" i="40"/>
  <c r="BA173" i="40" s="1"/>
  <c r="AV138" i="40"/>
  <c r="BA138" i="40" s="1"/>
  <c r="AV349" i="40"/>
  <c r="AW349" i="40" s="1"/>
  <c r="N189" i="40"/>
  <c r="M190" i="40" s="1"/>
  <c r="N118" i="40"/>
  <c r="M119" i="40" s="1"/>
  <c r="N101" i="40"/>
  <c r="AK51" i="40"/>
  <c r="AL51" i="40" s="1"/>
  <c r="AK140" i="40"/>
  <c r="AK132" i="40"/>
  <c r="AD140" i="40" s="1"/>
  <c r="AY365" i="40"/>
  <c r="AX366" i="40"/>
  <c r="BA366" i="40"/>
  <c r="AA22" i="19"/>
  <c r="AB22" i="19" s="1"/>
  <c r="I118" i="39"/>
  <c r="R17" i="39" s="1"/>
  <c r="I119" i="39"/>
  <c r="S17" i="39" s="1"/>
  <c r="I120" i="39"/>
  <c r="T17" i="39" s="1"/>
  <c r="X17" i="39" s="1"/>
  <c r="I117" i="39"/>
  <c r="Q17" i="39" s="1"/>
  <c r="M101" i="40"/>
  <c r="N171" i="40"/>
  <c r="N177" i="40"/>
  <c r="AV314" i="40"/>
  <c r="BA314" i="40" s="1"/>
  <c r="AN30" i="40"/>
  <c r="AP30" i="40" s="1"/>
  <c r="AT30" i="40" s="1"/>
  <c r="AU30" i="40" s="1"/>
  <c r="AM47" i="40"/>
  <c r="AO47" i="40" s="1"/>
  <c r="Q24" i="19"/>
  <c r="AP24" i="19"/>
  <c r="C36" i="41"/>
  <c r="AD24" i="19"/>
  <c r="A131" i="39"/>
  <c r="U24" i="19"/>
  <c r="AK23" i="19"/>
  <c r="AJ23" i="19"/>
  <c r="AI23" i="19"/>
  <c r="E347" i="40"/>
  <c r="Y347" i="40"/>
  <c r="G365" i="40"/>
  <c r="N347" i="40"/>
  <c r="B283" i="40"/>
  <c r="AE308" i="40" s="1"/>
  <c r="AD310" i="40" s="1"/>
  <c r="AF310" i="40" s="1"/>
  <c r="AG310" i="40" s="1"/>
  <c r="AO310" i="40" s="1"/>
  <c r="G242" i="40"/>
  <c r="Z242" i="40"/>
  <c r="E259" i="40"/>
  <c r="G347" i="40"/>
  <c r="K353" i="40"/>
  <c r="E231" i="40"/>
  <c r="W207" i="40"/>
  <c r="G277" i="40"/>
  <c r="AV329" i="40"/>
  <c r="H318" i="40"/>
  <c r="T248" i="40"/>
  <c r="D259" i="40"/>
  <c r="Z231" i="40"/>
  <c r="P347" i="40"/>
  <c r="E353" i="40"/>
  <c r="D277" i="40"/>
  <c r="E312" i="40"/>
  <c r="Z347" i="40"/>
  <c r="H353" i="40"/>
  <c r="B265" i="40"/>
  <c r="E294" i="40"/>
  <c r="J365" i="40"/>
  <c r="E318" i="40"/>
  <c r="AH343" i="40" s="1"/>
  <c r="AD348" i="40" s="1"/>
  <c r="W265" i="40"/>
  <c r="G259" i="40"/>
  <c r="W213" i="40"/>
  <c r="K312" i="40"/>
  <c r="H347" i="40"/>
  <c r="N318" i="40"/>
  <c r="W242" i="40"/>
  <c r="V347" i="40"/>
  <c r="Y225" i="40"/>
  <c r="Q353" i="40"/>
  <c r="G312" i="40"/>
  <c r="W347" i="40"/>
  <c r="N312" i="40"/>
  <c r="H371" i="40"/>
  <c r="Z225" i="40"/>
  <c r="E242" i="40"/>
  <c r="S347" i="40"/>
  <c r="Z353" i="40"/>
  <c r="Z248" i="40"/>
  <c r="H231" i="40"/>
  <c r="B371" i="40"/>
  <c r="E300" i="40"/>
  <c r="W248" i="40"/>
  <c r="H225" i="40"/>
  <c r="J312" i="40"/>
  <c r="E371" i="40"/>
  <c r="W231" i="40"/>
  <c r="T259" i="40"/>
  <c r="E277" i="40"/>
  <c r="D365" i="40"/>
  <c r="Y242" i="40"/>
  <c r="Z265" i="40"/>
  <c r="M347" i="40"/>
  <c r="W353" i="40"/>
  <c r="N353" i="40"/>
  <c r="Z259" i="40"/>
  <c r="H312" i="40"/>
  <c r="E365" i="40"/>
  <c r="V242" i="40"/>
  <c r="E283" i="40"/>
  <c r="W225" i="40"/>
  <c r="P312" i="40"/>
  <c r="D294" i="40"/>
  <c r="D347" i="40"/>
  <c r="G225" i="40"/>
  <c r="B300" i="40"/>
  <c r="E225" i="40"/>
  <c r="M312" i="40"/>
  <c r="K347" i="40"/>
  <c r="H365" i="40"/>
  <c r="E265" i="40"/>
  <c r="AK295" i="40" s="1"/>
  <c r="Y259" i="40"/>
  <c r="E248" i="40"/>
  <c r="T347" i="40"/>
  <c r="T353" i="40"/>
  <c r="D242" i="40"/>
  <c r="D243" i="40" s="1"/>
  <c r="T265" i="40"/>
  <c r="B248" i="40"/>
  <c r="AE274" i="40" s="1"/>
  <c r="G294" i="40"/>
  <c r="Y207" i="40"/>
  <c r="Q347" i="40"/>
  <c r="B353" i="40"/>
  <c r="V259" i="40"/>
  <c r="T242" i="40"/>
  <c r="W259" i="40"/>
  <c r="J347" i="40"/>
  <c r="K318" i="40"/>
  <c r="A26" i="19"/>
  <c r="B25" i="19"/>
  <c r="L25" i="19"/>
  <c r="N25" i="19" s="1"/>
  <c r="O25" i="19" s="1"/>
  <c r="V25" i="19" s="1"/>
  <c r="AM22" i="19"/>
  <c r="AL22" i="19"/>
  <c r="AV136" i="40"/>
  <c r="BA136" i="40" s="1"/>
  <c r="AV312" i="40"/>
  <c r="AZ311" i="40" s="1"/>
  <c r="AV263" i="40"/>
  <c r="AY263" i="40" s="1"/>
  <c r="AZ293" i="40"/>
  <c r="AX293" i="40"/>
  <c r="BA293" i="40"/>
  <c r="AY257" i="40"/>
  <c r="BA258" i="40"/>
  <c r="AX346" i="40"/>
  <c r="AZ346" i="40"/>
  <c r="BA346" i="40"/>
  <c r="AV348" i="40"/>
  <c r="AV353" i="40"/>
  <c r="AW353" i="40" s="1"/>
  <c r="AV265" i="40"/>
  <c r="AW265" i="40" s="1"/>
  <c r="BA311" i="40"/>
  <c r="BA313" i="40"/>
  <c r="BA350" i="40"/>
  <c r="AZ350" i="40"/>
  <c r="AX350" i="40"/>
  <c r="BA264" i="40"/>
  <c r="BA352" i="40"/>
  <c r="AY351" i="40"/>
  <c r="AZ364" i="40"/>
  <c r="AY363" i="40"/>
  <c r="AX364" i="40"/>
  <c r="BA364" i="40"/>
  <c r="AL345" i="40"/>
  <c r="AS345" i="40" s="1"/>
  <c r="AU345" i="40" s="1"/>
  <c r="AE343" i="40"/>
  <c r="AD345" i="40" s="1"/>
  <c r="AF345" i="40" s="1"/>
  <c r="AG345" i="40" s="1"/>
  <c r="AO345" i="40" s="1"/>
  <c r="AV345" i="40"/>
  <c r="BA345" i="40" s="1"/>
  <c r="E65" i="43"/>
  <c r="C65" i="43"/>
  <c r="AM35" i="40"/>
  <c r="AQ35" i="40" s="1"/>
  <c r="B65" i="43"/>
  <c r="U16" i="39"/>
  <c r="U15" i="39"/>
  <c r="K55" i="40"/>
  <c r="W16" i="39"/>
  <c r="V16" i="39"/>
  <c r="N49" i="40"/>
  <c r="AL169" i="40"/>
  <c r="AS169" i="40" s="1"/>
  <c r="AU169" i="40" s="1"/>
  <c r="AV169" i="40"/>
  <c r="AE167" i="40"/>
  <c r="AD169" i="40" s="1"/>
  <c r="AF169" i="40" s="1"/>
  <c r="AG169" i="40" s="1"/>
  <c r="AO169" i="40" s="1"/>
  <c r="AK85" i="40"/>
  <c r="AH80" i="40"/>
  <c r="AD85" i="40" s="1"/>
  <c r="AH167" i="40"/>
  <c r="AD172" i="40" s="1"/>
  <c r="AK172" i="40"/>
  <c r="AV174" i="40"/>
  <c r="Q177" i="40"/>
  <c r="G171" i="40"/>
  <c r="G172" i="40" s="1"/>
  <c r="BA171" i="40"/>
  <c r="AY294" i="40"/>
  <c r="BA295" i="40"/>
  <c r="BA137" i="40"/>
  <c r="AK225" i="40"/>
  <c r="AH220" i="40"/>
  <c r="AD225" i="40" s="1"/>
  <c r="BA48" i="40"/>
  <c r="AY47" i="40"/>
  <c r="AY296" i="40"/>
  <c r="W15" i="39"/>
  <c r="V15" i="39"/>
  <c r="AV172" i="40"/>
  <c r="AW171" i="40" s="1"/>
  <c r="K177" i="40"/>
  <c r="K171" i="40"/>
  <c r="AL99" i="40"/>
  <c r="AS99" i="40" s="1"/>
  <c r="AU99" i="40" s="1"/>
  <c r="AH132" i="40"/>
  <c r="AD137" i="40" s="1"/>
  <c r="AK137" i="40"/>
  <c r="BA54" i="40"/>
  <c r="AZ54" i="40"/>
  <c r="AX54" i="40"/>
  <c r="AL66" i="40"/>
  <c r="AF67" i="40"/>
  <c r="AM66" i="40"/>
  <c r="AS66" i="40" s="1"/>
  <c r="AU66" i="40" s="1"/>
  <c r="G189" i="40"/>
  <c r="G190" i="40" s="1"/>
  <c r="J171" i="40"/>
  <c r="AK210" i="40"/>
  <c r="AK202" i="40"/>
  <c r="AD210" i="40" s="1"/>
  <c r="AL222" i="40"/>
  <c r="AS222" i="40" s="1"/>
  <c r="AU222" i="40" s="1"/>
  <c r="AE220" i="40"/>
  <c r="AD222" i="40" s="1"/>
  <c r="AF222" i="40" s="1"/>
  <c r="AG222" i="40" s="1"/>
  <c r="AO222" i="40" s="1"/>
  <c r="AV222" i="40"/>
  <c r="BA222" i="40" s="1"/>
  <c r="AZ100" i="40"/>
  <c r="BA100" i="40"/>
  <c r="AX100" i="40"/>
  <c r="AN227" i="40"/>
  <c r="AL204" i="40"/>
  <c r="AS204" i="40" s="1"/>
  <c r="AU204" i="40" s="1"/>
  <c r="AV204" i="40"/>
  <c r="BA204" i="40" s="1"/>
  <c r="AY230" i="40" s="1"/>
  <c r="AE202" i="40"/>
  <c r="AD204" i="40" s="1"/>
  <c r="AF204" i="40" s="1"/>
  <c r="AG204" i="40" s="1"/>
  <c r="AO204" i="40" s="1"/>
  <c r="AQ47" i="40"/>
  <c r="AH202" i="40"/>
  <c r="AD207" i="40" s="1"/>
  <c r="AK207" i="40"/>
  <c r="BA188" i="40"/>
  <c r="AY187" i="40"/>
  <c r="AZ188" i="40"/>
  <c r="AX188" i="40"/>
  <c r="AZ170" i="40"/>
  <c r="BA170" i="40"/>
  <c r="AX170" i="40"/>
  <c r="BA32" i="40"/>
  <c r="AZ32" i="40"/>
  <c r="AY31" i="40"/>
  <c r="AX32" i="40"/>
  <c r="AX36" i="40"/>
  <c r="BA36" i="40"/>
  <c r="AY35" i="40"/>
  <c r="AZ36" i="40"/>
  <c r="AW35" i="40"/>
  <c r="BA33" i="40"/>
  <c r="AW33" i="40"/>
  <c r="AK33" i="40"/>
  <c r="AR36" i="40"/>
  <c r="AP36" i="40"/>
  <c r="AT36" i="40" s="1"/>
  <c r="AU36" i="40" s="1"/>
  <c r="BA34" i="40"/>
  <c r="AX34" i="40"/>
  <c r="AZ34" i="40"/>
  <c r="AY33" i="40"/>
  <c r="AQ29" i="40"/>
  <c r="AO29" i="40"/>
  <c r="S31" i="40"/>
  <c r="S32" i="40" s="1"/>
  <c r="M31" i="40"/>
  <c r="H136" i="40"/>
  <c r="G137" i="40" s="1"/>
  <c r="B107" i="40"/>
  <c r="H142" i="40"/>
  <c r="U7" i="39"/>
  <c r="V7" i="39"/>
  <c r="W7" i="39"/>
  <c r="G153" i="40"/>
  <c r="G154" i="40" s="1"/>
  <c r="N31" i="40"/>
  <c r="X7" i="39"/>
  <c r="M25" i="41"/>
  <c r="V31" i="40"/>
  <c r="M27" i="41"/>
  <c r="N27" i="41" s="1"/>
  <c r="H31" i="40"/>
  <c r="M23" i="41"/>
  <c r="N23" i="41" s="1"/>
  <c r="H36" i="41" l="1"/>
  <c r="W24" i="19"/>
  <c r="V24" i="19"/>
  <c r="Z51" i="40"/>
  <c r="Z52" i="40" s="1"/>
  <c r="AL82" i="40"/>
  <c r="AS82" i="40" s="1"/>
  <c r="AU82" i="40" s="1"/>
  <c r="J172" i="40"/>
  <c r="J173" i="40" s="1"/>
  <c r="J174" i="40" s="1"/>
  <c r="M102" i="40"/>
  <c r="Y32" i="40"/>
  <c r="V32" i="40"/>
  <c r="AS29" i="40"/>
  <c r="AU29" i="40" s="1"/>
  <c r="AL227" i="40"/>
  <c r="AT227" i="40" s="1"/>
  <c r="AU227" i="40" s="1"/>
  <c r="AV99" i="40"/>
  <c r="BA99" i="40" s="1"/>
  <c r="BA349" i="40"/>
  <c r="D260" i="40"/>
  <c r="E261" i="40" s="1"/>
  <c r="E262" i="40" s="1"/>
  <c r="AZ190" i="40"/>
  <c r="D278" i="40"/>
  <c r="E279" i="40" s="1"/>
  <c r="J192" i="40"/>
  <c r="S349" i="40"/>
  <c r="S350" i="40" s="1"/>
  <c r="P171" i="40"/>
  <c r="P136" i="40"/>
  <c r="M32" i="40"/>
  <c r="G226" i="40"/>
  <c r="G32" i="40"/>
  <c r="G33" i="40" s="1"/>
  <c r="G34" i="40" s="1"/>
  <c r="J332" i="40"/>
  <c r="Y52" i="40"/>
  <c r="Y53" i="40" s="1"/>
  <c r="Y54" i="40" s="1"/>
  <c r="G20" i="43" s="1"/>
  <c r="AQ31" i="40"/>
  <c r="H33" i="40"/>
  <c r="H34" i="40" s="1"/>
  <c r="D33" i="40"/>
  <c r="D34" i="40" s="1"/>
  <c r="E33" i="40"/>
  <c r="E34" i="40" s="1"/>
  <c r="S33" i="40"/>
  <c r="S34" i="40" s="1"/>
  <c r="T33" i="40"/>
  <c r="T34" i="40" s="1"/>
  <c r="AV82" i="40"/>
  <c r="BA82" i="40" s="1"/>
  <c r="J242" i="40"/>
  <c r="H242" i="40"/>
  <c r="G243" i="40" s="1"/>
  <c r="J225" i="40"/>
  <c r="U17" i="39"/>
  <c r="H55" i="40"/>
  <c r="W17" i="39"/>
  <c r="AV49" i="40"/>
  <c r="V17" i="39"/>
  <c r="H49" i="40"/>
  <c r="G50" i="40" s="1"/>
  <c r="AP34" i="40"/>
  <c r="AT34" i="40" s="1"/>
  <c r="AU34" i="40" s="1"/>
  <c r="AN69" i="40"/>
  <c r="AT69" i="40" s="1"/>
  <c r="AU69" i="40" s="1"/>
  <c r="K191" i="40"/>
  <c r="K192" i="40" s="1"/>
  <c r="I127" i="39"/>
  <c r="S18" i="39" s="1"/>
  <c r="AA23" i="19"/>
  <c r="AB23" i="19" s="1"/>
  <c r="AF70" i="40"/>
  <c r="AG70" i="40" s="1"/>
  <c r="AO70" i="40" s="1"/>
  <c r="AS70" i="40" s="1"/>
  <c r="AU70" i="40" s="1"/>
  <c r="I126" i="39"/>
  <c r="R18" i="39" s="1"/>
  <c r="AY82" i="40"/>
  <c r="BA296" i="40"/>
  <c r="AZ295" i="40"/>
  <c r="AY349" i="40"/>
  <c r="BA190" i="40"/>
  <c r="H38" i="41"/>
  <c r="AY189" i="40"/>
  <c r="AR30" i="40"/>
  <c r="AX137" i="40"/>
  <c r="AZ137" i="40"/>
  <c r="AX313" i="40"/>
  <c r="AZ313" i="40"/>
  <c r="AX352" i="40"/>
  <c r="AY312" i="40"/>
  <c r="AY53" i="40"/>
  <c r="E349" i="40"/>
  <c r="E350" i="40" s="1"/>
  <c r="AP48" i="40"/>
  <c r="AT48" i="40" s="1"/>
  <c r="AU48" i="40" s="1"/>
  <c r="AX264" i="40"/>
  <c r="AZ264" i="40"/>
  <c r="AZ135" i="40"/>
  <c r="AY136" i="40"/>
  <c r="AZ352" i="40"/>
  <c r="T349" i="40"/>
  <c r="T350" i="40" s="1"/>
  <c r="AX135" i="40"/>
  <c r="AW296" i="40"/>
  <c r="AY173" i="40"/>
  <c r="AW136" i="40"/>
  <c r="AV310" i="40"/>
  <c r="AM361" i="40"/>
  <c r="AD371" i="40" s="1"/>
  <c r="AK371" i="40"/>
  <c r="J296" i="40"/>
  <c r="J297" i="40" s="1"/>
  <c r="K296" i="40"/>
  <c r="K297" i="40" s="1"/>
  <c r="G331" i="40"/>
  <c r="G332" i="40" s="1"/>
  <c r="H331" i="40"/>
  <c r="H332" i="40" s="1"/>
  <c r="AA24" i="19"/>
  <c r="AB24" i="19" s="1"/>
  <c r="AX102" i="40"/>
  <c r="M138" i="40"/>
  <c r="N138" i="40"/>
  <c r="N139" i="40" s="1"/>
  <c r="AX190" i="40"/>
  <c r="P118" i="40"/>
  <c r="N367" i="40"/>
  <c r="N368" i="40" s="1"/>
  <c r="M367" i="40"/>
  <c r="M368" i="40" s="1"/>
  <c r="N331" i="40"/>
  <c r="N332" i="40" s="1"/>
  <c r="M331" i="40"/>
  <c r="M332" i="40" s="1"/>
  <c r="J120" i="40"/>
  <c r="J121" i="40" s="1"/>
  <c r="J122" i="40" s="1"/>
  <c r="K120" i="40"/>
  <c r="K121" i="40" s="1"/>
  <c r="AO49" i="40"/>
  <c r="AS49" i="40" s="1"/>
  <c r="AU49" i="40" s="1"/>
  <c r="AQ49" i="40"/>
  <c r="K103" i="40"/>
  <c r="K104" i="40" s="1"/>
  <c r="J103" i="40"/>
  <c r="J104" i="40" s="1"/>
  <c r="G120" i="40"/>
  <c r="G121" i="40" s="1"/>
  <c r="G122" i="40" s="1"/>
  <c r="H120" i="40"/>
  <c r="H121" i="40" s="1"/>
  <c r="H103" i="40"/>
  <c r="H104" i="40" s="1"/>
  <c r="G103" i="40"/>
  <c r="G104" i="40" s="1"/>
  <c r="P101" i="40"/>
  <c r="BA191" i="40"/>
  <c r="BA103" i="40"/>
  <c r="AN50" i="40"/>
  <c r="AN139" i="40"/>
  <c r="AF140" i="40"/>
  <c r="AG140" i="40" s="1"/>
  <c r="AO140" i="40" s="1"/>
  <c r="AS140" i="40" s="1"/>
  <c r="AU140" i="40" s="1"/>
  <c r="AL139" i="40"/>
  <c r="P189" i="40"/>
  <c r="BA367" i="40"/>
  <c r="T354" i="40"/>
  <c r="AX311" i="40"/>
  <c r="E51" i="40"/>
  <c r="E52" i="40" s="1"/>
  <c r="D51" i="40"/>
  <c r="D52" i="40" s="1"/>
  <c r="D120" i="40"/>
  <c r="D121" i="40" s="1"/>
  <c r="D122" i="40" s="1"/>
  <c r="E120" i="40"/>
  <c r="E121" i="40" s="1"/>
  <c r="D138" i="40"/>
  <c r="D139" i="40" s="1"/>
  <c r="D140" i="40" s="1"/>
  <c r="E138" i="40"/>
  <c r="E139" i="40" s="1"/>
  <c r="AS47" i="40"/>
  <c r="AU47" i="40" s="1"/>
  <c r="AL310" i="40"/>
  <c r="AS310" i="40" s="1"/>
  <c r="AU310" i="40" s="1"/>
  <c r="S244" i="40"/>
  <c r="Y244" i="40"/>
  <c r="Y245" i="40" s="1"/>
  <c r="AK348" i="40"/>
  <c r="AH290" i="40"/>
  <c r="AD295" i="40" s="1"/>
  <c r="AF295" i="40" s="1"/>
  <c r="J349" i="40"/>
  <c r="J350" i="40" s="1"/>
  <c r="B26" i="19"/>
  <c r="A27" i="19"/>
  <c r="L26" i="19"/>
  <c r="N26" i="19" s="1"/>
  <c r="AK313" i="40"/>
  <c r="AH308" i="40"/>
  <c r="AD313" i="40" s="1"/>
  <c r="AM23" i="19"/>
  <c r="AL23" i="19"/>
  <c r="Q25" i="19"/>
  <c r="AP25" i="19"/>
  <c r="C38" i="41"/>
  <c r="AD25" i="19"/>
  <c r="A139" i="39"/>
  <c r="U25" i="19"/>
  <c r="Z25" i="19" s="1"/>
  <c r="AA25" i="19" s="1"/>
  <c r="AB25" i="19" s="1"/>
  <c r="AZ329" i="40"/>
  <c r="AX329" i="40"/>
  <c r="BA329" i="40"/>
  <c r="AY328" i="40"/>
  <c r="AI24" i="19"/>
  <c r="AJ24" i="19"/>
  <c r="AK24" i="19"/>
  <c r="T244" i="40"/>
  <c r="T245" i="40" s="1"/>
  <c r="G349" i="40"/>
  <c r="G352" i="40" s="1"/>
  <c r="H349" i="40"/>
  <c r="H350" i="40" s="1"/>
  <c r="P349" i="40"/>
  <c r="P350" i="40" s="1"/>
  <c r="Q349" i="40"/>
  <c r="Q350" i="40" s="1"/>
  <c r="V349" i="40"/>
  <c r="V350" i="40" s="1"/>
  <c r="W349" i="40"/>
  <c r="W350" i="40" s="1"/>
  <c r="E367" i="40"/>
  <c r="E368" i="40" s="1"/>
  <c r="D367" i="40"/>
  <c r="D370" i="40" s="1"/>
  <c r="E331" i="40"/>
  <c r="E332" i="40" s="1"/>
  <c r="D331" i="40"/>
  <c r="E314" i="40"/>
  <c r="E315" i="40" s="1"/>
  <c r="D314" i="40"/>
  <c r="K336" i="40"/>
  <c r="J334" i="40"/>
  <c r="AK343" i="40"/>
  <c r="AD351" i="40" s="1"/>
  <c r="AK351" i="40"/>
  <c r="BA312" i="40"/>
  <c r="AW312" i="40"/>
  <c r="AY345" i="40"/>
  <c r="AW347" i="40"/>
  <c r="AX348" i="40"/>
  <c r="AZ348" i="40"/>
  <c r="BA348" i="40"/>
  <c r="AY347" i="40"/>
  <c r="AM347" i="40"/>
  <c r="AF348" i="40"/>
  <c r="AL347" i="40"/>
  <c r="AW263" i="40"/>
  <c r="BA263" i="40"/>
  <c r="AL292" i="40"/>
  <c r="AS292" i="40" s="1"/>
  <c r="AU292" i="40" s="1"/>
  <c r="AV292" i="40"/>
  <c r="AE290" i="40"/>
  <c r="AD292" i="40" s="1"/>
  <c r="AF292" i="40" s="1"/>
  <c r="AG292" i="40" s="1"/>
  <c r="AO292" i="40" s="1"/>
  <c r="E66" i="43"/>
  <c r="C66" i="43"/>
  <c r="AO35" i="40"/>
  <c r="AS35" i="40" s="1"/>
  <c r="AU35" i="40" s="1"/>
  <c r="Z56" i="40"/>
  <c r="Z57" i="40" s="1"/>
  <c r="Y56" i="40"/>
  <c r="AW173" i="40"/>
  <c r="B66" i="43"/>
  <c r="AL134" i="40"/>
  <c r="AS134" i="40" s="1"/>
  <c r="AU134" i="40" s="1"/>
  <c r="AV134" i="40"/>
  <c r="AE132" i="40"/>
  <c r="AD134" i="40" s="1"/>
  <c r="AF134" i="40" s="1"/>
  <c r="AG134" i="40" s="1"/>
  <c r="AO134" i="40" s="1"/>
  <c r="AK175" i="40"/>
  <c r="AK167" i="40"/>
  <c r="AD175" i="40" s="1"/>
  <c r="E191" i="40"/>
  <c r="E192" i="40" s="1"/>
  <c r="D191" i="40"/>
  <c r="AL136" i="40"/>
  <c r="AM136" i="40" s="1"/>
  <c r="AF137" i="40"/>
  <c r="AM224" i="40"/>
  <c r="AF225" i="40"/>
  <c r="AL224" i="40"/>
  <c r="D173" i="40"/>
  <c r="E173" i="40"/>
  <c r="E174" i="40" s="1"/>
  <c r="AF172" i="40"/>
  <c r="AL171" i="40"/>
  <c r="AM171" i="40" s="1"/>
  <c r="AY169" i="40"/>
  <c r="BA169" i="40"/>
  <c r="J301" i="40"/>
  <c r="AL206" i="40"/>
  <c r="AF207" i="40"/>
  <c r="AM206" i="40"/>
  <c r="AF210" i="40"/>
  <c r="AG210" i="40" s="1"/>
  <c r="AO210" i="40" s="1"/>
  <c r="AS210" i="40" s="1"/>
  <c r="AU210" i="40" s="1"/>
  <c r="AN209" i="40"/>
  <c r="AL209" i="40"/>
  <c r="G173" i="40"/>
  <c r="G174" i="40" s="1"/>
  <c r="H173" i="40"/>
  <c r="H174" i="40" s="1"/>
  <c r="AJ67" i="40"/>
  <c r="AR67" i="40" s="1"/>
  <c r="AH67" i="40"/>
  <c r="AP67" i="40" s="1"/>
  <c r="AT67" i="40" s="1"/>
  <c r="AU67" i="40" s="1"/>
  <c r="AI66" i="40"/>
  <c r="AQ66" i="40" s="1"/>
  <c r="AY99" i="40"/>
  <c r="M171" i="40"/>
  <c r="M172" i="40" s="1"/>
  <c r="AZ172" i="40"/>
  <c r="BA172" i="40"/>
  <c r="AX172" i="40"/>
  <c r="BA174" i="40"/>
  <c r="AF85" i="40"/>
  <c r="AL84" i="40"/>
  <c r="AM84" i="40" s="1"/>
  <c r="P49" i="40"/>
  <c r="AY171" i="40"/>
  <c r="AL33" i="40"/>
  <c r="AM33" i="40" s="1"/>
  <c r="AN32" i="40"/>
  <c r="J136" i="40"/>
  <c r="J137" i="40" s="1"/>
  <c r="K155" i="40"/>
  <c r="K156" i="40" s="1"/>
  <c r="J155" i="40"/>
  <c r="J156" i="40" s="1"/>
  <c r="J157" i="40" s="1"/>
  <c r="P31" i="40"/>
  <c r="P32" i="40" s="1"/>
  <c r="D155" i="40"/>
  <c r="E155" i="40"/>
  <c r="E156" i="40" s="1"/>
  <c r="N25" i="41"/>
  <c r="J31" i="40"/>
  <c r="J32" i="40" s="1"/>
  <c r="Z24" i="19" l="1"/>
  <c r="I133" i="39" s="1"/>
  <c r="Q19" i="39" s="1"/>
  <c r="U19" i="39" s="1"/>
  <c r="I136" i="39"/>
  <c r="T19" i="39" s="1"/>
  <c r="I135" i="39"/>
  <c r="S19" i="39" s="1"/>
  <c r="W19" i="39" s="1"/>
  <c r="K173" i="40"/>
  <c r="K174" i="40" s="1"/>
  <c r="D261" i="40"/>
  <c r="D262" i="40" s="1"/>
  <c r="D263" i="40" s="1"/>
  <c r="D264" i="40" s="1"/>
  <c r="D279" i="40"/>
  <c r="D280" i="40" s="1"/>
  <c r="AS206" i="40"/>
  <c r="AU206" i="40" s="1"/>
  <c r="J20" i="43"/>
  <c r="N20" i="43"/>
  <c r="I20" i="43"/>
  <c r="K20" i="43"/>
  <c r="O20" i="43"/>
  <c r="G175" i="40"/>
  <c r="G176" i="40" s="1"/>
  <c r="J175" i="40"/>
  <c r="J176" i="40" s="1"/>
  <c r="J105" i="40"/>
  <c r="J193" i="40"/>
  <c r="V33" i="40"/>
  <c r="W33" i="40"/>
  <c r="W34" i="40" s="1"/>
  <c r="Y33" i="40"/>
  <c r="Y34" i="40" s="1"/>
  <c r="Y35" i="40" s="1"/>
  <c r="Y36" i="40" s="1"/>
  <c r="G12" i="43" s="1"/>
  <c r="Z33" i="40"/>
  <c r="Z34" i="40" s="1"/>
  <c r="V34" i="40"/>
  <c r="V35" i="40" s="1"/>
  <c r="V36" i="40" s="1"/>
  <c r="O26" i="19"/>
  <c r="D53" i="40"/>
  <c r="D54" i="40" s="1"/>
  <c r="G13" i="43" s="1"/>
  <c r="D156" i="40"/>
  <c r="D157" i="40" s="1"/>
  <c r="D158" i="40" s="1"/>
  <c r="G61" i="43" s="1"/>
  <c r="D174" i="40"/>
  <c r="D175" i="40" s="1"/>
  <c r="D176" i="40" s="1"/>
  <c r="D317" i="40"/>
  <c r="D315" i="40"/>
  <c r="D334" i="40"/>
  <c r="D332" i="40"/>
  <c r="E280" i="40"/>
  <c r="G350" i="40"/>
  <c r="J33" i="40"/>
  <c r="J34" i="40" s="1"/>
  <c r="K33" i="40"/>
  <c r="K34" i="40" s="1"/>
  <c r="P33" i="40"/>
  <c r="P34" i="40" s="1"/>
  <c r="Q33" i="40"/>
  <c r="Q34" i="40" s="1"/>
  <c r="D192" i="40"/>
  <c r="D193" i="40" s="1"/>
  <c r="D194" i="40" s="1"/>
  <c r="M33" i="40"/>
  <c r="M34" i="40" s="1"/>
  <c r="N33" i="40"/>
  <c r="N34" i="40" s="1"/>
  <c r="D368" i="40"/>
  <c r="M139" i="40"/>
  <c r="M140" i="40" s="1"/>
  <c r="M141" i="40" s="1"/>
  <c r="G56" i="43" s="1"/>
  <c r="D35" i="40"/>
  <c r="E38" i="40" s="1"/>
  <c r="S35" i="40"/>
  <c r="S36" i="40" s="1"/>
  <c r="G244" i="40"/>
  <c r="G245" i="40" s="1"/>
  <c r="N55" i="40"/>
  <c r="V18" i="39"/>
  <c r="K49" i="40"/>
  <c r="AV259" i="40"/>
  <c r="AV51" i="40"/>
  <c r="H265" i="40"/>
  <c r="X19" i="39"/>
  <c r="J259" i="40"/>
  <c r="H259" i="40"/>
  <c r="G260" i="40" s="1"/>
  <c r="W18" i="39"/>
  <c r="H248" i="40"/>
  <c r="AV50" i="40"/>
  <c r="J49" i="40"/>
  <c r="AX48" i="40"/>
  <c r="BA49" i="40"/>
  <c r="AZ48" i="40"/>
  <c r="AK88" i="40"/>
  <c r="AK80" i="40"/>
  <c r="AD88" i="40" s="1"/>
  <c r="AT139" i="40"/>
  <c r="AU139" i="40" s="1"/>
  <c r="AY125" i="40"/>
  <c r="AW125" i="40"/>
  <c r="K349" i="40"/>
  <c r="K350" i="40" s="1"/>
  <c r="D349" i="40"/>
  <c r="P352" i="40"/>
  <c r="Z244" i="40"/>
  <c r="Z245" i="40" s="1"/>
  <c r="K160" i="40"/>
  <c r="N336" i="40"/>
  <c r="N372" i="40"/>
  <c r="BA310" i="40"/>
  <c r="AY310" i="40"/>
  <c r="G367" i="40"/>
  <c r="G368" i="40" s="1"/>
  <c r="H367" i="40"/>
  <c r="H368" i="40" s="1"/>
  <c r="H336" i="40"/>
  <c r="H337" i="40" s="1"/>
  <c r="H296" i="40"/>
  <c r="H297" i="40" s="1"/>
  <c r="G296" i="40"/>
  <c r="G297" i="40" s="1"/>
  <c r="J367" i="40"/>
  <c r="K367" i="40"/>
  <c r="K368" i="40" s="1"/>
  <c r="AF371" i="40"/>
  <c r="AN370" i="40"/>
  <c r="AL370" i="40"/>
  <c r="AM326" i="40"/>
  <c r="AD336" i="40" s="1"/>
  <c r="AK336" i="40"/>
  <c r="Z227" i="40"/>
  <c r="Z228" i="40" s="1"/>
  <c r="Y227" i="40"/>
  <c r="Y228" i="40" s="1"/>
  <c r="V244" i="40"/>
  <c r="V245" i="40" s="1"/>
  <c r="W244" i="40"/>
  <c r="W245" i="40" s="1"/>
  <c r="N120" i="40"/>
  <c r="N121" i="40" s="1"/>
  <c r="M120" i="40"/>
  <c r="M121" i="40" s="1"/>
  <c r="M103" i="40"/>
  <c r="M104" i="40" s="1"/>
  <c r="M105" i="40" s="1"/>
  <c r="N103" i="40"/>
  <c r="N104" i="40" s="1"/>
  <c r="M191" i="40"/>
  <c r="M192" i="40" s="1"/>
  <c r="M193" i="40" s="1"/>
  <c r="N191" i="40"/>
  <c r="N192" i="40" s="1"/>
  <c r="AP50" i="40"/>
  <c r="AT50" i="40" s="1"/>
  <c r="AU50" i="40" s="1"/>
  <c r="AR50" i="40"/>
  <c r="S352" i="40"/>
  <c r="S354" i="40"/>
  <c r="S247" i="40"/>
  <c r="V352" i="40"/>
  <c r="N296" i="40"/>
  <c r="N297" i="40" s="1"/>
  <c r="M296" i="40"/>
  <c r="AL294" i="40"/>
  <c r="G105" i="40"/>
  <c r="J370" i="40"/>
  <c r="M334" i="40"/>
  <c r="M336" i="40"/>
  <c r="K337" i="40" s="1"/>
  <c r="M370" i="40"/>
  <c r="M372" i="40"/>
  <c r="J108" i="40"/>
  <c r="J123" i="40"/>
  <c r="G47" i="43" s="1"/>
  <c r="K125" i="40"/>
  <c r="H138" i="40"/>
  <c r="H139" i="40" s="1"/>
  <c r="G138" i="40"/>
  <c r="J158" i="40"/>
  <c r="G63" i="43" s="1"/>
  <c r="J160" i="40"/>
  <c r="G125" i="40"/>
  <c r="AK157" i="40" s="1"/>
  <c r="H125" i="40"/>
  <c r="J125" i="40"/>
  <c r="I142" i="39"/>
  <c r="R20" i="39" s="1"/>
  <c r="I144" i="39"/>
  <c r="T20" i="39" s="1"/>
  <c r="I141" i="39"/>
  <c r="Q20" i="39" s="1"/>
  <c r="I143" i="39"/>
  <c r="S20" i="39" s="1"/>
  <c r="N196" i="40"/>
  <c r="Y247" i="40"/>
  <c r="E296" i="40"/>
  <c r="E297" i="40" s="1"/>
  <c r="D296" i="40"/>
  <c r="D297" i="40" s="1"/>
  <c r="E244" i="40"/>
  <c r="E245" i="40" s="1"/>
  <c r="D244" i="40"/>
  <c r="G334" i="40"/>
  <c r="G336" i="40"/>
  <c r="D123" i="40"/>
  <c r="G45" i="43" s="1"/>
  <c r="D125" i="40"/>
  <c r="B126" i="40" s="1"/>
  <c r="BF115" i="40" s="1"/>
  <c r="E125" i="40"/>
  <c r="E103" i="40"/>
  <c r="E104" i="40" s="1"/>
  <c r="D103" i="40"/>
  <c r="D104" i="40" s="1"/>
  <c r="AS347" i="40"/>
  <c r="AU347" i="40" s="1"/>
  <c r="AM294" i="40"/>
  <c r="G178" i="40"/>
  <c r="Q203" i="40" s="1"/>
  <c r="J178" i="40"/>
  <c r="Z203" i="40" s="1"/>
  <c r="W249" i="40"/>
  <c r="AL24" i="19"/>
  <c r="AM24" i="19"/>
  <c r="AF313" i="40"/>
  <c r="AL312" i="40"/>
  <c r="AM312" i="40"/>
  <c r="AD26" i="19"/>
  <c r="A147" i="39"/>
  <c r="C40" i="41"/>
  <c r="AP26" i="19"/>
  <c r="Q26" i="19"/>
  <c r="U26" i="19"/>
  <c r="AJ25" i="19"/>
  <c r="AI25" i="19"/>
  <c r="AK25" i="19"/>
  <c r="B27" i="19"/>
  <c r="A28" i="19"/>
  <c r="L27" i="19"/>
  <c r="N27" i="19" s="1"/>
  <c r="W261" i="40"/>
  <c r="W262" i="40" s="1"/>
  <c r="V261" i="40"/>
  <c r="Z261" i="40"/>
  <c r="Z262" i="40" s="1"/>
  <c r="Y261" i="40"/>
  <c r="T261" i="40"/>
  <c r="T262" i="40" s="1"/>
  <c r="S261" i="40"/>
  <c r="S264" i="40" s="1"/>
  <c r="G314" i="40"/>
  <c r="H314" i="40"/>
  <c r="H315" i="40" s="1"/>
  <c r="M314" i="40"/>
  <c r="N314" i="40"/>
  <c r="N315" i="40" s="1"/>
  <c r="M349" i="40"/>
  <c r="N349" i="40"/>
  <c r="N350" i="40" s="1"/>
  <c r="Y349" i="40"/>
  <c r="Z349" i="40"/>
  <c r="Z350" i="40" s="1"/>
  <c r="K301" i="40"/>
  <c r="J299" i="40"/>
  <c r="Q266" i="40"/>
  <c r="AW134" i="40"/>
  <c r="D141" i="40"/>
  <c r="G53" i="43" s="1"/>
  <c r="G123" i="40"/>
  <c r="G46" i="43" s="1"/>
  <c r="AW47" i="40"/>
  <c r="AJ348" i="40"/>
  <c r="AR348" i="40" s="1"/>
  <c r="AI347" i="40"/>
  <c r="AQ347" i="40" s="1"/>
  <c r="AH348" i="40"/>
  <c r="AP348" i="40" s="1"/>
  <c r="AT348" i="40" s="1"/>
  <c r="AU348" i="40" s="1"/>
  <c r="AW310" i="40"/>
  <c r="D319" i="40"/>
  <c r="B320" i="40" s="1"/>
  <c r="E319" i="40"/>
  <c r="D354" i="40"/>
  <c r="B355" i="40" s="1"/>
  <c r="E354" i="40"/>
  <c r="E372" i="40"/>
  <c r="AW363" i="40"/>
  <c r="D372" i="40"/>
  <c r="B373" i="40" s="1"/>
  <c r="W354" i="40"/>
  <c r="T249" i="40"/>
  <c r="S249" i="40"/>
  <c r="P354" i="40"/>
  <c r="Q354" i="40"/>
  <c r="G354" i="40"/>
  <c r="H354" i="40"/>
  <c r="BA292" i="40"/>
  <c r="AY292" i="40"/>
  <c r="AW274" i="40"/>
  <c r="AJ295" i="40"/>
  <c r="AR295" i="40" s="1"/>
  <c r="AI294" i="40"/>
  <c r="AQ294" i="40" s="1"/>
  <c r="AH295" i="40"/>
  <c r="AP295" i="40" s="1"/>
  <c r="AT295" i="40" s="1"/>
  <c r="AU295" i="40" s="1"/>
  <c r="AN350" i="40"/>
  <c r="AF351" i="40"/>
  <c r="AG351" i="40" s="1"/>
  <c r="AO351" i="40" s="1"/>
  <c r="AS351" i="40" s="1"/>
  <c r="AU351" i="40" s="1"/>
  <c r="AL350" i="40"/>
  <c r="Y249" i="40"/>
  <c r="AS84" i="40"/>
  <c r="AU84" i="40" s="1"/>
  <c r="AS136" i="40"/>
  <c r="AU136" i="40" s="1"/>
  <c r="AT209" i="40"/>
  <c r="AU209" i="40" s="1"/>
  <c r="AS171" i="40"/>
  <c r="AU171" i="40" s="1"/>
  <c r="AS224" i="40"/>
  <c r="AU224" i="40" s="1"/>
  <c r="E67" i="43"/>
  <c r="C67" i="43"/>
  <c r="W205" i="40"/>
  <c r="E336" i="40"/>
  <c r="D336" i="40"/>
  <c r="B337" i="40" s="1"/>
  <c r="N205" i="40"/>
  <c r="K178" i="40"/>
  <c r="B67" i="43"/>
  <c r="H178" i="40"/>
  <c r="AJ85" i="40"/>
  <c r="AR85" i="40" s="1"/>
  <c r="AH85" i="40"/>
  <c r="AP85" i="40" s="1"/>
  <c r="AT85" i="40" s="1"/>
  <c r="AU85" i="40" s="1"/>
  <c r="AI84" i="40"/>
  <c r="AQ84" i="40" s="1"/>
  <c r="G191" i="40"/>
  <c r="H191" i="40"/>
  <c r="H192" i="40" s="1"/>
  <c r="T203" i="40"/>
  <c r="D178" i="40"/>
  <c r="B179" i="40" s="1"/>
  <c r="E178" i="40"/>
  <c r="AW169" i="40"/>
  <c r="D196" i="40"/>
  <c r="B197" i="40" s="1"/>
  <c r="BF186" i="40" s="1"/>
  <c r="E196" i="40"/>
  <c r="AW187" i="40"/>
  <c r="AF175" i="40"/>
  <c r="AG175" i="40" s="1"/>
  <c r="AO175" i="40" s="1"/>
  <c r="AS175" i="40" s="1"/>
  <c r="AU175" i="40" s="1"/>
  <c r="AL174" i="40"/>
  <c r="AN174" i="40" s="1"/>
  <c r="AJ207" i="40"/>
  <c r="AR207" i="40" s="1"/>
  <c r="AH207" i="40"/>
  <c r="AP207" i="40" s="1"/>
  <c r="AT207" i="40" s="1"/>
  <c r="AU207" i="40" s="1"/>
  <c r="AI206" i="40"/>
  <c r="AQ206" i="40" s="1"/>
  <c r="AJ172" i="40"/>
  <c r="AR172" i="40" s="1"/>
  <c r="AH172" i="40"/>
  <c r="AP172" i="40" s="1"/>
  <c r="AT172" i="40" s="1"/>
  <c r="AU172" i="40" s="1"/>
  <c r="AI171" i="40"/>
  <c r="AQ171" i="40" s="1"/>
  <c r="AH225" i="40"/>
  <c r="AP225" i="40" s="1"/>
  <c r="AT225" i="40" s="1"/>
  <c r="AU225" i="40" s="1"/>
  <c r="AI224" i="40"/>
  <c r="AQ224" i="40" s="1"/>
  <c r="AJ225" i="40"/>
  <c r="AR225" i="40" s="1"/>
  <c r="AJ137" i="40"/>
  <c r="AR137" i="40" s="1"/>
  <c r="AH137" i="40"/>
  <c r="AP137" i="40" s="1"/>
  <c r="AT137" i="40" s="1"/>
  <c r="AU137" i="40" s="1"/>
  <c r="AI136" i="40"/>
  <c r="AQ136" i="40" s="1"/>
  <c r="AY134" i="40"/>
  <c r="BA134" i="40"/>
  <c r="AQ33" i="40"/>
  <c r="AO33" i="40"/>
  <c r="AS33" i="40" s="1"/>
  <c r="AU33" i="40" s="1"/>
  <c r="AP32" i="40"/>
  <c r="AT32" i="40" s="1"/>
  <c r="AU32" i="40" s="1"/>
  <c r="AR32" i="40"/>
  <c r="T38" i="40"/>
  <c r="Z38" i="40"/>
  <c r="Z39" i="40" s="1"/>
  <c r="Y38" i="40"/>
  <c r="S38" i="40"/>
  <c r="E143" i="40"/>
  <c r="D143" i="40"/>
  <c r="E56" i="40"/>
  <c r="D56" i="40"/>
  <c r="B57" i="40" s="1"/>
  <c r="BF46" i="40" s="1"/>
  <c r="E160" i="40"/>
  <c r="D160" i="40"/>
  <c r="B161" i="40" s="1"/>
  <c r="BF150" i="40" s="1"/>
  <c r="M143" i="40"/>
  <c r="N143" i="40"/>
  <c r="P96" i="43"/>
  <c r="G35" i="40"/>
  <c r="H155" i="40"/>
  <c r="H156" i="40" s="1"/>
  <c r="G155" i="40"/>
  <c r="G156" i="40" s="1"/>
  <c r="P95" i="43"/>
  <c r="I134" i="39" l="1"/>
  <c r="R19" i="39" s="1"/>
  <c r="V19" i="39" s="1"/>
  <c r="H40" i="41"/>
  <c r="V26" i="19"/>
  <c r="W26" i="19"/>
  <c r="BF309" i="40"/>
  <c r="BG309" i="40"/>
  <c r="BH309" i="40"/>
  <c r="BK309" i="40"/>
  <c r="BI309" i="40"/>
  <c r="BJ309" i="40"/>
  <c r="BG362" i="40"/>
  <c r="BK362" i="40"/>
  <c r="BH362" i="40"/>
  <c r="BF362" i="40"/>
  <c r="BI362" i="40"/>
  <c r="BJ362" i="40"/>
  <c r="BF344" i="40"/>
  <c r="BG344" i="40"/>
  <c r="BH344" i="40"/>
  <c r="BJ344" i="40"/>
  <c r="BK344" i="40"/>
  <c r="BI344" i="40"/>
  <c r="BF326" i="40"/>
  <c r="BG326" i="40"/>
  <c r="BH326" i="40"/>
  <c r="BJ326" i="40"/>
  <c r="BK326" i="40"/>
  <c r="BI326" i="40"/>
  <c r="AS294" i="40"/>
  <c r="AU294" i="40" s="1"/>
  <c r="Y208" i="40"/>
  <c r="Y211" i="40"/>
  <c r="BM362" i="40"/>
  <c r="BO362" i="40"/>
  <c r="BQ362" i="40"/>
  <c r="BS362" i="40"/>
  <c r="BU362" i="40"/>
  <c r="BW362" i="40"/>
  <c r="BY362" i="40"/>
  <c r="CA362" i="40"/>
  <c r="CC362" i="40"/>
  <c r="CE362" i="40"/>
  <c r="CG362" i="40"/>
  <c r="CI362" i="40"/>
  <c r="CK362" i="40"/>
  <c r="BL362" i="40"/>
  <c r="BN362" i="40"/>
  <c r="BP362" i="40"/>
  <c r="BR362" i="40"/>
  <c r="BT362" i="40"/>
  <c r="BV362" i="40"/>
  <c r="BX362" i="40"/>
  <c r="BZ362" i="40"/>
  <c r="CB362" i="40"/>
  <c r="CD362" i="40"/>
  <c r="CF362" i="40"/>
  <c r="CH362" i="40"/>
  <c r="CJ362" i="40"/>
  <c r="CL362" i="40"/>
  <c r="BM344" i="40"/>
  <c r="BO344" i="40"/>
  <c r="BQ344" i="40"/>
  <c r="BS344" i="40"/>
  <c r="BU344" i="40"/>
  <c r="BW344" i="40"/>
  <c r="BY344" i="40"/>
  <c r="CA344" i="40"/>
  <c r="CC344" i="40"/>
  <c r="CE344" i="40"/>
  <c r="CG344" i="40"/>
  <c r="CI344" i="40"/>
  <c r="CK344" i="40"/>
  <c r="BL344" i="40"/>
  <c r="BN344" i="40"/>
  <c r="BP344" i="40"/>
  <c r="BR344" i="40"/>
  <c r="BT344" i="40"/>
  <c r="BV344" i="40"/>
  <c r="BX344" i="40"/>
  <c r="BZ344" i="40"/>
  <c r="CB344" i="40"/>
  <c r="CD344" i="40"/>
  <c r="CF344" i="40"/>
  <c r="CH344" i="40"/>
  <c r="CJ344" i="40"/>
  <c r="CL344" i="40"/>
  <c r="BM309" i="40"/>
  <c r="BO309" i="40"/>
  <c r="BQ309" i="40"/>
  <c r="BS309" i="40"/>
  <c r="BU309" i="40"/>
  <c r="BW309" i="40"/>
  <c r="BY309" i="40"/>
  <c r="CA309" i="40"/>
  <c r="CC309" i="40"/>
  <c r="CE309" i="40"/>
  <c r="CG309" i="40"/>
  <c r="CI309" i="40"/>
  <c r="CK309" i="40"/>
  <c r="BL309" i="40"/>
  <c r="BN309" i="40"/>
  <c r="BP309" i="40"/>
  <c r="BR309" i="40"/>
  <c r="BT309" i="40"/>
  <c r="BV309" i="40"/>
  <c r="BX309" i="40"/>
  <c r="BZ309" i="40"/>
  <c r="CB309" i="40"/>
  <c r="CD309" i="40"/>
  <c r="CF309" i="40"/>
  <c r="CH309" i="40"/>
  <c r="CJ309" i="40"/>
  <c r="CL309" i="40"/>
  <c r="AS312" i="40"/>
  <c r="AU312" i="40" s="1"/>
  <c r="BM326" i="40"/>
  <c r="BO326" i="40"/>
  <c r="BQ326" i="40"/>
  <c r="BS326" i="40"/>
  <c r="BU326" i="40"/>
  <c r="BW326" i="40"/>
  <c r="BY326" i="40"/>
  <c r="CA326" i="40"/>
  <c r="CC326" i="40"/>
  <c r="CE326" i="40"/>
  <c r="CG326" i="40"/>
  <c r="CI326" i="40"/>
  <c r="CK326" i="40"/>
  <c r="BL326" i="40"/>
  <c r="BN326" i="40"/>
  <c r="BP326" i="40"/>
  <c r="BR326" i="40"/>
  <c r="BT326" i="40"/>
  <c r="BV326" i="40"/>
  <c r="BX326" i="40"/>
  <c r="BZ326" i="40"/>
  <c r="CB326" i="40"/>
  <c r="CD326" i="40"/>
  <c r="CF326" i="40"/>
  <c r="CH326" i="40"/>
  <c r="CJ326" i="40"/>
  <c r="CL326" i="40"/>
  <c r="N95" i="43"/>
  <c r="O95" i="43"/>
  <c r="Q96" i="43"/>
  <c r="I46" i="43"/>
  <c r="K46" i="43"/>
  <c r="O46" i="43"/>
  <c r="J46" i="43"/>
  <c r="N46" i="43"/>
  <c r="J45" i="43"/>
  <c r="N45" i="43"/>
  <c r="I45" i="43"/>
  <c r="K45" i="43"/>
  <c r="O45" i="43"/>
  <c r="I13" i="43"/>
  <c r="K13" i="43"/>
  <c r="O13" i="43"/>
  <c r="J13" i="43"/>
  <c r="N13" i="43"/>
  <c r="J12" i="43"/>
  <c r="N12" i="43"/>
  <c r="I12" i="43"/>
  <c r="K12" i="43"/>
  <c r="O12" i="43"/>
  <c r="I53" i="43"/>
  <c r="K53" i="43"/>
  <c r="O53" i="43"/>
  <c r="J53" i="43"/>
  <c r="N53" i="43"/>
  <c r="J63" i="43"/>
  <c r="N63" i="43"/>
  <c r="I63" i="43"/>
  <c r="K63" i="43"/>
  <c r="O63" i="43"/>
  <c r="I47" i="43"/>
  <c r="K47" i="43"/>
  <c r="O47" i="43"/>
  <c r="J47" i="43"/>
  <c r="N47" i="43"/>
  <c r="J56" i="43"/>
  <c r="N56" i="43"/>
  <c r="I56" i="43"/>
  <c r="K56" i="43"/>
  <c r="O56" i="43"/>
  <c r="J61" i="43"/>
  <c r="N61" i="43"/>
  <c r="I61" i="43"/>
  <c r="K61" i="43"/>
  <c r="O61" i="43"/>
  <c r="BG150" i="40"/>
  <c r="BN150" i="40"/>
  <c r="BR150" i="40"/>
  <c r="BV150" i="40"/>
  <c r="BZ150" i="40"/>
  <c r="CD150" i="40"/>
  <c r="CH150" i="40"/>
  <c r="CL150" i="40"/>
  <c r="BO150" i="40"/>
  <c r="BS150" i="40"/>
  <c r="BW150" i="40"/>
  <c r="CA150" i="40"/>
  <c r="CE150" i="40"/>
  <c r="CI150" i="40"/>
  <c r="BL150" i="40"/>
  <c r="BP150" i="40"/>
  <c r="BT150" i="40"/>
  <c r="BX150" i="40"/>
  <c r="CB150" i="40"/>
  <c r="CF150" i="40"/>
  <c r="CJ150" i="40"/>
  <c r="BM150" i="40"/>
  <c r="BQ150" i="40"/>
  <c r="BU150" i="40"/>
  <c r="BY150" i="40"/>
  <c r="CC150" i="40"/>
  <c r="CG150" i="40"/>
  <c r="CK150" i="40"/>
  <c r="BG186" i="40"/>
  <c r="BN186" i="40"/>
  <c r="BR186" i="40"/>
  <c r="BV186" i="40"/>
  <c r="BZ186" i="40"/>
  <c r="CD186" i="40"/>
  <c r="CH186" i="40"/>
  <c r="CL186" i="40"/>
  <c r="BO186" i="40"/>
  <c r="BS186" i="40"/>
  <c r="BW186" i="40"/>
  <c r="CA186" i="40"/>
  <c r="CE186" i="40"/>
  <c r="CI186" i="40"/>
  <c r="BL186" i="40"/>
  <c r="BP186" i="40"/>
  <c r="BT186" i="40"/>
  <c r="BX186" i="40"/>
  <c r="CB186" i="40"/>
  <c r="CF186" i="40"/>
  <c r="CJ186" i="40"/>
  <c r="BM186" i="40"/>
  <c r="BQ186" i="40"/>
  <c r="BU186" i="40"/>
  <c r="BY186" i="40"/>
  <c r="CC186" i="40"/>
  <c r="CG186" i="40"/>
  <c r="CK186" i="40"/>
  <c r="BN168" i="40"/>
  <c r="BR168" i="40"/>
  <c r="BV168" i="40"/>
  <c r="BZ168" i="40"/>
  <c r="CD168" i="40"/>
  <c r="CH168" i="40"/>
  <c r="CL168" i="40"/>
  <c r="BO168" i="40"/>
  <c r="BS168" i="40"/>
  <c r="BW168" i="40"/>
  <c r="CA168" i="40"/>
  <c r="CE168" i="40"/>
  <c r="CI168" i="40"/>
  <c r="BL168" i="40"/>
  <c r="BP168" i="40"/>
  <c r="BT168" i="40"/>
  <c r="BX168" i="40"/>
  <c r="CB168" i="40"/>
  <c r="CF168" i="40"/>
  <c r="CJ168" i="40"/>
  <c r="BM168" i="40"/>
  <c r="BQ168" i="40"/>
  <c r="BU168" i="40"/>
  <c r="BY168" i="40"/>
  <c r="CC168" i="40"/>
  <c r="CG168" i="40"/>
  <c r="CK168" i="40"/>
  <c r="BG115" i="40"/>
  <c r="BN115" i="40"/>
  <c r="BR115" i="40"/>
  <c r="BV115" i="40"/>
  <c r="BZ115" i="40"/>
  <c r="CD115" i="40"/>
  <c r="CH115" i="40"/>
  <c r="CL115" i="40"/>
  <c r="BO115" i="40"/>
  <c r="BS115" i="40"/>
  <c r="BW115" i="40"/>
  <c r="CA115" i="40"/>
  <c r="CE115" i="40"/>
  <c r="CI115" i="40"/>
  <c r="BL115" i="40"/>
  <c r="BP115" i="40"/>
  <c r="BT115" i="40"/>
  <c r="BX115" i="40"/>
  <c r="CB115" i="40"/>
  <c r="CF115" i="40"/>
  <c r="CJ115" i="40"/>
  <c r="BM115" i="40"/>
  <c r="BQ115" i="40"/>
  <c r="BU115" i="40"/>
  <c r="BY115" i="40"/>
  <c r="CC115" i="40"/>
  <c r="CG115" i="40"/>
  <c r="CK115" i="40"/>
  <c r="BG168" i="40"/>
  <c r="BE168" i="40"/>
  <c r="F4" i="41" s="1"/>
  <c r="J196" i="40"/>
  <c r="J194" i="40"/>
  <c r="K196" i="40"/>
  <c r="G157" i="40"/>
  <c r="G158" i="40" s="1"/>
  <c r="G62" i="43" s="1"/>
  <c r="D105" i="40"/>
  <c r="D106" i="40" s="1"/>
  <c r="G37" i="43" s="1"/>
  <c r="M122" i="40"/>
  <c r="M123" i="40" s="1"/>
  <c r="G48" i="43" s="1"/>
  <c r="BG46" i="40"/>
  <c r="S208" i="40"/>
  <c r="S211" i="40"/>
  <c r="E126" i="40"/>
  <c r="O27" i="19"/>
  <c r="D281" i="40"/>
  <c r="D282" i="40" s="1"/>
  <c r="Y206" i="40"/>
  <c r="W206" i="40"/>
  <c r="Y264" i="40"/>
  <c r="Y262" i="40"/>
  <c r="V264" i="40"/>
  <c r="V262" i="40"/>
  <c r="J372" i="40"/>
  <c r="J368" i="40"/>
  <c r="G10" i="43"/>
  <c r="J50" i="40"/>
  <c r="G192" i="40"/>
  <c r="G193" i="40" s="1"/>
  <c r="G194" i="40" s="1"/>
  <c r="Y352" i="40"/>
  <c r="Y350" i="40"/>
  <c r="M352" i="40"/>
  <c r="M350" i="40"/>
  <c r="M317" i="40"/>
  <c r="M315" i="40"/>
  <c r="G317" i="40"/>
  <c r="G315" i="40"/>
  <c r="D245" i="40"/>
  <c r="D246" i="40" s="1"/>
  <c r="G139" i="40"/>
  <c r="G140" i="40" s="1"/>
  <c r="G141" i="40" s="1"/>
  <c r="G54" i="43" s="1"/>
  <c r="M299" i="40"/>
  <c r="M297" i="40"/>
  <c r="D352" i="40"/>
  <c r="D350" i="40"/>
  <c r="G11" i="43"/>
  <c r="M35" i="40"/>
  <c r="M36" i="40" s="1"/>
  <c r="G36" i="40"/>
  <c r="G38" i="40"/>
  <c r="E39" i="40" s="1"/>
  <c r="H244" i="40"/>
  <c r="H245" i="40" s="1"/>
  <c r="AK155" i="40"/>
  <c r="AG150" i="40"/>
  <c r="AD154" i="40" s="1"/>
  <c r="AF154" i="40" s="1"/>
  <c r="AG154" i="40" s="1"/>
  <c r="AO154" i="40" s="1"/>
  <c r="W250" i="40"/>
  <c r="Q355" i="40"/>
  <c r="W20" i="39"/>
  <c r="AV52" i="40"/>
  <c r="AY51" i="40" s="1"/>
  <c r="H283" i="40"/>
  <c r="X20" i="39"/>
  <c r="H277" i="40"/>
  <c r="G278" i="40" s="1"/>
  <c r="J277" i="40"/>
  <c r="AN87" i="40"/>
  <c r="AF88" i="40"/>
  <c r="AG88" i="40" s="1"/>
  <c r="AO88" i="40" s="1"/>
  <c r="AS88" i="40" s="1"/>
  <c r="AU88" i="40" s="1"/>
  <c r="AL87" i="40"/>
  <c r="G261" i="40"/>
  <c r="H261" i="40"/>
  <c r="H262" i="40" s="1"/>
  <c r="AW51" i="40"/>
  <c r="BA51" i="40"/>
  <c r="U20" i="39"/>
  <c r="Q55" i="40"/>
  <c r="V20" i="39"/>
  <c r="Q49" i="40"/>
  <c r="P50" i="40" s="1"/>
  <c r="H108" i="40"/>
  <c r="H109" i="40" s="1"/>
  <c r="G106" i="40"/>
  <c r="G38" i="43" s="1"/>
  <c r="G51" i="40"/>
  <c r="G52" i="40" s="1"/>
  <c r="H51" i="40"/>
  <c r="H52" i="40" s="1"/>
  <c r="AY49" i="40"/>
  <c r="AX50" i="40"/>
  <c r="BA50" i="40"/>
  <c r="AZ50" i="40"/>
  <c r="AW49" i="40"/>
  <c r="AK298" i="40"/>
  <c r="AK290" i="40"/>
  <c r="AD298" i="40" s="1"/>
  <c r="BA259" i="40"/>
  <c r="AX258" i="40"/>
  <c r="AZ258" i="40"/>
  <c r="M49" i="40"/>
  <c r="M50" i="40" s="1"/>
  <c r="D36" i="40"/>
  <c r="G5" i="43" s="1"/>
  <c r="AY160" i="40"/>
  <c r="AW160" i="40"/>
  <c r="N125" i="40"/>
  <c r="AK154" i="40"/>
  <c r="AW345" i="40"/>
  <c r="H126" i="40"/>
  <c r="BI115" i="40" s="1"/>
  <c r="K372" i="40"/>
  <c r="K373" i="40" s="1"/>
  <c r="AT370" i="40"/>
  <c r="AU370" i="40" s="1"/>
  <c r="H301" i="40"/>
  <c r="AK334" i="40" s="1"/>
  <c r="H179" i="40"/>
  <c r="Z249" i="40"/>
  <c r="Z250" i="40" s="1"/>
  <c r="G108" i="40"/>
  <c r="AK369" i="40"/>
  <c r="AK361" i="40"/>
  <c r="AD369" i="40" s="1"/>
  <c r="AN368" i="40" s="1"/>
  <c r="G370" i="40"/>
  <c r="G372" i="40"/>
  <c r="E373" i="40" s="1"/>
  <c r="H372" i="40"/>
  <c r="AW336" i="40"/>
  <c r="AY336" i="40"/>
  <c r="J352" i="40"/>
  <c r="J354" i="40"/>
  <c r="H355" i="40" s="1"/>
  <c r="AF336" i="40"/>
  <c r="AN335" i="40"/>
  <c r="AL335" i="40"/>
  <c r="AG371" i="40"/>
  <c r="AO371" i="40" s="1"/>
  <c r="AI371" i="40"/>
  <c r="AQ371" i="40" s="1"/>
  <c r="Y230" i="40"/>
  <c r="Z232" i="40"/>
  <c r="Z233" i="40" s="1"/>
  <c r="Y232" i="40"/>
  <c r="N108" i="40"/>
  <c r="V247" i="40"/>
  <c r="V249" i="40"/>
  <c r="T250" i="40" s="1"/>
  <c r="V354" i="40"/>
  <c r="T355" i="40" s="1"/>
  <c r="AJ150" i="40"/>
  <c r="AD157" i="40" s="1"/>
  <c r="AM156" i="40" s="1"/>
  <c r="Q249" i="40"/>
  <c r="AH150" i="40"/>
  <c r="AD155" i="40" s="1"/>
  <c r="AF155" i="40" s="1"/>
  <c r="K354" i="40"/>
  <c r="H160" i="40"/>
  <c r="AK185" i="40" s="1"/>
  <c r="AD193" i="40" s="1"/>
  <c r="J138" i="40"/>
  <c r="J139" i="40" s="1"/>
  <c r="J140" i="40" s="1"/>
  <c r="J141" i="40" s="1"/>
  <c r="G55" i="43" s="1"/>
  <c r="K138" i="40"/>
  <c r="K139" i="40" s="1"/>
  <c r="M194" i="40"/>
  <c r="M196" i="40"/>
  <c r="J106" i="40"/>
  <c r="G39" i="43" s="1"/>
  <c r="K108" i="40"/>
  <c r="M106" i="40"/>
  <c r="G40" i="43" s="1"/>
  <c r="M125" i="40"/>
  <c r="K126" i="40" s="1"/>
  <c r="BJ115" i="40" s="1"/>
  <c r="AK160" i="40"/>
  <c r="AM150" i="40"/>
  <c r="AD160" i="40" s="1"/>
  <c r="AK150" i="40"/>
  <c r="AD158" i="40" s="1"/>
  <c r="AK158" i="40"/>
  <c r="AK195" i="40"/>
  <c r="AM185" i="40"/>
  <c r="AD195" i="40" s="1"/>
  <c r="AA26" i="19"/>
  <c r="AB26" i="19" s="1"/>
  <c r="D299" i="40"/>
  <c r="AW292" i="40"/>
  <c r="D301" i="40"/>
  <c r="E301" i="40"/>
  <c r="AW239" i="40"/>
  <c r="AJ361" i="40"/>
  <c r="AD368" i="40" s="1"/>
  <c r="AK368" i="40"/>
  <c r="G299" i="40"/>
  <c r="G301" i="40"/>
  <c r="G160" i="40"/>
  <c r="E161" i="40" s="1"/>
  <c r="BH150" i="40" s="1"/>
  <c r="T204" i="40"/>
  <c r="T213" i="40"/>
  <c r="T207" i="40"/>
  <c r="V207" i="40"/>
  <c r="Z204" i="40"/>
  <c r="Z205" i="40" s="1"/>
  <c r="Z213" i="40"/>
  <c r="Z207" i="40"/>
  <c r="Q204" i="40"/>
  <c r="Q205" i="40" s="1"/>
  <c r="AT350" i="40"/>
  <c r="AU350" i="40" s="1"/>
  <c r="AW29" i="40"/>
  <c r="D38" i="40"/>
  <c r="B28" i="19"/>
  <c r="A29" i="19"/>
  <c r="L28" i="19"/>
  <c r="N28" i="19" s="1"/>
  <c r="AH313" i="40"/>
  <c r="AP313" i="40" s="1"/>
  <c r="AT313" i="40" s="1"/>
  <c r="AU313" i="40" s="1"/>
  <c r="AJ313" i="40"/>
  <c r="AR313" i="40" s="1"/>
  <c r="AI312" i="40"/>
  <c r="AQ312" i="40" s="1"/>
  <c r="AD27" i="19"/>
  <c r="A155" i="39"/>
  <c r="AP27" i="19"/>
  <c r="U27" i="19"/>
  <c r="Q27" i="19"/>
  <c r="C42" i="41"/>
  <c r="AL25" i="19"/>
  <c r="AM25" i="19"/>
  <c r="AJ26" i="19"/>
  <c r="AK26" i="19"/>
  <c r="AI26" i="19"/>
  <c r="J314" i="40"/>
  <c r="K314" i="40"/>
  <c r="K315" i="40" s="1"/>
  <c r="E266" i="40"/>
  <c r="AW257" i="40"/>
  <c r="D266" i="40"/>
  <c r="B267" i="40" s="1"/>
  <c r="H319" i="40"/>
  <c r="G319" i="40"/>
  <c r="E320" i="40" s="1"/>
  <c r="Y354" i="40"/>
  <c r="W355" i="40" s="1"/>
  <c r="Z354" i="40"/>
  <c r="Z355" i="40" s="1"/>
  <c r="N319" i="40"/>
  <c r="M319" i="40"/>
  <c r="S266" i="40"/>
  <c r="T266" i="40"/>
  <c r="N354" i="40"/>
  <c r="N355" i="40" s="1"/>
  <c r="M354" i="40"/>
  <c r="AT174" i="40"/>
  <c r="AU174" i="40" s="1"/>
  <c r="E355" i="40"/>
  <c r="V266" i="40"/>
  <c r="W266" i="40"/>
  <c r="D284" i="40"/>
  <c r="B285" i="40" s="1"/>
  <c r="E284" i="40"/>
  <c r="Z266" i="40"/>
  <c r="Z267" i="40" s="1"/>
  <c r="Y266" i="40"/>
  <c r="E68" i="43"/>
  <c r="C68" i="43"/>
  <c r="B144" i="40"/>
  <c r="BF133" i="40" s="1"/>
  <c r="T221" i="40"/>
  <c r="AK365" i="40"/>
  <c r="AE363" i="40"/>
  <c r="AG361" i="40"/>
  <c r="AD365" i="40" s="1"/>
  <c r="E337" i="40"/>
  <c r="AK366" i="40"/>
  <c r="AH361" i="40"/>
  <c r="AD366" i="40" s="1"/>
  <c r="N38" i="40"/>
  <c r="AW99" i="40"/>
  <c r="G69" i="43"/>
  <c r="B68" i="43"/>
  <c r="AK189" i="40"/>
  <c r="AG185" i="40"/>
  <c r="AD189" i="40" s="1"/>
  <c r="E179" i="40"/>
  <c r="AH185" i="40"/>
  <c r="AD190" i="40" s="1"/>
  <c r="AK190" i="40"/>
  <c r="N301" i="40"/>
  <c r="M301" i="40"/>
  <c r="K302" i="40" s="1"/>
  <c r="N173" i="40"/>
  <c r="N174" i="40" s="1"/>
  <c r="M173" i="40"/>
  <c r="AE152" i="40"/>
  <c r="H203" i="40"/>
  <c r="B221" i="40"/>
  <c r="T56" i="40"/>
  <c r="T205" i="40"/>
  <c r="H196" i="40"/>
  <c r="G196" i="40"/>
  <c r="E197" i="40" s="1"/>
  <c r="BH186" i="40" s="1"/>
  <c r="W38" i="40"/>
  <c r="W39" i="40" s="1"/>
  <c r="V38" i="40"/>
  <c r="T39" i="40" s="1"/>
  <c r="H38" i="40"/>
  <c r="G143" i="40"/>
  <c r="E144" i="40" s="1"/>
  <c r="H143" i="40"/>
  <c r="T96" i="43"/>
  <c r="S96" i="43"/>
  <c r="R96" i="43"/>
  <c r="Q95" i="43"/>
  <c r="T95" i="43"/>
  <c r="R95" i="43"/>
  <c r="S95" i="43"/>
  <c r="P97" i="43"/>
  <c r="AK326" i="40" l="1"/>
  <c r="AD334" i="40" s="1"/>
  <c r="Z26" i="19"/>
  <c r="I149" i="39" s="1"/>
  <c r="Q21" i="39" s="1"/>
  <c r="U21" i="39" s="1"/>
  <c r="H42" i="41"/>
  <c r="V27" i="19"/>
  <c r="Z27" i="19" s="1"/>
  <c r="W27" i="19"/>
  <c r="AN153" i="40"/>
  <c r="K355" i="40"/>
  <c r="H161" i="40"/>
  <c r="BI150" i="40" s="1"/>
  <c r="AL153" i="40"/>
  <c r="BF256" i="40"/>
  <c r="BG256" i="40"/>
  <c r="BH256" i="40"/>
  <c r="BJ256" i="40"/>
  <c r="BK256" i="40"/>
  <c r="BI256" i="40"/>
  <c r="BH133" i="40"/>
  <c r="BF274" i="40"/>
  <c r="BG274" i="40"/>
  <c r="BH274" i="40"/>
  <c r="BJ274" i="40"/>
  <c r="BK274" i="40"/>
  <c r="BI274" i="40"/>
  <c r="H197" i="40"/>
  <c r="BI186" i="40" s="1"/>
  <c r="K197" i="40"/>
  <c r="BJ186" i="40" s="1"/>
  <c r="H373" i="40"/>
  <c r="BM274" i="40"/>
  <c r="BO274" i="40"/>
  <c r="BQ274" i="40"/>
  <c r="BS274" i="40"/>
  <c r="BU274" i="40"/>
  <c r="BW274" i="40"/>
  <c r="BY274" i="40"/>
  <c r="CA274" i="40"/>
  <c r="CC274" i="40"/>
  <c r="CE274" i="40"/>
  <c r="CG274" i="40"/>
  <c r="CI274" i="40"/>
  <c r="CK274" i="40"/>
  <c r="BL274" i="40"/>
  <c r="BN274" i="40"/>
  <c r="BP274" i="40"/>
  <c r="BR274" i="40"/>
  <c r="BT274" i="40"/>
  <c r="BV274" i="40"/>
  <c r="BX274" i="40"/>
  <c r="BZ274" i="40"/>
  <c r="CB274" i="40"/>
  <c r="CD274" i="40"/>
  <c r="CF274" i="40"/>
  <c r="CH274" i="40"/>
  <c r="CJ274" i="40"/>
  <c r="CL274" i="40"/>
  <c r="BM256" i="40"/>
  <c r="BO256" i="40"/>
  <c r="BQ256" i="40"/>
  <c r="BS256" i="40"/>
  <c r="BU256" i="40"/>
  <c r="BW256" i="40"/>
  <c r="BY256" i="40"/>
  <c r="CA256" i="40"/>
  <c r="CC256" i="40"/>
  <c r="CE256" i="40"/>
  <c r="CG256" i="40"/>
  <c r="CI256" i="40"/>
  <c r="CK256" i="40"/>
  <c r="CM256" i="40"/>
  <c r="BL256" i="40"/>
  <c r="BN256" i="40"/>
  <c r="BP256" i="40"/>
  <c r="BR256" i="40"/>
  <c r="BT256" i="40"/>
  <c r="BV256" i="40"/>
  <c r="BX256" i="40"/>
  <c r="BZ256" i="40"/>
  <c r="CB256" i="40"/>
  <c r="CD256" i="40"/>
  <c r="CF256" i="40"/>
  <c r="CH256" i="40"/>
  <c r="CJ256" i="40"/>
  <c r="CL256" i="40"/>
  <c r="I5" i="43"/>
  <c r="J5" i="43" s="1"/>
  <c r="K5" i="43" s="1"/>
  <c r="I55" i="43"/>
  <c r="K55" i="43"/>
  <c r="O55" i="43"/>
  <c r="J55" i="43"/>
  <c r="N55" i="43"/>
  <c r="I40" i="43"/>
  <c r="K40" i="43"/>
  <c r="O40" i="43"/>
  <c r="J40" i="43"/>
  <c r="N40" i="43"/>
  <c r="J39" i="43"/>
  <c r="N39" i="43"/>
  <c r="I39" i="43"/>
  <c r="K39" i="43"/>
  <c r="O39" i="43"/>
  <c r="J54" i="43"/>
  <c r="N54" i="43"/>
  <c r="I54" i="43"/>
  <c r="K54" i="43"/>
  <c r="O54" i="43"/>
  <c r="J10" i="43"/>
  <c r="N10" i="43"/>
  <c r="I10" i="43"/>
  <c r="K10" i="43"/>
  <c r="O10" i="43"/>
  <c r="J37" i="43"/>
  <c r="N37" i="43"/>
  <c r="I37" i="43"/>
  <c r="K37" i="43"/>
  <c r="O37" i="43"/>
  <c r="J69" i="43"/>
  <c r="N69" i="43"/>
  <c r="I69" i="43"/>
  <c r="K69" i="43"/>
  <c r="O69" i="43"/>
  <c r="I62" i="43"/>
  <c r="K62" i="43"/>
  <c r="O62" i="43"/>
  <c r="J62" i="43"/>
  <c r="N62" i="43"/>
  <c r="J48" i="43"/>
  <c r="N48" i="43"/>
  <c r="I48" i="43"/>
  <c r="K48" i="43"/>
  <c r="O48" i="43"/>
  <c r="I38" i="43"/>
  <c r="K38" i="43"/>
  <c r="O38" i="43"/>
  <c r="J38" i="43"/>
  <c r="N38" i="43"/>
  <c r="I11" i="43"/>
  <c r="K11" i="43"/>
  <c r="O11" i="43"/>
  <c r="J11" i="43"/>
  <c r="N11" i="43"/>
  <c r="M38" i="40"/>
  <c r="BG133" i="40"/>
  <c r="BL133" i="40"/>
  <c r="BP133" i="40"/>
  <c r="BT133" i="40"/>
  <c r="BX133" i="40"/>
  <c r="CB133" i="40"/>
  <c r="CF133" i="40"/>
  <c r="CJ133" i="40"/>
  <c r="BM133" i="40"/>
  <c r="BQ133" i="40"/>
  <c r="BU133" i="40"/>
  <c r="BY133" i="40"/>
  <c r="CC133" i="40"/>
  <c r="CG133" i="40"/>
  <c r="CK133" i="40"/>
  <c r="BN133" i="40"/>
  <c r="BR133" i="40"/>
  <c r="BV133" i="40"/>
  <c r="BZ133" i="40"/>
  <c r="CD133" i="40"/>
  <c r="CH133" i="40"/>
  <c r="CL133" i="40"/>
  <c r="BO133" i="40"/>
  <c r="BS133" i="40"/>
  <c r="BW133" i="40"/>
  <c r="CA133" i="40"/>
  <c r="CE133" i="40"/>
  <c r="CI133" i="40"/>
  <c r="BH168" i="40"/>
  <c r="BF168" i="40"/>
  <c r="O4" i="41"/>
  <c r="G4" i="41"/>
  <c r="I4" i="41" s="1"/>
  <c r="J4" i="41" s="1"/>
  <c r="BH115" i="40"/>
  <c r="S229" i="40"/>
  <c r="S226" i="40"/>
  <c r="AT87" i="40"/>
  <c r="AU87" i="40" s="1"/>
  <c r="O28" i="19"/>
  <c r="V206" i="40"/>
  <c r="V209" i="40" s="1"/>
  <c r="V210" i="40" s="1"/>
  <c r="T206" i="40"/>
  <c r="M174" i="40"/>
  <c r="M175" i="40" s="1"/>
  <c r="M176" i="40" s="1"/>
  <c r="AB214" i="40"/>
  <c r="Z206" i="40"/>
  <c r="Z209" i="40" s="1"/>
  <c r="Z210" i="40" s="1"/>
  <c r="G262" i="40"/>
  <c r="G263" i="40" s="1"/>
  <c r="J317" i="40"/>
  <c r="J315" i="40"/>
  <c r="S206" i="40"/>
  <c r="Q206" i="40"/>
  <c r="G8" i="43"/>
  <c r="P206" i="40"/>
  <c r="B39" i="40"/>
  <c r="BG28" i="40" s="1"/>
  <c r="G53" i="40"/>
  <c r="G54" i="40" s="1"/>
  <c r="G14" i="43" s="1"/>
  <c r="P35" i="40"/>
  <c r="P36" i="40" s="1"/>
  <c r="J35" i="40"/>
  <c r="J36" i="40" s="1"/>
  <c r="N51" i="40"/>
  <c r="N52" i="40" s="1"/>
  <c r="G246" i="40"/>
  <c r="H249" i="40" s="1"/>
  <c r="AM154" i="40"/>
  <c r="H302" i="40"/>
  <c r="AF369" i="40"/>
  <c r="AG369" i="40" s="1"/>
  <c r="AO369" i="40" s="1"/>
  <c r="AS369" i="40" s="1"/>
  <c r="AU369" i="40" s="1"/>
  <c r="T72" i="40"/>
  <c r="T55" i="40"/>
  <c r="AV53" i="40"/>
  <c r="AX52" i="40" s="1"/>
  <c r="AL297" i="40"/>
  <c r="AN297" i="40"/>
  <c r="AF298" i="40"/>
  <c r="AG298" i="40" s="1"/>
  <c r="AO298" i="40" s="1"/>
  <c r="AS298" i="40" s="1"/>
  <c r="AU298" i="40" s="1"/>
  <c r="G56" i="40"/>
  <c r="E57" i="40" s="1"/>
  <c r="H56" i="40"/>
  <c r="H279" i="40"/>
  <c r="H280" i="40" s="1"/>
  <c r="G279" i="40"/>
  <c r="G280" i="40" s="1"/>
  <c r="AK316" i="40"/>
  <c r="AK308" i="40"/>
  <c r="AD316" i="40" s="1"/>
  <c r="K51" i="40"/>
  <c r="K52" i="40" s="1"/>
  <c r="J51" i="40"/>
  <c r="J52" i="40" s="1"/>
  <c r="S49" i="40"/>
  <c r="BA52" i="40"/>
  <c r="AL154" i="40"/>
  <c r="AF157" i="40"/>
  <c r="AJ157" i="40" s="1"/>
  <c r="AR157" i="40" s="1"/>
  <c r="AL156" i="40"/>
  <c r="AS156" i="40" s="1"/>
  <c r="AU156" i="40" s="1"/>
  <c r="AT335" i="40"/>
  <c r="AU335" i="40" s="1"/>
  <c r="AL368" i="40"/>
  <c r="I150" i="39"/>
  <c r="R21" i="39" s="1"/>
  <c r="AK193" i="40"/>
  <c r="M108" i="40"/>
  <c r="K109" i="40" s="1"/>
  <c r="AF334" i="40"/>
  <c r="AG334" i="40" s="1"/>
  <c r="AO334" i="40" s="1"/>
  <c r="AS334" i="40" s="1"/>
  <c r="AU334" i="40" s="1"/>
  <c r="AN333" i="40"/>
  <c r="AI336" i="40"/>
  <c r="AQ336" i="40" s="1"/>
  <c r="AG336" i="40"/>
  <c r="AO336" i="40" s="1"/>
  <c r="AF158" i="40"/>
  <c r="AG158" i="40" s="1"/>
  <c r="AO158" i="40" s="1"/>
  <c r="AS158" i="40" s="1"/>
  <c r="AU158" i="40" s="1"/>
  <c r="AN157" i="40"/>
  <c r="AL157" i="40"/>
  <c r="AF195" i="40"/>
  <c r="AL194" i="40"/>
  <c r="AN194" i="40"/>
  <c r="AL159" i="40"/>
  <c r="AF160" i="40"/>
  <c r="AN159" i="40"/>
  <c r="AN192" i="40"/>
  <c r="AF193" i="40"/>
  <c r="AG193" i="40" s="1"/>
  <c r="AO193" i="40" s="1"/>
  <c r="AS193" i="40" s="1"/>
  <c r="AU193" i="40" s="1"/>
  <c r="AM367" i="40"/>
  <c r="AL367" i="40"/>
  <c r="AF368" i="40"/>
  <c r="D247" i="40"/>
  <c r="D249" i="40"/>
  <c r="B250" i="40" s="1"/>
  <c r="E249" i="40"/>
  <c r="B302" i="40"/>
  <c r="AG326" i="40"/>
  <c r="AD330" i="40" s="1"/>
  <c r="AK330" i="40"/>
  <c r="AK333" i="40"/>
  <c r="AL333" i="40" s="1"/>
  <c r="AJ326" i="40"/>
  <c r="AD333" i="40" s="1"/>
  <c r="AK331" i="40"/>
  <c r="E302" i="40"/>
  <c r="AH326" i="40"/>
  <c r="AD331" i="40" s="1"/>
  <c r="AK192" i="40"/>
  <c r="AL192" i="40" s="1"/>
  <c r="AJ185" i="40"/>
  <c r="AD192" i="40" s="1"/>
  <c r="H204" i="40"/>
  <c r="J207" i="40"/>
  <c r="H213" i="40"/>
  <c r="H207" i="40"/>
  <c r="G208" i="40" s="1"/>
  <c r="B222" i="40"/>
  <c r="D225" i="40"/>
  <c r="D226" i="40" s="1"/>
  <c r="B231" i="40"/>
  <c r="Q223" i="40"/>
  <c r="T222" i="40"/>
  <c r="T223" i="40" s="1"/>
  <c r="V225" i="40"/>
  <c r="T231" i="40"/>
  <c r="T225" i="40"/>
  <c r="AK27" i="19"/>
  <c r="AJ27" i="19"/>
  <c r="AI27" i="19"/>
  <c r="AD28" i="19"/>
  <c r="Q28" i="19"/>
  <c r="C44" i="41"/>
  <c r="A163" i="39"/>
  <c r="AP28" i="19"/>
  <c r="U28" i="19"/>
  <c r="AL26" i="19"/>
  <c r="AM26" i="19"/>
  <c r="AA28" i="19"/>
  <c r="AB28" i="19" s="1"/>
  <c r="B29" i="19"/>
  <c r="A30" i="19"/>
  <c r="L29" i="19"/>
  <c r="N29" i="19" s="1"/>
  <c r="Y209" i="40"/>
  <c r="Y210" i="40" s="1"/>
  <c r="W209" i="40"/>
  <c r="W210" i="40" s="1"/>
  <c r="W227" i="40"/>
  <c r="W228" i="40" s="1"/>
  <c r="T267" i="40"/>
  <c r="K319" i="40"/>
  <c r="K320" i="40" s="1"/>
  <c r="J319" i="40"/>
  <c r="H320" i="40" s="1"/>
  <c r="W267" i="40"/>
  <c r="E69" i="43"/>
  <c r="C69" i="43"/>
  <c r="K221" i="40"/>
  <c r="BE222" i="40" s="1"/>
  <c r="E205" i="40"/>
  <c r="D206" i="40" s="1"/>
  <c r="H205" i="40"/>
  <c r="AM365" i="40"/>
  <c r="AF366" i="40"/>
  <c r="AN364" i="40"/>
  <c r="AF365" i="40"/>
  <c r="AG365" i="40" s="1"/>
  <c r="AO365" i="40" s="1"/>
  <c r="AL364" i="40"/>
  <c r="AL365" i="40"/>
  <c r="D108" i="40"/>
  <c r="E108" i="40"/>
  <c r="E109" i="40" s="1"/>
  <c r="G70" i="43"/>
  <c r="B69" i="43"/>
  <c r="AM189" i="40"/>
  <c r="AL189" i="40"/>
  <c r="AF190" i="40"/>
  <c r="AI154" i="40"/>
  <c r="AQ154" i="40" s="1"/>
  <c r="AJ155" i="40"/>
  <c r="AR155" i="40" s="1"/>
  <c r="AH155" i="40"/>
  <c r="AP155" i="40" s="1"/>
  <c r="AT155" i="40" s="1"/>
  <c r="AU155" i="40" s="1"/>
  <c r="K205" i="40"/>
  <c r="AN188" i="40"/>
  <c r="AL188" i="40"/>
  <c r="AF189" i="40"/>
  <c r="AG189" i="40" s="1"/>
  <c r="AO189" i="40" s="1"/>
  <c r="AE187" i="40"/>
  <c r="M178" i="40"/>
  <c r="K179" i="40" s="1"/>
  <c r="BJ168" i="40" s="1"/>
  <c r="W56" i="40"/>
  <c r="W57" i="40" s="1"/>
  <c r="V56" i="40"/>
  <c r="Q38" i="40"/>
  <c r="Q39" i="40" s="1"/>
  <c r="J38" i="40"/>
  <c r="H39" i="40" s="1"/>
  <c r="K143" i="40"/>
  <c r="K144" i="40" s="1"/>
  <c r="BJ133" i="40" s="1"/>
  <c r="J143" i="40"/>
  <c r="H144" i="40" s="1"/>
  <c r="BI133" i="40" s="1"/>
  <c r="Q97" i="43"/>
  <c r="T97" i="43"/>
  <c r="R97" i="43"/>
  <c r="S97" i="43"/>
  <c r="AA27" i="19" l="1"/>
  <c r="AB27" i="19" s="1"/>
  <c r="I157" i="39"/>
  <c r="Q22" i="39" s="1"/>
  <c r="AT153" i="40"/>
  <c r="AU153" i="40" s="1"/>
  <c r="I152" i="39"/>
  <c r="T21" i="39" s="1"/>
  <c r="X21" i="39" s="1"/>
  <c r="I151" i="39"/>
  <c r="S21" i="39" s="1"/>
  <c r="W21" i="39" s="1"/>
  <c r="I158" i="39"/>
  <c r="R22" i="39" s="1"/>
  <c r="V22" i="39" s="1"/>
  <c r="H44" i="41"/>
  <c r="W28" i="19"/>
  <c r="V28" i="19"/>
  <c r="I160" i="39"/>
  <c r="T22" i="39" s="1"/>
  <c r="X22" i="39" s="1"/>
  <c r="I159" i="39"/>
  <c r="S22" i="39" s="1"/>
  <c r="W22" i="39" s="1"/>
  <c r="BF239" i="40"/>
  <c r="BG239" i="40"/>
  <c r="BH239" i="40"/>
  <c r="BK239" i="40"/>
  <c r="BI239" i="40"/>
  <c r="BJ239" i="40"/>
  <c r="BI28" i="40"/>
  <c r="BF28" i="40"/>
  <c r="BH28" i="40"/>
  <c r="BF291" i="40"/>
  <c r="BG291" i="40"/>
  <c r="BH291" i="40"/>
  <c r="BK291" i="40"/>
  <c r="BI291" i="40"/>
  <c r="BJ291" i="40"/>
  <c r="AT159" i="40"/>
  <c r="AU159" i="40" s="1"/>
  <c r="AE328" i="40"/>
  <c r="BM291" i="40"/>
  <c r="BO291" i="40"/>
  <c r="BQ291" i="40"/>
  <c r="BS291" i="40"/>
  <c r="BU291" i="40"/>
  <c r="BW291" i="40"/>
  <c r="BY291" i="40"/>
  <c r="CA291" i="40"/>
  <c r="CC291" i="40"/>
  <c r="CE291" i="40"/>
  <c r="CG291" i="40"/>
  <c r="CI291" i="40"/>
  <c r="CK291" i="40"/>
  <c r="BL291" i="40"/>
  <c r="BN291" i="40"/>
  <c r="BP291" i="40"/>
  <c r="BR291" i="40"/>
  <c r="BT291" i="40"/>
  <c r="BV291" i="40"/>
  <c r="BX291" i="40"/>
  <c r="BZ291" i="40"/>
  <c r="CB291" i="40"/>
  <c r="CD291" i="40"/>
  <c r="CF291" i="40"/>
  <c r="CH291" i="40"/>
  <c r="CJ291" i="40"/>
  <c r="CL291" i="40"/>
  <c r="BL239" i="40"/>
  <c r="BN239" i="40"/>
  <c r="BP239" i="40"/>
  <c r="BR239" i="40"/>
  <c r="BT239" i="40"/>
  <c r="BV239" i="40"/>
  <c r="BX239" i="40"/>
  <c r="BZ239" i="40"/>
  <c r="CB239" i="40"/>
  <c r="CD239" i="40"/>
  <c r="CF239" i="40"/>
  <c r="CH239" i="40"/>
  <c r="CJ239" i="40"/>
  <c r="CL239" i="40"/>
  <c r="BM239" i="40"/>
  <c r="BO239" i="40"/>
  <c r="BQ239" i="40"/>
  <c r="BS239" i="40"/>
  <c r="BU239" i="40"/>
  <c r="BW239" i="40"/>
  <c r="BY239" i="40"/>
  <c r="CA239" i="40"/>
  <c r="CC239" i="40"/>
  <c r="CE239" i="40"/>
  <c r="CG239" i="40"/>
  <c r="CI239" i="40"/>
  <c r="CK239" i="40"/>
  <c r="AT297" i="40"/>
  <c r="AU297" i="40" s="1"/>
  <c r="J14" i="43"/>
  <c r="N14" i="43"/>
  <c r="I14" i="43"/>
  <c r="K14" i="43"/>
  <c r="O14" i="43"/>
  <c r="J8" i="43"/>
  <c r="N8" i="43"/>
  <c r="I8" i="43"/>
  <c r="K8" i="43"/>
  <c r="O8" i="43"/>
  <c r="J70" i="43"/>
  <c r="N70" i="43"/>
  <c r="I70" i="43"/>
  <c r="K70" i="43"/>
  <c r="O70" i="43"/>
  <c r="N178" i="40"/>
  <c r="BI168" i="40"/>
  <c r="BH46" i="40"/>
  <c r="AS154" i="40"/>
  <c r="AU154" i="40" s="1"/>
  <c r="K38" i="40"/>
  <c r="K39" i="40" s="1"/>
  <c r="BJ28" i="40" s="1"/>
  <c r="BY28" i="40"/>
  <c r="K4" i="41"/>
  <c r="L4" i="41" s="1"/>
  <c r="CL29" i="40"/>
  <c r="O29" i="19"/>
  <c r="P38" i="40"/>
  <c r="N39" i="40" s="1"/>
  <c r="BK28" i="40" s="1"/>
  <c r="T57" i="40"/>
  <c r="AI156" i="40"/>
  <c r="AQ156" i="40" s="1"/>
  <c r="G264" i="40"/>
  <c r="G266" i="40"/>
  <c r="E267" i="40" s="1"/>
  <c r="H266" i="40"/>
  <c r="D209" i="40"/>
  <c r="D210" i="40" s="1"/>
  <c r="E206" i="40"/>
  <c r="G206" i="40"/>
  <c r="T224" i="40"/>
  <c r="T227" i="40" s="1"/>
  <c r="T228" i="40" s="1"/>
  <c r="V224" i="40"/>
  <c r="V227" i="40" s="1"/>
  <c r="V228" i="40" s="1"/>
  <c r="M206" i="40"/>
  <c r="K206" i="40"/>
  <c r="N206" i="40"/>
  <c r="J206" i="40"/>
  <c r="H206" i="40"/>
  <c r="Q224" i="40"/>
  <c r="S224" i="40"/>
  <c r="S227" i="40" s="1"/>
  <c r="P224" i="40"/>
  <c r="G9" i="43"/>
  <c r="G281" i="40"/>
  <c r="G249" i="40"/>
  <c r="E250" i="40" s="1"/>
  <c r="G247" i="40"/>
  <c r="AH157" i="40"/>
  <c r="AP157" i="40" s="1"/>
  <c r="AT157" i="40" s="1"/>
  <c r="AU157" i="40" s="1"/>
  <c r="J53" i="40"/>
  <c r="J54" i="40" s="1"/>
  <c r="G15" i="43" s="1"/>
  <c r="M51" i="40"/>
  <c r="M207" i="40"/>
  <c r="K207" i="40"/>
  <c r="J208" i="40" s="1"/>
  <c r="U22" i="39"/>
  <c r="E72" i="40"/>
  <c r="P51" i="40"/>
  <c r="P52" i="40" s="1"/>
  <c r="Q51" i="40"/>
  <c r="Q52" i="40" s="1"/>
  <c r="AN315" i="40"/>
  <c r="AL315" i="40"/>
  <c r="AF316" i="40"/>
  <c r="AG316" i="40" s="1"/>
  <c r="AO316" i="40" s="1"/>
  <c r="AS316" i="40" s="1"/>
  <c r="AU316" i="40" s="1"/>
  <c r="AZ52" i="40"/>
  <c r="BA53" i="40"/>
  <c r="AW53" i="40"/>
  <c r="AV65" i="40"/>
  <c r="K213" i="40"/>
  <c r="E66" i="40"/>
  <c r="D67" i="40" s="1"/>
  <c r="V21" i="39"/>
  <c r="T49" i="40"/>
  <c r="AS367" i="40"/>
  <c r="AU367" i="40" s="1"/>
  <c r="AT194" i="40"/>
  <c r="AU194" i="40" s="1"/>
  <c r="AI160" i="40"/>
  <c r="AQ160" i="40" s="1"/>
  <c r="AG160" i="40"/>
  <c r="AO160" i="40" s="1"/>
  <c r="AG195" i="40"/>
  <c r="AO195" i="40" s="1"/>
  <c r="AI195" i="40"/>
  <c r="AQ195" i="40" s="1"/>
  <c r="AM332" i="40"/>
  <c r="AL332" i="40"/>
  <c r="AF333" i="40"/>
  <c r="AJ368" i="40"/>
  <c r="AR368" i="40" s="1"/>
  <c r="AH368" i="40"/>
  <c r="AP368" i="40" s="1"/>
  <c r="AT368" i="40" s="1"/>
  <c r="AU368" i="40" s="1"/>
  <c r="AI367" i="40"/>
  <c r="AQ367" i="40" s="1"/>
  <c r="AM330" i="40"/>
  <c r="AF331" i="40"/>
  <c r="AL330" i="40"/>
  <c r="AL329" i="40"/>
  <c r="AN329" i="40"/>
  <c r="AF330" i="40"/>
  <c r="AG330" i="40" s="1"/>
  <c r="AO330" i="40" s="1"/>
  <c r="AG272" i="40"/>
  <c r="AD276" i="40" s="1"/>
  <c r="AK276" i="40"/>
  <c r="AM191" i="40"/>
  <c r="AF192" i="40"/>
  <c r="AL191" i="40"/>
  <c r="H223" i="40"/>
  <c r="K222" i="40"/>
  <c r="K223" i="40" s="1"/>
  <c r="K231" i="40"/>
  <c r="M225" i="40"/>
  <c r="AT364" i="40"/>
  <c r="AU364" i="40" s="1"/>
  <c r="AD29" i="19"/>
  <c r="Q29" i="19"/>
  <c r="C46" i="41"/>
  <c r="A171" i="39"/>
  <c r="AP29" i="19"/>
  <c r="U29" i="19"/>
  <c r="AL27" i="19"/>
  <c r="AM27" i="19"/>
  <c r="B30" i="19"/>
  <c r="A31" i="19"/>
  <c r="L30" i="19"/>
  <c r="N30" i="19" s="1"/>
  <c r="AJ28" i="19"/>
  <c r="AK28" i="19"/>
  <c r="AI28" i="19"/>
  <c r="V212" i="40"/>
  <c r="S209" i="40"/>
  <c r="T209" i="40"/>
  <c r="T210" i="40" s="1"/>
  <c r="Z214" i="40"/>
  <c r="Z215" i="40" s="1"/>
  <c r="W214" i="40"/>
  <c r="Y214" i="40"/>
  <c r="Y212" i="40"/>
  <c r="AT188" i="40"/>
  <c r="AU188" i="40" s="1"/>
  <c r="AS189" i="40"/>
  <c r="AU189" i="40" s="1"/>
  <c r="E70" i="43"/>
  <c r="C70" i="43"/>
  <c r="B109" i="40"/>
  <c r="BJ98" i="40" s="1"/>
  <c r="Q214" i="40"/>
  <c r="AS365" i="40"/>
  <c r="AU365" i="40" s="1"/>
  <c r="AJ366" i="40"/>
  <c r="AR366" i="40" s="1"/>
  <c r="AH366" i="40"/>
  <c r="AP366" i="40" s="1"/>
  <c r="AT366" i="40" s="1"/>
  <c r="AU366" i="40" s="1"/>
  <c r="AI365" i="40"/>
  <c r="AQ365" i="40" s="1"/>
  <c r="B223" i="40"/>
  <c r="G71" i="43"/>
  <c r="B70" i="43"/>
  <c r="AE257" i="40"/>
  <c r="AJ190" i="40"/>
  <c r="AR190" i="40" s="1"/>
  <c r="AH190" i="40"/>
  <c r="AP190" i="40" s="1"/>
  <c r="AT190" i="40" s="1"/>
  <c r="AU190" i="40" s="1"/>
  <c r="AI189" i="40"/>
  <c r="AQ189" i="40" s="1"/>
  <c r="Z28" i="19" l="1"/>
  <c r="I165" i="39" s="1"/>
  <c r="Q23" i="39" s="1"/>
  <c r="U23" i="39" s="1"/>
  <c r="H46" i="41"/>
  <c r="W29" i="19"/>
  <c r="Z29" i="19" s="1"/>
  <c r="V29" i="19"/>
  <c r="BH98" i="40"/>
  <c r="BF98" i="40"/>
  <c r="BI98" i="40"/>
  <c r="AT315" i="40"/>
  <c r="AU315" i="40" s="1"/>
  <c r="I15" i="43"/>
  <c r="K15" i="43"/>
  <c r="O15" i="43"/>
  <c r="J15" i="43"/>
  <c r="N15" i="43"/>
  <c r="I9" i="43"/>
  <c r="K9" i="43"/>
  <c r="O9" i="43"/>
  <c r="J9" i="43"/>
  <c r="N9" i="43"/>
  <c r="I71" i="43"/>
  <c r="K71" i="43"/>
  <c r="O71" i="43"/>
  <c r="J71" i="43"/>
  <c r="N71" i="43"/>
  <c r="BV28" i="40"/>
  <c r="CE29" i="40"/>
  <c r="CL28" i="40"/>
  <c r="BO28" i="40"/>
  <c r="CH29" i="40"/>
  <c r="CI29" i="40"/>
  <c r="CG28" i="40"/>
  <c r="BQ28" i="40"/>
  <c r="CD28" i="40"/>
  <c r="CE28" i="40"/>
  <c r="BX28" i="40"/>
  <c r="CF29" i="40"/>
  <c r="CJ29" i="40"/>
  <c r="CG29" i="40"/>
  <c r="CK29" i="40"/>
  <c r="CK28" i="40"/>
  <c r="CC28" i="40"/>
  <c r="BU28" i="40"/>
  <c r="BM28" i="40"/>
  <c r="CH28" i="40"/>
  <c r="BZ28" i="40"/>
  <c r="BN28" i="40"/>
  <c r="BW28" i="40"/>
  <c r="CF28" i="40"/>
  <c r="BP28" i="40"/>
  <c r="BR28" i="40"/>
  <c r="CI28" i="40"/>
  <c r="CA28" i="40"/>
  <c r="BS28" i="40"/>
  <c r="CJ28" i="40"/>
  <c r="CB28" i="40"/>
  <c r="BT28" i="40"/>
  <c r="BL28" i="40"/>
  <c r="BG98" i="40"/>
  <c r="BL98" i="40"/>
  <c r="BP98" i="40"/>
  <c r="BT98" i="40"/>
  <c r="BX98" i="40"/>
  <c r="CB98" i="40"/>
  <c r="CF98" i="40"/>
  <c r="CJ98" i="40"/>
  <c r="BM98" i="40"/>
  <c r="BQ98" i="40"/>
  <c r="BU98" i="40"/>
  <c r="BY98" i="40"/>
  <c r="CC98" i="40"/>
  <c r="CG98" i="40"/>
  <c r="CK98" i="40"/>
  <c r="BN98" i="40"/>
  <c r="BR98" i="40"/>
  <c r="BV98" i="40"/>
  <c r="BZ98" i="40"/>
  <c r="CD98" i="40"/>
  <c r="CH98" i="40"/>
  <c r="CL98" i="40"/>
  <c r="BO98" i="40"/>
  <c r="BS98" i="40"/>
  <c r="BW98" i="40"/>
  <c r="CA98" i="40"/>
  <c r="CE98" i="40"/>
  <c r="CI98" i="40"/>
  <c r="M4" i="41"/>
  <c r="N4" i="41" s="1"/>
  <c r="L90" i="43" s="1"/>
  <c r="S50" i="40"/>
  <c r="S51" i="40" s="1"/>
  <c r="S52" i="40" s="1"/>
  <c r="V49" i="40"/>
  <c r="V50" i="40" s="1"/>
  <c r="O30" i="19"/>
  <c r="J56" i="40"/>
  <c r="H57" i="40" s="1"/>
  <c r="BI46" i="40" s="1"/>
  <c r="T51" i="40"/>
  <c r="T52" i="40" s="1"/>
  <c r="K224" i="40"/>
  <c r="M224" i="40"/>
  <c r="N224" i="40"/>
  <c r="K56" i="40"/>
  <c r="D224" i="40"/>
  <c r="E224" i="40"/>
  <c r="J224" i="40"/>
  <c r="H224" i="40"/>
  <c r="H227" i="40" s="1"/>
  <c r="H228" i="40" s="1"/>
  <c r="G224" i="40"/>
  <c r="G227" i="40" s="1"/>
  <c r="G228" i="40" s="1"/>
  <c r="D68" i="40"/>
  <c r="D69" i="40" s="1"/>
  <c r="E68" i="40"/>
  <c r="E69" i="40" s="1"/>
  <c r="M52" i="40"/>
  <c r="M53" i="40" s="1"/>
  <c r="P53" i="40"/>
  <c r="P56" i="40" s="1"/>
  <c r="AK279" i="40"/>
  <c r="AJ272" i="40"/>
  <c r="AD279" i="40" s="1"/>
  <c r="K225" i="40"/>
  <c r="J226" i="40" s="1"/>
  <c r="J227" i="40" s="1"/>
  <c r="H72" i="40"/>
  <c r="G66" i="40"/>
  <c r="AH97" i="40"/>
  <c r="AD102" i="40" s="1"/>
  <c r="AK102" i="40"/>
  <c r="H66" i="40"/>
  <c r="G67" i="40" s="1"/>
  <c r="AV66" i="40"/>
  <c r="AX65" i="40" s="1"/>
  <c r="BA65" i="40"/>
  <c r="AY64" i="40"/>
  <c r="H284" i="40"/>
  <c r="G284" i="40"/>
  <c r="E285" i="40" s="1"/>
  <c r="G282" i="40"/>
  <c r="Q56" i="40"/>
  <c r="AS191" i="40"/>
  <c r="AU191" i="40" s="1"/>
  <c r="AT329" i="40"/>
  <c r="AU329" i="40" s="1"/>
  <c r="V230" i="40"/>
  <c r="W232" i="40"/>
  <c r="W233" i="40" s="1"/>
  <c r="V232" i="40"/>
  <c r="AS330" i="40"/>
  <c r="AU330" i="40" s="1"/>
  <c r="AS332" i="40"/>
  <c r="AU332" i="40" s="1"/>
  <c r="Q232" i="40"/>
  <c r="AL275" i="40"/>
  <c r="AN275" i="40" s="1"/>
  <c r="AT275" i="40" s="1"/>
  <c r="AU275" i="40" s="1"/>
  <c r="AF276" i="40"/>
  <c r="AG276" i="40" s="1"/>
  <c r="AO276" i="40" s="1"/>
  <c r="AS276" i="40" s="1"/>
  <c r="AU276" i="40" s="1"/>
  <c r="AH333" i="40"/>
  <c r="AP333" i="40" s="1"/>
  <c r="AT333" i="40" s="1"/>
  <c r="AU333" i="40" s="1"/>
  <c r="AI332" i="40"/>
  <c r="AQ332" i="40" s="1"/>
  <c r="AJ333" i="40"/>
  <c r="AR333" i="40" s="1"/>
  <c r="AH331" i="40"/>
  <c r="AP331" i="40" s="1"/>
  <c r="AT331" i="40" s="1"/>
  <c r="AU331" i="40" s="1"/>
  <c r="AJ331" i="40"/>
  <c r="AR331" i="40" s="1"/>
  <c r="AI330" i="40"/>
  <c r="AQ330" i="40" s="1"/>
  <c r="AI191" i="40"/>
  <c r="AQ191" i="40" s="1"/>
  <c r="AH192" i="40"/>
  <c r="AP192" i="40" s="1"/>
  <c r="AT192" i="40" s="1"/>
  <c r="AU192" i="40" s="1"/>
  <c r="AJ192" i="40"/>
  <c r="AR192" i="40" s="1"/>
  <c r="AM28" i="19"/>
  <c r="AL28" i="19"/>
  <c r="AD30" i="19"/>
  <c r="Q30" i="19"/>
  <c r="C48" i="41"/>
  <c r="A179" i="39"/>
  <c r="AP30" i="19"/>
  <c r="U30" i="19"/>
  <c r="B31" i="19"/>
  <c r="A32" i="19"/>
  <c r="L31" i="19"/>
  <c r="N31" i="19" s="1"/>
  <c r="AJ29" i="19"/>
  <c r="AI29" i="19"/>
  <c r="AK29" i="19"/>
  <c r="V214" i="40"/>
  <c r="E209" i="40"/>
  <c r="G209" i="40"/>
  <c r="G210" i="40" s="1"/>
  <c r="H209" i="40"/>
  <c r="H210" i="40" s="1"/>
  <c r="J209" i="40"/>
  <c r="J210" i="40" s="1"/>
  <c r="K209" i="40"/>
  <c r="K210" i="40" s="1"/>
  <c r="T232" i="40"/>
  <c r="S230" i="40"/>
  <c r="S214" i="40"/>
  <c r="S212" i="40"/>
  <c r="W215" i="40"/>
  <c r="E71" i="43"/>
  <c r="C71" i="43"/>
  <c r="S232" i="40"/>
  <c r="T214" i="40"/>
  <c r="AW204" i="40"/>
  <c r="G72" i="43"/>
  <c r="B71" i="43"/>
  <c r="I21" i="41"/>
  <c r="J21" i="41" s="1"/>
  <c r="K21" i="41" s="1"/>
  <c r="L21" i="41" s="1"/>
  <c r="O21" i="41"/>
  <c r="I168" i="39" l="1"/>
  <c r="T23" i="39" s="1"/>
  <c r="X23" i="39" s="1"/>
  <c r="I166" i="39"/>
  <c r="R23" i="39" s="1"/>
  <c r="V23" i="39" s="1"/>
  <c r="I167" i="39"/>
  <c r="S23" i="39" s="1"/>
  <c r="W23" i="39" s="1"/>
  <c r="AA29" i="19"/>
  <c r="AB29" i="19" s="1"/>
  <c r="I176" i="39"/>
  <c r="T24" i="39" s="1"/>
  <c r="X24" i="39" s="1"/>
  <c r="I174" i="39"/>
  <c r="R24" i="39" s="1"/>
  <c r="V24" i="39" s="1"/>
  <c r="H48" i="41"/>
  <c r="W30" i="19"/>
  <c r="V30" i="19"/>
  <c r="I173" i="39"/>
  <c r="Q24" i="39" s="1"/>
  <c r="U24" i="39" s="1"/>
  <c r="I175" i="39"/>
  <c r="S24" i="39" s="1"/>
  <c r="W24" i="39" s="1"/>
  <c r="J72" i="43"/>
  <c r="N72" i="43"/>
  <c r="I72" i="43"/>
  <c r="K72" i="43"/>
  <c r="O72" i="43"/>
  <c r="W51" i="40"/>
  <c r="W52" i="40" s="1"/>
  <c r="V51" i="40"/>
  <c r="V52" i="40" s="1"/>
  <c r="V53" i="40" s="1"/>
  <c r="V54" i="40" s="1"/>
  <c r="G19" i="43" s="1"/>
  <c r="P54" i="40"/>
  <c r="G17" i="43" s="1"/>
  <c r="BS46" i="40"/>
  <c r="CA46" i="40"/>
  <c r="CI46" i="40"/>
  <c r="BR46" i="40"/>
  <c r="BZ46" i="40"/>
  <c r="CH46" i="40"/>
  <c r="BM46" i="40"/>
  <c r="BU46" i="40"/>
  <c r="CC46" i="40"/>
  <c r="CL46" i="40"/>
  <c r="BP46" i="40"/>
  <c r="BX46" i="40"/>
  <c r="CF46" i="40"/>
  <c r="BO46" i="40"/>
  <c r="BW46" i="40"/>
  <c r="CE46" i="40"/>
  <c r="BN46" i="40"/>
  <c r="BV46" i="40"/>
  <c r="CD46" i="40"/>
  <c r="CJ46" i="40"/>
  <c r="BQ46" i="40"/>
  <c r="BY46" i="40"/>
  <c r="CG46" i="40"/>
  <c r="BL46" i="40"/>
  <c r="BT46" i="40"/>
  <c r="CB46" i="40"/>
  <c r="CK46" i="40"/>
  <c r="K227" i="40"/>
  <c r="K228" i="40" s="1"/>
  <c r="T233" i="40"/>
  <c r="O31" i="19"/>
  <c r="M54" i="40"/>
  <c r="G16" i="43" s="1"/>
  <c r="M56" i="40"/>
  <c r="K57" i="40" s="1"/>
  <c r="BJ46" i="40" s="1"/>
  <c r="N56" i="40"/>
  <c r="N57" i="40" s="1"/>
  <c r="BK46" i="40" s="1"/>
  <c r="S53" i="40"/>
  <c r="S56" i="40" s="1"/>
  <c r="Q57" i="40" s="1"/>
  <c r="E210" i="40"/>
  <c r="D211" i="40" s="1"/>
  <c r="D214" i="40" s="1"/>
  <c r="B215" i="40" s="1"/>
  <c r="BE204" i="40" s="1"/>
  <c r="F5" i="41" s="1"/>
  <c r="G5" i="41" s="1"/>
  <c r="J228" i="40"/>
  <c r="AZ65" i="40"/>
  <c r="AL278" i="40"/>
  <c r="AF279" i="40"/>
  <c r="AM278" i="40"/>
  <c r="AS278" i="40" s="1"/>
  <c r="AU278" i="40" s="1"/>
  <c r="G229" i="40"/>
  <c r="G232" i="40" s="1"/>
  <c r="G211" i="40"/>
  <c r="G212" i="40" s="1"/>
  <c r="J211" i="40"/>
  <c r="K214" i="40" s="1"/>
  <c r="K72" i="40"/>
  <c r="M242" i="40"/>
  <c r="K242" i="40"/>
  <c r="J243" i="40" s="1"/>
  <c r="K248" i="40"/>
  <c r="AV67" i="40"/>
  <c r="K66" i="40"/>
  <c r="BA66" i="40"/>
  <c r="AW66" i="40"/>
  <c r="J66" i="40"/>
  <c r="AL101" i="40"/>
  <c r="AM101" i="40" s="1"/>
  <c r="AS101" i="40" s="1"/>
  <c r="AU101" i="40" s="1"/>
  <c r="AF102" i="40"/>
  <c r="D70" i="40"/>
  <c r="AK97" i="40"/>
  <c r="AD105" i="40" s="1"/>
  <c r="AK105" i="40"/>
  <c r="T215" i="40"/>
  <c r="AD31" i="19"/>
  <c r="Q31" i="19"/>
  <c r="C50" i="41"/>
  <c r="A187" i="39"/>
  <c r="AP31" i="19"/>
  <c r="U31" i="19"/>
  <c r="AJ30" i="19"/>
  <c r="AK30" i="19"/>
  <c r="AI30" i="19"/>
  <c r="AL29" i="19"/>
  <c r="AM29" i="19"/>
  <c r="B32" i="19"/>
  <c r="A33" i="19"/>
  <c r="L32" i="19"/>
  <c r="N32" i="19" s="1"/>
  <c r="D227" i="40"/>
  <c r="E227" i="40"/>
  <c r="E228" i="40" s="1"/>
  <c r="E72" i="43"/>
  <c r="C72" i="43"/>
  <c r="H214" i="40"/>
  <c r="B72" i="43"/>
  <c r="M21" i="41"/>
  <c r="N21" i="41" s="1"/>
  <c r="Z30" i="19" l="1"/>
  <c r="I182" i="39" s="1"/>
  <c r="R25" i="39" s="1"/>
  <c r="V25" i="39" s="1"/>
  <c r="AA30" i="19"/>
  <c r="AB30" i="19" s="1"/>
  <c r="I184" i="39"/>
  <c r="T25" i="39" s="1"/>
  <c r="H50" i="41"/>
  <c r="W31" i="19"/>
  <c r="V31" i="19"/>
  <c r="I183" i="39"/>
  <c r="S25" i="39" s="1"/>
  <c r="W25" i="39" s="1"/>
  <c r="I181" i="39"/>
  <c r="Q25" i="39" s="1"/>
  <c r="U25" i="39" s="1"/>
  <c r="J229" i="40"/>
  <c r="J232" i="40" s="1"/>
  <c r="S54" i="40"/>
  <c r="G18" i="43" s="1"/>
  <c r="J18" i="43" s="1"/>
  <c r="J16" i="43"/>
  <c r="N16" i="43"/>
  <c r="I16" i="43"/>
  <c r="K16" i="43"/>
  <c r="O16" i="43"/>
  <c r="I19" i="43"/>
  <c r="K19" i="43"/>
  <c r="O19" i="43"/>
  <c r="J19" i="43"/>
  <c r="N19" i="43"/>
  <c r="I17" i="43"/>
  <c r="K17" i="43"/>
  <c r="O17" i="43"/>
  <c r="J17" i="43"/>
  <c r="N17" i="43"/>
  <c r="AW64" i="40"/>
  <c r="D73" i="40"/>
  <c r="B74" i="40" s="1"/>
  <c r="BF63" i="40" s="1"/>
  <c r="G214" i="40"/>
  <c r="G230" i="40"/>
  <c r="AJ255" i="40" s="1"/>
  <c r="AD262" i="40" s="1"/>
  <c r="J212" i="40"/>
  <c r="AM237" i="40" s="1"/>
  <c r="AD247" i="40" s="1"/>
  <c r="O32" i="19"/>
  <c r="J214" i="40"/>
  <c r="H215" i="40" s="1"/>
  <c r="J67" i="40"/>
  <c r="D212" i="40"/>
  <c r="G90" i="43" s="1"/>
  <c r="E214" i="40"/>
  <c r="D228" i="40"/>
  <c r="D229" i="40" s="1"/>
  <c r="AJ237" i="40"/>
  <c r="AD244" i="40" s="1"/>
  <c r="AL243" i="40" s="1"/>
  <c r="AM243" i="40" s="1"/>
  <c r="AS243" i="40" s="1"/>
  <c r="AU243" i="40" s="1"/>
  <c r="AK244" i="40"/>
  <c r="AH279" i="40"/>
  <c r="AP279" i="40" s="1"/>
  <c r="AT279" i="40" s="1"/>
  <c r="AU279" i="40" s="1"/>
  <c r="AJ279" i="40"/>
  <c r="AR279" i="40" s="1"/>
  <c r="AI278" i="40"/>
  <c r="AQ278" i="40" s="1"/>
  <c r="H232" i="40"/>
  <c r="X25" i="39"/>
  <c r="M259" i="40"/>
  <c r="K259" i="40"/>
  <c r="J260" i="40" s="1"/>
  <c r="N72" i="40"/>
  <c r="AH102" i="40"/>
  <c r="AP102" i="40" s="1"/>
  <c r="AT102" i="40" s="1"/>
  <c r="AU102" i="40" s="1"/>
  <c r="AJ102" i="40"/>
  <c r="AR102" i="40" s="1"/>
  <c r="AI101" i="40"/>
  <c r="AQ101" i="40" s="1"/>
  <c r="G68" i="40"/>
  <c r="G69" i="40" s="1"/>
  <c r="H68" i="40"/>
  <c r="H69" i="40" s="1"/>
  <c r="AV260" i="40"/>
  <c r="K265" i="40"/>
  <c r="AV68" i="40"/>
  <c r="BA68" i="40" s="1"/>
  <c r="AF105" i="40"/>
  <c r="AG105" i="40" s="1"/>
  <c r="AO105" i="40" s="1"/>
  <c r="AS105" i="40" s="1"/>
  <c r="AU105" i="40" s="1"/>
  <c r="AL104" i="40"/>
  <c r="AN104" i="40" s="1"/>
  <c r="AT104" i="40" s="1"/>
  <c r="AU104" i="40" s="1"/>
  <c r="D71" i="40"/>
  <c r="G21" i="43" s="1"/>
  <c r="E73" i="40"/>
  <c r="M66" i="40"/>
  <c r="AZ67" i="40"/>
  <c r="AX67" i="40"/>
  <c r="AY66" i="40"/>
  <c r="BA67" i="40"/>
  <c r="B33" i="19"/>
  <c r="A34" i="19"/>
  <c r="L33" i="19"/>
  <c r="N33" i="19" s="1"/>
  <c r="AB31" i="19"/>
  <c r="AL30" i="19"/>
  <c r="AM30" i="19"/>
  <c r="AJ31" i="19"/>
  <c r="AI31" i="19"/>
  <c r="AK31" i="19"/>
  <c r="AD32" i="19"/>
  <c r="Q32" i="19"/>
  <c r="C52" i="41"/>
  <c r="A195" i="39"/>
  <c r="AP32" i="19"/>
  <c r="U32" i="19"/>
  <c r="B74" i="43"/>
  <c r="E73" i="43"/>
  <c r="C73" i="43"/>
  <c r="B73" i="43"/>
  <c r="Z31" i="19" l="1"/>
  <c r="I190" i="39" s="1"/>
  <c r="R26" i="39" s="1"/>
  <c r="V26" i="39" s="1"/>
  <c r="AA31" i="19"/>
  <c r="I189" i="39"/>
  <c r="Q26" i="39" s="1"/>
  <c r="U26" i="39" s="1"/>
  <c r="H52" i="41"/>
  <c r="V32" i="19"/>
  <c r="W32" i="19"/>
  <c r="E215" i="40"/>
  <c r="BG204" i="40" s="1"/>
  <c r="K232" i="40"/>
  <c r="BK204" i="40"/>
  <c r="BI204" i="40"/>
  <c r="BF204" i="40"/>
  <c r="BJ204" i="40"/>
  <c r="BH204" i="40"/>
  <c r="J230" i="40"/>
  <c r="AK247" i="40"/>
  <c r="AW222" i="40"/>
  <c r="O18" i="43"/>
  <c r="I18" i="43"/>
  <c r="K18" i="43"/>
  <c r="N18" i="43"/>
  <c r="H233" i="40"/>
  <c r="BM204" i="40"/>
  <c r="BO204" i="40"/>
  <c r="BQ204" i="40"/>
  <c r="BS204" i="40"/>
  <c r="BU204" i="40"/>
  <c r="BW204" i="40"/>
  <c r="BY204" i="40"/>
  <c r="CA204" i="40"/>
  <c r="CC204" i="40"/>
  <c r="CE204" i="40"/>
  <c r="CG204" i="40"/>
  <c r="CI204" i="40"/>
  <c r="CK204" i="40"/>
  <c r="CM204" i="40"/>
  <c r="BL204" i="40"/>
  <c r="BN204" i="40"/>
  <c r="BP204" i="40"/>
  <c r="BR204" i="40"/>
  <c r="BT204" i="40"/>
  <c r="BV204" i="40"/>
  <c r="BX204" i="40"/>
  <c r="BZ204" i="40"/>
  <c r="CB204" i="40"/>
  <c r="CD204" i="40"/>
  <c r="CF204" i="40"/>
  <c r="CH204" i="40"/>
  <c r="CJ204" i="40"/>
  <c r="CL204" i="40"/>
  <c r="CN204" i="40"/>
  <c r="I90" i="43"/>
  <c r="J90" i="43" s="1"/>
  <c r="K90" i="43" s="1"/>
  <c r="AK262" i="40"/>
  <c r="G99" i="43"/>
  <c r="I21" i="43"/>
  <c r="K21" i="43"/>
  <c r="O21" i="43"/>
  <c r="J21" i="43"/>
  <c r="N21" i="43"/>
  <c r="BG63" i="40"/>
  <c r="AF244" i="40"/>
  <c r="AJ244" i="40" s="1"/>
  <c r="AR244" i="40" s="1"/>
  <c r="O33" i="19"/>
  <c r="AK241" i="40"/>
  <c r="AG237" i="40"/>
  <c r="AD241" i="40" s="1"/>
  <c r="C75" i="43"/>
  <c r="G70" i="40"/>
  <c r="G71" i="40" s="1"/>
  <c r="G22" i="43" s="1"/>
  <c r="M277" i="40"/>
  <c r="K277" i="40"/>
  <c r="J278" i="40" s="1"/>
  <c r="J68" i="40"/>
  <c r="K68" i="40"/>
  <c r="K69" i="40" s="1"/>
  <c r="K244" i="40"/>
  <c r="K245" i="40" s="1"/>
  <c r="J244" i="40"/>
  <c r="J245" i="40" s="1"/>
  <c r="G73" i="40"/>
  <c r="E74" i="40" s="1"/>
  <c r="BH63" i="40" s="1"/>
  <c r="H73" i="40"/>
  <c r="Q72" i="40"/>
  <c r="K283" i="40"/>
  <c r="BA260" i="40"/>
  <c r="AY259" i="40"/>
  <c r="AW259" i="40"/>
  <c r="AF262" i="40"/>
  <c r="AL261" i="40"/>
  <c r="AJ32" i="19"/>
  <c r="AK32" i="19"/>
  <c r="AI32" i="19"/>
  <c r="AM31" i="19"/>
  <c r="AL31" i="19"/>
  <c r="AD33" i="19"/>
  <c r="A203" i="39"/>
  <c r="C54" i="41"/>
  <c r="Q33" i="19"/>
  <c r="AP33" i="19"/>
  <c r="U33" i="19"/>
  <c r="B34" i="19"/>
  <c r="L34" i="19"/>
  <c r="N34" i="19" s="1"/>
  <c r="A35" i="19"/>
  <c r="D230" i="40"/>
  <c r="G98" i="43" s="1"/>
  <c r="E232" i="40"/>
  <c r="E233" i="40" s="1"/>
  <c r="D232" i="40"/>
  <c r="B233" i="40" s="1"/>
  <c r="AL246" i="40"/>
  <c r="AN246" i="40" s="1"/>
  <c r="AT246" i="40" s="1"/>
  <c r="AU246" i="40" s="1"/>
  <c r="AF247" i="40"/>
  <c r="E74" i="43"/>
  <c r="C74" i="43"/>
  <c r="B75" i="43"/>
  <c r="I192" i="39" l="1"/>
  <c r="T26" i="39" s="1"/>
  <c r="X26" i="39" s="1"/>
  <c r="I191" i="39"/>
  <c r="S26" i="39" s="1"/>
  <c r="W26" i="39" s="1"/>
  <c r="Z32" i="19"/>
  <c r="AA32" i="19" s="1"/>
  <c r="AB32" i="19" s="1"/>
  <c r="H54" i="41"/>
  <c r="W33" i="19"/>
  <c r="V33" i="19"/>
  <c r="Z33" i="19" s="1"/>
  <c r="AM261" i="40"/>
  <c r="AS261" i="40" s="1"/>
  <c r="AU261" i="40" s="1"/>
  <c r="G100" i="43"/>
  <c r="I100" i="43" s="1"/>
  <c r="J100" i="43" s="1"/>
  <c r="K100" i="43" s="1"/>
  <c r="AM255" i="40"/>
  <c r="AD265" i="40" s="1"/>
  <c r="AK265" i="40"/>
  <c r="AH244" i="40"/>
  <c r="AP244" i="40" s="1"/>
  <c r="AT244" i="40" s="1"/>
  <c r="AU244" i="40" s="1"/>
  <c r="I98" i="43"/>
  <c r="J98" i="43" s="1"/>
  <c r="K98" i="43" s="1"/>
  <c r="I99" i="43"/>
  <c r="J99" i="43" s="1"/>
  <c r="K99" i="43" s="1"/>
  <c r="J22" i="43"/>
  <c r="N22" i="43"/>
  <c r="I22" i="43"/>
  <c r="K22" i="43"/>
  <c r="O22" i="43"/>
  <c r="E75" i="43"/>
  <c r="C76" i="43"/>
  <c r="AI243" i="40"/>
  <c r="AQ243" i="40" s="1"/>
  <c r="O34" i="19"/>
  <c r="J69" i="40"/>
  <c r="J70" i="40" s="1"/>
  <c r="AF241" i="40"/>
  <c r="AG241" i="40" s="1"/>
  <c r="AO241" i="40" s="1"/>
  <c r="AS241" i="40" s="1"/>
  <c r="AU241" i="40" s="1"/>
  <c r="AL240" i="40"/>
  <c r="AN240" i="40" s="1"/>
  <c r="AT240" i="40" s="1"/>
  <c r="AU240" i="40" s="1"/>
  <c r="J246" i="40"/>
  <c r="J249" i="40" s="1"/>
  <c r="H250" i="40" s="1"/>
  <c r="J261" i="40"/>
  <c r="J262" i="40" s="1"/>
  <c r="K261" i="40"/>
  <c r="K262" i="40" s="1"/>
  <c r="AH262" i="40"/>
  <c r="AP262" i="40" s="1"/>
  <c r="AT262" i="40" s="1"/>
  <c r="AU262" i="40" s="1"/>
  <c r="AJ262" i="40"/>
  <c r="AR262" i="40" s="1"/>
  <c r="AI261" i="40"/>
  <c r="AQ261" i="40" s="1"/>
  <c r="I199" i="39"/>
  <c r="S27" i="39" s="1"/>
  <c r="W27" i="39" s="1"/>
  <c r="I200" i="39"/>
  <c r="T27" i="39" s="1"/>
  <c r="X27" i="39" s="1"/>
  <c r="I197" i="39"/>
  <c r="Q27" i="39" s="1"/>
  <c r="I198" i="39"/>
  <c r="R27" i="39" s="1"/>
  <c r="B35" i="19"/>
  <c r="A36" i="19"/>
  <c r="L35" i="19"/>
  <c r="N35" i="19" s="1"/>
  <c r="AD34" i="19"/>
  <c r="Q34" i="19"/>
  <c r="C56" i="41"/>
  <c r="A211" i="39"/>
  <c r="AP34" i="19"/>
  <c r="U34" i="19"/>
  <c r="AM32" i="19"/>
  <c r="AL32" i="19"/>
  <c r="AJ33" i="19"/>
  <c r="AI33" i="19"/>
  <c r="AK33" i="19"/>
  <c r="AK259" i="40"/>
  <c r="AG255" i="40"/>
  <c r="AD259" i="40" s="1"/>
  <c r="AG247" i="40"/>
  <c r="AO247" i="40" s="1"/>
  <c r="AI247" i="40"/>
  <c r="AQ247" i="40" s="1"/>
  <c r="AA33" i="19" l="1"/>
  <c r="AB33" i="19" s="1"/>
  <c r="I207" i="39"/>
  <c r="S28" i="39" s="1"/>
  <c r="W28" i="39" s="1"/>
  <c r="I205" i="39"/>
  <c r="Q28" i="39" s="1"/>
  <c r="I206" i="39"/>
  <c r="R28" i="39" s="1"/>
  <c r="V28" i="39" s="1"/>
  <c r="I208" i="39"/>
  <c r="T28" i="39" s="1"/>
  <c r="H56" i="41"/>
  <c r="V34" i="19"/>
  <c r="W34" i="19"/>
  <c r="Z34" i="19" s="1"/>
  <c r="AA34" i="19" s="1"/>
  <c r="AB34" i="19" s="1"/>
  <c r="AL264" i="40"/>
  <c r="AN264" i="40" s="1"/>
  <c r="AT264" i="40" s="1"/>
  <c r="AU264" i="40" s="1"/>
  <c r="AF265" i="40"/>
  <c r="G77" i="43"/>
  <c r="B76" i="43"/>
  <c r="E76" i="43"/>
  <c r="O35" i="19"/>
  <c r="J71" i="40"/>
  <c r="G23" i="43" s="1"/>
  <c r="K73" i="40"/>
  <c r="J73" i="40"/>
  <c r="H74" i="40" s="1"/>
  <c r="J247" i="40"/>
  <c r="AK282" i="40" s="1"/>
  <c r="K249" i="40"/>
  <c r="J263" i="40"/>
  <c r="J266" i="40" s="1"/>
  <c r="H267" i="40" s="1"/>
  <c r="U27" i="39"/>
  <c r="B89" i="40"/>
  <c r="N213" i="40"/>
  <c r="X28" i="39"/>
  <c r="P207" i="40"/>
  <c r="N207" i="40"/>
  <c r="M208" i="40" s="1"/>
  <c r="V27" i="39"/>
  <c r="D83" i="40"/>
  <c r="E83" i="40"/>
  <c r="U28" i="39"/>
  <c r="E89" i="40"/>
  <c r="K279" i="40"/>
  <c r="K280" i="40" s="1"/>
  <c r="J279" i="40"/>
  <c r="J280" i="40" s="1"/>
  <c r="AJ34" i="19"/>
  <c r="AK34" i="19"/>
  <c r="AI34" i="19"/>
  <c r="AD35" i="19"/>
  <c r="Q35" i="19"/>
  <c r="AP35" i="19"/>
  <c r="U35" i="19"/>
  <c r="A219" i="39"/>
  <c r="C58" i="41"/>
  <c r="AM33" i="19"/>
  <c r="AL33" i="19"/>
  <c r="B36" i="19"/>
  <c r="A37" i="19"/>
  <c r="L36" i="19"/>
  <c r="N36" i="19" s="1"/>
  <c r="AL258" i="40"/>
  <c r="AN258" i="40" s="1"/>
  <c r="AT258" i="40" s="1"/>
  <c r="AU258" i="40" s="1"/>
  <c r="AF259" i="40"/>
  <c r="AG259" i="40" s="1"/>
  <c r="AO259" i="40" s="1"/>
  <c r="AS259" i="40" s="1"/>
  <c r="AU259" i="40" s="1"/>
  <c r="C77" i="43"/>
  <c r="B77" i="43"/>
  <c r="J264" i="40" l="1"/>
  <c r="H58" i="41"/>
  <c r="V35" i="19"/>
  <c r="W35" i="19"/>
  <c r="AG265" i="40"/>
  <c r="AO265" i="40" s="1"/>
  <c r="AI265" i="40"/>
  <c r="AQ265" i="40" s="1"/>
  <c r="I23" i="43"/>
  <c r="K23" i="43"/>
  <c r="O23" i="43"/>
  <c r="J23" i="43"/>
  <c r="N23" i="43"/>
  <c r="I77" i="43"/>
  <c r="K77" i="43"/>
  <c r="O77" i="43"/>
  <c r="J77" i="43"/>
  <c r="N77" i="43"/>
  <c r="BI63" i="40"/>
  <c r="BW63" i="40"/>
  <c r="CH63" i="40"/>
  <c r="BR63" i="40"/>
  <c r="CC63" i="40"/>
  <c r="BM63" i="40"/>
  <c r="BX63" i="40"/>
  <c r="CI63" i="40"/>
  <c r="BS63" i="40"/>
  <c r="CD63" i="40"/>
  <c r="BN63" i="40"/>
  <c r="BY63" i="40"/>
  <c r="CJ63" i="40"/>
  <c r="BT63" i="40"/>
  <c r="CE63" i="40"/>
  <c r="BO63" i="40"/>
  <c r="BZ63" i="40"/>
  <c r="CK63" i="40"/>
  <c r="BU63" i="40"/>
  <c r="CF63" i="40"/>
  <c r="BP63" i="40"/>
  <c r="CA63" i="40"/>
  <c r="CL63" i="40"/>
  <c r="BV63" i="40"/>
  <c r="CG63" i="40"/>
  <c r="BQ63" i="40"/>
  <c r="CB63" i="40"/>
  <c r="BL63" i="40"/>
  <c r="G78" i="43"/>
  <c r="E77" i="43"/>
  <c r="AM272" i="40"/>
  <c r="AD282" i="40" s="1"/>
  <c r="AL281" i="40" s="1"/>
  <c r="AN281" i="40" s="1"/>
  <c r="AT281" i="40" s="1"/>
  <c r="AU281" i="40" s="1"/>
  <c r="O36" i="19"/>
  <c r="K266" i="40"/>
  <c r="D84" i="40"/>
  <c r="J281" i="40"/>
  <c r="G83" i="40"/>
  <c r="I215" i="39"/>
  <c r="S29" i="39" s="1"/>
  <c r="I216" i="39"/>
  <c r="T29" i="39" s="1"/>
  <c r="I214" i="39"/>
  <c r="R29" i="39" s="1"/>
  <c r="I213" i="39"/>
  <c r="Q29" i="39" s="1"/>
  <c r="B37" i="19"/>
  <c r="A38" i="19"/>
  <c r="L37" i="19"/>
  <c r="N37" i="19" s="1"/>
  <c r="AB35" i="19"/>
  <c r="AM34" i="19"/>
  <c r="AL34" i="19"/>
  <c r="AD36" i="19"/>
  <c r="Q36" i="19"/>
  <c r="AP36" i="19"/>
  <c r="U36" i="19"/>
  <c r="A227" i="39"/>
  <c r="C60" i="41"/>
  <c r="AJ35" i="19"/>
  <c r="AI35" i="19"/>
  <c r="AK35" i="19"/>
  <c r="E78" i="43"/>
  <c r="C78" i="43"/>
  <c r="G79" i="43"/>
  <c r="B78" i="43"/>
  <c r="Z35" i="19" l="1"/>
  <c r="I221" i="39" s="1"/>
  <c r="Q30" i="39" s="1"/>
  <c r="U30" i="39" s="1"/>
  <c r="AA35" i="19"/>
  <c r="I223" i="39"/>
  <c r="S30" i="39" s="1"/>
  <c r="W30" i="39" s="1"/>
  <c r="I222" i="39"/>
  <c r="R30" i="39" s="1"/>
  <c r="V30" i="39" s="1"/>
  <c r="H60" i="41"/>
  <c r="V36" i="19"/>
  <c r="W36" i="19"/>
  <c r="AF282" i="40"/>
  <c r="AI282" i="40" s="1"/>
  <c r="AQ282" i="40" s="1"/>
  <c r="J78" i="43"/>
  <c r="N78" i="43"/>
  <c r="I78" i="43"/>
  <c r="K78" i="43"/>
  <c r="O78" i="43"/>
  <c r="I79" i="43"/>
  <c r="K79" i="43"/>
  <c r="O79" i="43"/>
  <c r="J79" i="43"/>
  <c r="N79" i="43"/>
  <c r="O37" i="19"/>
  <c r="E85" i="40"/>
  <c r="E86" i="40" s="1"/>
  <c r="D85" i="40"/>
  <c r="D86" i="40" s="1"/>
  <c r="V29" i="39"/>
  <c r="H83" i="40"/>
  <c r="G84" i="40" s="1"/>
  <c r="W29" i="39"/>
  <c r="N231" i="40"/>
  <c r="N242" i="40"/>
  <c r="M243" i="40" s="1"/>
  <c r="P242" i="40"/>
  <c r="N248" i="40"/>
  <c r="U29" i="39"/>
  <c r="H89" i="40"/>
  <c r="X29" i="39"/>
  <c r="P225" i="40"/>
  <c r="N225" i="40"/>
  <c r="M226" i="40" s="1"/>
  <c r="K89" i="40"/>
  <c r="K83" i="40"/>
  <c r="J284" i="40"/>
  <c r="H285" i="40" s="1"/>
  <c r="J282" i="40"/>
  <c r="K284" i="40"/>
  <c r="N209" i="40"/>
  <c r="N210" i="40" s="1"/>
  <c r="M209" i="40"/>
  <c r="M210" i="40" s="1"/>
  <c r="AJ36" i="19"/>
  <c r="AK36" i="19"/>
  <c r="AI36" i="19"/>
  <c r="B38" i="19"/>
  <c r="A39" i="19"/>
  <c r="L38" i="19"/>
  <c r="N38" i="19" s="1"/>
  <c r="AD37" i="19"/>
  <c r="A235" i="39"/>
  <c r="C62" i="41"/>
  <c r="Q37" i="19"/>
  <c r="AP37" i="19"/>
  <c r="U37" i="19"/>
  <c r="AM35" i="19"/>
  <c r="AL35" i="19"/>
  <c r="E79" i="43"/>
  <c r="C79" i="43"/>
  <c r="G80" i="43"/>
  <c r="B79" i="43"/>
  <c r="I224" i="39" l="1"/>
  <c r="T30" i="39" s="1"/>
  <c r="X30" i="39" s="1"/>
  <c r="Z36" i="19"/>
  <c r="I230" i="39" s="1"/>
  <c r="R31" i="39" s="1"/>
  <c r="V31" i="39" s="1"/>
  <c r="AA36" i="19"/>
  <c r="AB36" i="19" s="1"/>
  <c r="H62" i="41"/>
  <c r="W37" i="19"/>
  <c r="V37" i="19"/>
  <c r="Z37" i="19" s="1"/>
  <c r="AA37" i="19" s="1"/>
  <c r="AB37" i="19" s="1"/>
  <c r="AG282" i="40"/>
  <c r="AO282" i="40" s="1"/>
  <c r="J80" i="43"/>
  <c r="N80" i="43"/>
  <c r="I80" i="43"/>
  <c r="K80" i="43"/>
  <c r="O80" i="43"/>
  <c r="O38" i="19"/>
  <c r="M211" i="40"/>
  <c r="M212" i="40" s="1"/>
  <c r="D87" i="40"/>
  <c r="N83" i="40"/>
  <c r="N265" i="40"/>
  <c r="AV261" i="40"/>
  <c r="N214" i="40"/>
  <c r="P259" i="40"/>
  <c r="N259" i="40"/>
  <c r="M260" i="40" s="1"/>
  <c r="N89" i="40"/>
  <c r="M83" i="40"/>
  <c r="J83" i="40"/>
  <c r="J84" i="40" s="1"/>
  <c r="AK37" i="19"/>
  <c r="AJ37" i="19"/>
  <c r="AI37" i="19"/>
  <c r="B39" i="19"/>
  <c r="A40" i="19"/>
  <c r="L39" i="19"/>
  <c r="N39" i="19" s="1"/>
  <c r="AL36" i="19"/>
  <c r="AM36" i="19"/>
  <c r="AD38" i="19"/>
  <c r="A243" i="39"/>
  <c r="C64" i="41"/>
  <c r="Q38" i="19"/>
  <c r="AP38" i="19"/>
  <c r="AS38" i="19" s="1"/>
  <c r="U38" i="19"/>
  <c r="E80" i="43"/>
  <c r="C80" i="43"/>
  <c r="B80" i="43"/>
  <c r="I232" i="39" l="1"/>
  <c r="T31" i="39" s="1"/>
  <c r="X31" i="39" s="1"/>
  <c r="I231" i="39"/>
  <c r="S31" i="39" s="1"/>
  <c r="W31" i="39" s="1"/>
  <c r="I229" i="39"/>
  <c r="Q31" i="39" s="1"/>
  <c r="U31" i="39" s="1"/>
  <c r="H64" i="41"/>
  <c r="W38" i="19"/>
  <c r="V38" i="19"/>
  <c r="D88" i="40"/>
  <c r="G29" i="43" s="1"/>
  <c r="D90" i="40"/>
  <c r="O39" i="19"/>
  <c r="M84" i="40"/>
  <c r="M214" i="40"/>
  <c r="K215" i="40" s="1"/>
  <c r="E90" i="40"/>
  <c r="AK120" i="40" s="1"/>
  <c r="H85" i="40"/>
  <c r="H86" i="40" s="1"/>
  <c r="G85" i="40"/>
  <c r="G86" i="40" s="1"/>
  <c r="BA261" i="40"/>
  <c r="AZ260" i="40"/>
  <c r="AX260" i="40"/>
  <c r="N244" i="40"/>
  <c r="N245" i="40" s="1"/>
  <c r="M244" i="40"/>
  <c r="M245" i="40" s="1"/>
  <c r="N227" i="40"/>
  <c r="N228" i="40" s="1"/>
  <c r="M227" i="40"/>
  <c r="M228" i="40" s="1"/>
  <c r="P83" i="40"/>
  <c r="AA38" i="19"/>
  <c r="AB38" i="19" s="1"/>
  <c r="I240" i="39"/>
  <c r="T32" i="39" s="1"/>
  <c r="I237" i="39"/>
  <c r="Q32" i="39" s="1"/>
  <c r="I238" i="39"/>
  <c r="R32" i="39" s="1"/>
  <c r="V32" i="39" s="1"/>
  <c r="I239" i="39"/>
  <c r="S32" i="39" s="1"/>
  <c r="N283" i="40" s="1"/>
  <c r="AV38" i="19"/>
  <c r="AV42" i="19" s="1"/>
  <c r="AW38" i="19"/>
  <c r="AJ38" i="19"/>
  <c r="AK38" i="19"/>
  <c r="AI38" i="19"/>
  <c r="B40" i="19"/>
  <c r="A41" i="19"/>
  <c r="L40" i="19"/>
  <c r="N40" i="19" s="1"/>
  <c r="AM37" i="19"/>
  <c r="AL37" i="19"/>
  <c r="AD39" i="19"/>
  <c r="A251" i="39"/>
  <c r="C66" i="41"/>
  <c r="Q39" i="19"/>
  <c r="AP39" i="19"/>
  <c r="U39" i="19"/>
  <c r="E81" i="43"/>
  <c r="C81" i="43"/>
  <c r="B81" i="43"/>
  <c r="Z38" i="19" l="1"/>
  <c r="I248" i="39" s="1"/>
  <c r="T33" i="39" s="1"/>
  <c r="X33" i="39" s="1"/>
  <c r="I263" i="39"/>
  <c r="S35" i="39" s="1"/>
  <c r="H66" i="41"/>
  <c r="W39" i="19"/>
  <c r="V39" i="19"/>
  <c r="J29" i="43"/>
  <c r="N29" i="43"/>
  <c r="I29" i="43"/>
  <c r="K29" i="43"/>
  <c r="O29" i="43"/>
  <c r="AG115" i="40"/>
  <c r="AD119" i="40" s="1"/>
  <c r="AK119" i="40"/>
  <c r="B91" i="40"/>
  <c r="BF80" i="40" s="1"/>
  <c r="O40" i="19"/>
  <c r="AH115" i="40"/>
  <c r="AD120" i="40" s="1"/>
  <c r="AM119" i="40" s="1"/>
  <c r="M246" i="40"/>
  <c r="M247" i="40" s="1"/>
  <c r="M229" i="40"/>
  <c r="M230" i="40" s="1"/>
  <c r="G87" i="40"/>
  <c r="G88" i="40" s="1"/>
  <c r="G30" i="43" s="1"/>
  <c r="X32" i="39"/>
  <c r="N277" i="40"/>
  <c r="M278" i="40" s="1"/>
  <c r="P277" i="40"/>
  <c r="Q242" i="40"/>
  <c r="P243" i="40" s="1"/>
  <c r="Q225" i="40"/>
  <c r="P226" i="40" s="1"/>
  <c r="S225" i="40"/>
  <c r="S228" i="40" s="1"/>
  <c r="S242" i="40"/>
  <c r="S245" i="40" s="1"/>
  <c r="W35" i="39"/>
  <c r="Q248" i="40"/>
  <c r="Q250" i="40" s="1"/>
  <c r="Q231" i="40"/>
  <c r="Q233" i="40" s="1"/>
  <c r="N232" i="40"/>
  <c r="M249" i="40"/>
  <c r="K250" i="40" s="1"/>
  <c r="N249" i="40"/>
  <c r="U32" i="39"/>
  <c r="Q89" i="40"/>
  <c r="T89" i="40"/>
  <c r="K85" i="40"/>
  <c r="K86" i="40" s="1"/>
  <c r="J85" i="40"/>
  <c r="J86" i="40" s="1"/>
  <c r="N85" i="40"/>
  <c r="N86" i="40" s="1"/>
  <c r="M85" i="40"/>
  <c r="M261" i="40"/>
  <c r="N261" i="40"/>
  <c r="N262" i="40" s="1"/>
  <c r="AA39" i="19"/>
  <c r="AB39" i="19" s="1"/>
  <c r="B41" i="19"/>
  <c r="L41" i="19"/>
  <c r="N41" i="19" s="1"/>
  <c r="AM38" i="19"/>
  <c r="AL38" i="19"/>
  <c r="AJ39" i="19"/>
  <c r="AI39" i="19"/>
  <c r="AK39" i="19"/>
  <c r="AD40" i="19"/>
  <c r="A259" i="39"/>
  <c r="C68" i="41"/>
  <c r="AP40" i="19"/>
  <c r="AS40" i="19" s="1"/>
  <c r="Q40" i="19"/>
  <c r="U40" i="19"/>
  <c r="E82" i="43"/>
  <c r="C82" i="43"/>
  <c r="B82" i="43"/>
  <c r="I262" i="39" l="1"/>
  <c r="R35" i="39" s="1"/>
  <c r="V35" i="39" s="1"/>
  <c r="I261" i="39"/>
  <c r="Q35" i="39" s="1"/>
  <c r="U35" i="39" s="1"/>
  <c r="I247" i="39"/>
  <c r="S33" i="39" s="1"/>
  <c r="Z39" i="19"/>
  <c r="I254" i="39" s="1"/>
  <c r="R34" i="39" s="1"/>
  <c r="V34" i="39" s="1"/>
  <c r="I245" i="39"/>
  <c r="Q33" i="39" s="1"/>
  <c r="U33" i="39" s="1"/>
  <c r="I246" i="39"/>
  <c r="R33" i="39" s="1"/>
  <c r="V33" i="39" s="1"/>
  <c r="I264" i="39"/>
  <c r="T35" i="39" s="1"/>
  <c r="X35" i="39" s="1"/>
  <c r="I253" i="39"/>
  <c r="Q34" i="39" s="1"/>
  <c r="U34" i="39" s="1"/>
  <c r="I272" i="39"/>
  <c r="T36" i="39" s="1"/>
  <c r="X36" i="39" s="1"/>
  <c r="H68" i="41"/>
  <c r="W40" i="19"/>
  <c r="V40" i="19"/>
  <c r="Z40" i="19" s="1"/>
  <c r="AA40" i="19" s="1"/>
  <c r="AB40" i="19" s="1"/>
  <c r="I30" i="43"/>
  <c r="K30" i="43"/>
  <c r="O30" i="43"/>
  <c r="J30" i="43"/>
  <c r="N30" i="43"/>
  <c r="BN80" i="40"/>
  <c r="F22" i="41" s="1"/>
  <c r="BR80" i="40"/>
  <c r="F30" i="41" s="1"/>
  <c r="BV80" i="40"/>
  <c r="F38" i="41" s="1"/>
  <c r="BZ80" i="40"/>
  <c r="F46" i="41" s="1"/>
  <c r="CD80" i="40"/>
  <c r="F54" i="41" s="1"/>
  <c r="CH80" i="40"/>
  <c r="CL80" i="40"/>
  <c r="BO80" i="40"/>
  <c r="F24" i="41" s="1"/>
  <c r="BS80" i="40"/>
  <c r="F32" i="41" s="1"/>
  <c r="BW80" i="40"/>
  <c r="F40" i="41" s="1"/>
  <c r="CA80" i="40"/>
  <c r="CE80" i="40"/>
  <c r="CI80" i="40"/>
  <c r="BL80" i="40"/>
  <c r="F18" i="41" s="1"/>
  <c r="BP80" i="40"/>
  <c r="F26" i="41" s="1"/>
  <c r="BT80" i="40"/>
  <c r="BX80" i="40"/>
  <c r="F42" i="41" s="1"/>
  <c r="CB80" i="40"/>
  <c r="F50" i="41" s="1"/>
  <c r="CF80" i="40"/>
  <c r="F58" i="41" s="1"/>
  <c r="CJ80" i="40"/>
  <c r="BM80" i="40"/>
  <c r="F20" i="41" s="1"/>
  <c r="BQ80" i="40"/>
  <c r="F28" i="41" s="1"/>
  <c r="BU80" i="40"/>
  <c r="BY80" i="40"/>
  <c r="F44" i="41" s="1"/>
  <c r="CC80" i="40"/>
  <c r="F52" i="41" s="1"/>
  <c r="CG80" i="40"/>
  <c r="F60" i="41" s="1"/>
  <c r="CK80" i="40"/>
  <c r="F68" i="41" s="1"/>
  <c r="BG80" i="40"/>
  <c r="F8" i="41" s="1"/>
  <c r="AE117" i="40"/>
  <c r="AF119" i="40"/>
  <c r="AG119" i="40" s="1"/>
  <c r="AO119" i="40" s="1"/>
  <c r="AL118" i="40"/>
  <c r="AN118" i="40"/>
  <c r="AL119" i="40"/>
  <c r="AF120" i="40"/>
  <c r="AJ120" i="40" s="1"/>
  <c r="AR120" i="40" s="1"/>
  <c r="O41" i="19"/>
  <c r="M232" i="40"/>
  <c r="K233" i="40" s="1"/>
  <c r="Q244" i="40"/>
  <c r="Q245" i="40" s="1"/>
  <c r="P244" i="40"/>
  <c r="P245" i="40" s="1"/>
  <c r="M86" i="40"/>
  <c r="M87" i="40" s="1"/>
  <c r="M262" i="40"/>
  <c r="M263" i="40" s="1"/>
  <c r="Q227" i="40"/>
  <c r="Q228" i="40" s="1"/>
  <c r="P227" i="40"/>
  <c r="P228" i="40" s="1"/>
  <c r="H90" i="40"/>
  <c r="AK123" i="40" s="1"/>
  <c r="J87" i="40"/>
  <c r="K90" i="40" s="1"/>
  <c r="G90" i="40"/>
  <c r="E91" i="40" s="1"/>
  <c r="BH80" i="40" s="1"/>
  <c r="AV262" i="40"/>
  <c r="Q265" i="40"/>
  <c r="Q267" i="40" s="1"/>
  <c r="Q207" i="40"/>
  <c r="P208" i="40" s="1"/>
  <c r="S207" i="40"/>
  <c r="S210" i="40" s="1"/>
  <c r="Q213" i="40"/>
  <c r="Q215" i="40" s="1"/>
  <c r="Q259" i="40"/>
  <c r="P260" i="40" s="1"/>
  <c r="S259" i="40"/>
  <c r="S262" i="40" s="1"/>
  <c r="Q371" i="40"/>
  <c r="W371" i="40"/>
  <c r="Q189" i="40"/>
  <c r="P190" i="40" s="1"/>
  <c r="W335" i="40"/>
  <c r="T153" i="40"/>
  <c r="Z153" i="40"/>
  <c r="AV317" i="40"/>
  <c r="T66" i="40"/>
  <c r="Z118" i="40"/>
  <c r="Z318" i="40"/>
  <c r="W283" i="40"/>
  <c r="Q283" i="40"/>
  <c r="T318" i="40"/>
  <c r="W189" i="40"/>
  <c r="AV369" i="40"/>
  <c r="T118" i="40"/>
  <c r="N153" i="40"/>
  <c r="M154" i="40" s="1"/>
  <c r="Q153" i="40"/>
  <c r="Q66" i="40"/>
  <c r="AV315" i="40"/>
  <c r="Q335" i="40"/>
  <c r="Z66" i="40"/>
  <c r="W153" i="40"/>
  <c r="N66" i="40"/>
  <c r="M67" i="40" s="1"/>
  <c r="T335" i="40"/>
  <c r="Q294" i="40"/>
  <c r="Z136" i="40"/>
  <c r="V277" i="40"/>
  <c r="S277" i="40"/>
  <c r="W118" i="40"/>
  <c r="Q195" i="40"/>
  <c r="Y365" i="40"/>
  <c r="Q136" i="40"/>
  <c r="P137" i="40" s="1"/>
  <c r="W300" i="40"/>
  <c r="AK54" i="40"/>
  <c r="T294" i="40"/>
  <c r="Z177" i="40"/>
  <c r="W329" i="40"/>
  <c r="Q365" i="40"/>
  <c r="W159" i="40"/>
  <c r="Q124" i="40"/>
  <c r="W171" i="40"/>
  <c r="S329" i="40"/>
  <c r="W312" i="40"/>
  <c r="AV300" i="40"/>
  <c r="AW300" i="40" s="1"/>
  <c r="Z142" i="40"/>
  <c r="Z171" i="40"/>
  <c r="Y329" i="40"/>
  <c r="Z277" i="40"/>
  <c r="AV104" i="40"/>
  <c r="Z89" i="40"/>
  <c r="T189" i="40"/>
  <c r="AK55" i="40"/>
  <c r="S294" i="40"/>
  <c r="AV194" i="40"/>
  <c r="T283" i="40"/>
  <c r="Q318" i="40"/>
  <c r="AV330" i="40"/>
  <c r="AV140" i="40"/>
  <c r="W83" i="40"/>
  <c r="AV176" i="40"/>
  <c r="V329" i="40"/>
  <c r="AV69" i="40"/>
  <c r="Z101" i="40"/>
  <c r="AV299" i="40"/>
  <c r="V312" i="40"/>
  <c r="T107" i="40"/>
  <c r="Z107" i="40"/>
  <c r="AV175" i="40"/>
  <c r="V365" i="40"/>
  <c r="W107" i="40"/>
  <c r="AV370" i="40"/>
  <c r="AV371" i="40"/>
  <c r="AV119" i="40"/>
  <c r="T124" i="40"/>
  <c r="Z300" i="40"/>
  <c r="Z312" i="40"/>
  <c r="T371" i="40"/>
  <c r="AV106" i="40"/>
  <c r="AV298" i="40"/>
  <c r="Y312" i="40"/>
  <c r="T365" i="40"/>
  <c r="AV107" i="40"/>
  <c r="AW107" i="40" s="1"/>
  <c r="AV192" i="40"/>
  <c r="Y294" i="40"/>
  <c r="AV368" i="40"/>
  <c r="AV142" i="40"/>
  <c r="AW142" i="40" s="1"/>
  <c r="Q300" i="40"/>
  <c r="AV139" i="40"/>
  <c r="Z159" i="40"/>
  <c r="W177" i="40"/>
  <c r="Z365" i="40"/>
  <c r="Q312" i="40"/>
  <c r="T136" i="40"/>
  <c r="T171" i="40"/>
  <c r="T312" i="40"/>
  <c r="AV105" i="40"/>
  <c r="AV316" i="40"/>
  <c r="W72" i="40"/>
  <c r="W124" i="40"/>
  <c r="AV195" i="40"/>
  <c r="Q277" i="40"/>
  <c r="P278" i="40" s="1"/>
  <c r="AV71" i="40"/>
  <c r="W195" i="40"/>
  <c r="S312" i="40"/>
  <c r="Z329" i="40"/>
  <c r="T142" i="40"/>
  <c r="T83" i="40"/>
  <c r="AV72" i="40"/>
  <c r="AW72" i="40" s="1"/>
  <c r="AV177" i="40"/>
  <c r="AW177" i="40" s="1"/>
  <c r="S365" i="40"/>
  <c r="T329" i="40"/>
  <c r="V294" i="40"/>
  <c r="Q101" i="40"/>
  <c r="P102" i="40" s="1"/>
  <c r="Z283" i="40"/>
  <c r="AV141" i="40"/>
  <c r="Z72" i="40"/>
  <c r="Z195" i="40"/>
  <c r="Q329" i="40"/>
  <c r="AK53" i="40"/>
  <c r="AL53" i="40" s="1"/>
  <c r="Q142" i="40"/>
  <c r="Z189" i="40"/>
  <c r="Z335" i="40"/>
  <c r="W101" i="40"/>
  <c r="Z124" i="40"/>
  <c r="T300" i="40"/>
  <c r="W294" i="40"/>
  <c r="T277" i="40"/>
  <c r="AV70" i="40"/>
  <c r="T195" i="40"/>
  <c r="W277" i="40"/>
  <c r="T101" i="40"/>
  <c r="Z83" i="40"/>
  <c r="W318" i="40"/>
  <c r="AK52" i="40"/>
  <c r="W66" i="40"/>
  <c r="AV318" i="40"/>
  <c r="Z371" i="40"/>
  <c r="W136" i="40"/>
  <c r="Z294" i="40"/>
  <c r="T177" i="40"/>
  <c r="Y277" i="40"/>
  <c r="Q118" i="40"/>
  <c r="P119" i="40" s="1"/>
  <c r="Q83" i="40"/>
  <c r="P84" i="40" s="1"/>
  <c r="AV193" i="40"/>
  <c r="BA193" i="40" s="1"/>
  <c r="W365" i="40"/>
  <c r="T159" i="40"/>
  <c r="W142" i="40"/>
  <c r="Q171" i="40"/>
  <c r="P172" i="40" s="1"/>
  <c r="AV120" i="40"/>
  <c r="AV331" i="40"/>
  <c r="AV85" i="40"/>
  <c r="AW84" i="40" s="1"/>
  <c r="AV86" i="40"/>
  <c r="AY86" i="40" s="1"/>
  <c r="AV121" i="40"/>
  <c r="AY121" i="40" s="1"/>
  <c r="AW40" i="19"/>
  <c r="K54" i="39"/>
  <c r="AD41" i="19"/>
  <c r="Q41" i="19"/>
  <c r="U41" i="19"/>
  <c r="A267" i="39"/>
  <c r="C70" i="41"/>
  <c r="AP41" i="19"/>
  <c r="AS41" i="19" s="1"/>
  <c r="AW41" i="19" s="1"/>
  <c r="AI40" i="19"/>
  <c r="AJ40" i="19"/>
  <c r="AK40" i="19"/>
  <c r="AM39" i="19"/>
  <c r="AL39" i="19"/>
  <c r="E83" i="43"/>
  <c r="C83" i="43"/>
  <c r="B83" i="43"/>
  <c r="I255" i="39" l="1"/>
  <c r="S34" i="39" s="1"/>
  <c r="W34" i="39" s="1"/>
  <c r="I271" i="39"/>
  <c r="S36" i="39" s="1"/>
  <c r="W36" i="39" s="1"/>
  <c r="I269" i="39"/>
  <c r="Q36" i="39" s="1"/>
  <c r="U36" i="39" s="1"/>
  <c r="I270" i="39"/>
  <c r="R36" i="39" s="1"/>
  <c r="V36" i="39" s="1"/>
  <c r="I256" i="39"/>
  <c r="T34" i="39" s="1"/>
  <c r="X34" i="39" s="1"/>
  <c r="J88" i="40"/>
  <c r="G31" i="43" s="1"/>
  <c r="K31" i="43" s="1"/>
  <c r="G24" i="41"/>
  <c r="K24" i="41"/>
  <c r="L24" i="41" s="1"/>
  <c r="M24" i="41"/>
  <c r="O24" i="41"/>
  <c r="N24" i="41"/>
  <c r="H70" i="41"/>
  <c r="W41" i="19"/>
  <c r="V41" i="19"/>
  <c r="Z41" i="19" s="1"/>
  <c r="AA41" i="19" s="1"/>
  <c r="K30" i="39" s="1"/>
  <c r="G58" i="41"/>
  <c r="O58" i="41"/>
  <c r="M58" i="41"/>
  <c r="K58" i="41"/>
  <c r="L58" i="41" s="1"/>
  <c r="N58" i="41"/>
  <c r="O38" i="41"/>
  <c r="G38" i="41"/>
  <c r="K38" i="41"/>
  <c r="L38" i="41" s="1"/>
  <c r="N38" i="41"/>
  <c r="M38" i="41"/>
  <c r="G60" i="41"/>
  <c r="O60" i="41"/>
  <c r="M60" i="41"/>
  <c r="N60" i="41"/>
  <c r="K60" i="41"/>
  <c r="L60" i="41" s="1"/>
  <c r="G28" i="41"/>
  <c r="O28" i="41"/>
  <c r="K28" i="41"/>
  <c r="L28" i="41" s="1"/>
  <c r="M28" i="41"/>
  <c r="N28" i="41"/>
  <c r="O50" i="41"/>
  <c r="G50" i="41"/>
  <c r="K50" i="41"/>
  <c r="L50" i="41" s="1"/>
  <c r="M50" i="41"/>
  <c r="N50" i="41"/>
  <c r="G18" i="41"/>
  <c r="K18" i="41"/>
  <c r="L18" i="41" s="1"/>
  <c r="O18" i="41"/>
  <c r="M18" i="41"/>
  <c r="N18" i="41" s="1"/>
  <c r="O40" i="41"/>
  <c r="G40" i="41"/>
  <c r="K40" i="41"/>
  <c r="L40" i="41" s="1"/>
  <c r="M40" i="41"/>
  <c r="N40" i="41" s="1"/>
  <c r="G30" i="41"/>
  <c r="K30" i="41"/>
  <c r="L30" i="41" s="1"/>
  <c r="O30" i="41"/>
  <c r="M30" i="41"/>
  <c r="N30" i="41"/>
  <c r="O44" i="41"/>
  <c r="G44" i="41"/>
  <c r="K44" i="41"/>
  <c r="L44" i="41" s="1"/>
  <c r="M44" i="41"/>
  <c r="N44" i="41" s="1"/>
  <c r="O46" i="41"/>
  <c r="G46" i="41"/>
  <c r="M46" i="41"/>
  <c r="N46" i="41"/>
  <c r="K46" i="41"/>
  <c r="L46" i="41" s="1"/>
  <c r="O68" i="41"/>
  <c r="G68" i="41"/>
  <c r="N68" i="41"/>
  <c r="K68" i="41"/>
  <c r="L68" i="41" s="1"/>
  <c r="M68" i="41"/>
  <c r="G26" i="41"/>
  <c r="O26" i="41"/>
  <c r="K26" i="41"/>
  <c r="L26" i="41" s="1"/>
  <c r="M26" i="41"/>
  <c r="N26" i="41"/>
  <c r="F6" i="41"/>
  <c r="G6" i="41" s="1"/>
  <c r="I6" i="41" s="1"/>
  <c r="J6" i="41" s="1"/>
  <c r="K6" i="41" s="1"/>
  <c r="L6" i="41" s="1"/>
  <c r="M6" i="41" s="1"/>
  <c r="N6" i="41" s="1"/>
  <c r="L98" i="43" s="1"/>
  <c r="F48" i="41"/>
  <c r="F56" i="41"/>
  <c r="F62" i="41"/>
  <c r="F34" i="41"/>
  <c r="F36" i="41"/>
  <c r="F70" i="41"/>
  <c r="F64" i="41"/>
  <c r="F66" i="41"/>
  <c r="O52" i="41"/>
  <c r="G52" i="41"/>
  <c r="N52" i="41"/>
  <c r="K52" i="41"/>
  <c r="L52" i="41" s="1"/>
  <c r="M52" i="41"/>
  <c r="G20" i="41"/>
  <c r="O20" i="41"/>
  <c r="K20" i="41"/>
  <c r="L20" i="41" s="1"/>
  <c r="M20" i="41"/>
  <c r="N20" i="41" s="1"/>
  <c r="G42" i="41"/>
  <c r="O42" i="41"/>
  <c r="M42" i="41"/>
  <c r="N42" i="41" s="1"/>
  <c r="K42" i="41"/>
  <c r="L42" i="41" s="1"/>
  <c r="G32" i="41"/>
  <c r="O32" i="41"/>
  <c r="M32" i="41"/>
  <c r="N32" i="41" s="1"/>
  <c r="K32" i="41"/>
  <c r="L32" i="41" s="1"/>
  <c r="O54" i="41"/>
  <c r="G54" i="41"/>
  <c r="K54" i="41"/>
  <c r="L54" i="41" s="1"/>
  <c r="N54" i="41"/>
  <c r="M54" i="41"/>
  <c r="G22" i="41"/>
  <c r="K22" i="41"/>
  <c r="L22" i="41" s="1"/>
  <c r="O22" i="41"/>
  <c r="M22" i="41"/>
  <c r="N22" i="41" s="1"/>
  <c r="AT118" i="40"/>
  <c r="AU118" i="40" s="1"/>
  <c r="K46" i="39"/>
  <c r="K22" i="39"/>
  <c r="K14" i="39"/>
  <c r="K38" i="39"/>
  <c r="I31" i="43"/>
  <c r="AH120" i="40"/>
  <c r="AP120" i="40" s="1"/>
  <c r="AT120" i="40" s="1"/>
  <c r="AU120" i="40" s="1"/>
  <c r="AS119" i="40"/>
  <c r="AU119" i="40" s="1"/>
  <c r="G8" i="41"/>
  <c r="I8" i="41" s="1"/>
  <c r="J8" i="41" s="1"/>
  <c r="K8" i="41" s="1"/>
  <c r="L8" i="41" s="1"/>
  <c r="O8" i="41"/>
  <c r="AK122" i="40"/>
  <c r="AI119" i="40"/>
  <c r="AQ119" i="40" s="1"/>
  <c r="AJ115" i="40"/>
  <c r="AD122" i="40" s="1"/>
  <c r="AF122" i="40" s="1"/>
  <c r="AK115" i="40"/>
  <c r="AD123" i="40" s="1"/>
  <c r="AL122" i="40" s="1"/>
  <c r="K222" i="39"/>
  <c r="K214" i="39"/>
  <c r="K190" i="39"/>
  <c r="K182" i="39"/>
  <c r="W33" i="39" s="1"/>
  <c r="K166" i="39"/>
  <c r="K102" i="39"/>
  <c r="K70" i="39"/>
  <c r="K238" i="39"/>
  <c r="K94" i="39"/>
  <c r="K142" i="39"/>
  <c r="K158" i="39"/>
  <c r="K126" i="39"/>
  <c r="K62" i="39"/>
  <c r="K262" i="39"/>
  <c r="K246" i="39"/>
  <c r="K230" i="39"/>
  <c r="K206" i="39"/>
  <c r="K198" i="39"/>
  <c r="K174" i="39"/>
  <c r="K150" i="39"/>
  <c r="K110" i="39"/>
  <c r="K254" i="39"/>
  <c r="K78" i="39"/>
  <c r="K134" i="39"/>
  <c r="K118" i="39"/>
  <c r="K86" i="39"/>
  <c r="M266" i="40"/>
  <c r="K267" i="40" s="1"/>
  <c r="N266" i="40"/>
  <c r="M264" i="40"/>
  <c r="J90" i="40"/>
  <c r="H91" i="40" s="1"/>
  <c r="BI80" i="40" s="1"/>
  <c r="M90" i="40"/>
  <c r="K91" i="40" s="1"/>
  <c r="BJ80" i="40" s="1"/>
  <c r="M88" i="40"/>
  <c r="G32" i="43" s="1"/>
  <c r="N90" i="40"/>
  <c r="P261" i="40"/>
  <c r="P262" i="40" s="1"/>
  <c r="P209" i="40"/>
  <c r="P210" i="40" s="1"/>
  <c r="Q209" i="40"/>
  <c r="Q210" i="40" s="1"/>
  <c r="P246" i="40"/>
  <c r="P247" i="40" s="1"/>
  <c r="P229" i="40"/>
  <c r="P232" i="40" s="1"/>
  <c r="N233" i="40" s="1"/>
  <c r="BK222" i="40" s="1"/>
  <c r="F17" i="41" s="1"/>
  <c r="G17" i="41" s="1"/>
  <c r="P249" i="40"/>
  <c r="N250" i="40" s="1"/>
  <c r="Q261" i="40"/>
  <c r="Q262" i="40" s="1"/>
  <c r="M279" i="40"/>
  <c r="N279" i="40"/>
  <c r="N280" i="40" s="1"/>
  <c r="BA262" i="40"/>
  <c r="AZ262" i="40"/>
  <c r="AX262" i="40"/>
  <c r="AW261" i="40"/>
  <c r="AY261" i="40"/>
  <c r="AZ118" i="40"/>
  <c r="AX118" i="40"/>
  <c r="AB41" i="19"/>
  <c r="K13" i="39" s="1"/>
  <c r="Y189" i="40"/>
  <c r="Y190" i="40" s="1"/>
  <c r="S66" i="40"/>
  <c r="S67" i="40" s="1"/>
  <c r="V153" i="40"/>
  <c r="V154" i="40" s="1"/>
  <c r="V101" i="40"/>
  <c r="V102" i="40" s="1"/>
  <c r="V83" i="40"/>
  <c r="V84" i="40" s="1"/>
  <c r="V136" i="40"/>
  <c r="V137" i="40" s="1"/>
  <c r="V66" i="40"/>
  <c r="V67" i="40" s="1"/>
  <c r="BA86" i="40"/>
  <c r="AW86" i="40"/>
  <c r="AY330" i="40"/>
  <c r="AX331" i="40"/>
  <c r="BA331" i="40"/>
  <c r="AZ331" i="40"/>
  <c r="S171" i="40"/>
  <c r="S172" i="40" s="1"/>
  <c r="S118" i="40"/>
  <c r="S119" i="40" s="1"/>
  <c r="Y136" i="40"/>
  <c r="Y137" i="40" s="1"/>
  <c r="AW318" i="40"/>
  <c r="AY318" i="40"/>
  <c r="AL52" i="40"/>
  <c r="AN52" i="40" s="1"/>
  <c r="AM51" i="40"/>
  <c r="BA70" i="40"/>
  <c r="AW70" i="40"/>
  <c r="AY70" i="40"/>
  <c r="AZ71" i="40"/>
  <c r="BA71" i="40"/>
  <c r="AX71" i="40"/>
  <c r="AW195" i="40"/>
  <c r="AY195" i="40"/>
  <c r="BA105" i="40"/>
  <c r="AW105" i="40"/>
  <c r="V171" i="40"/>
  <c r="V172" i="40" s="1"/>
  <c r="AY138" i="40"/>
  <c r="BA139" i="40"/>
  <c r="AZ139" i="40"/>
  <c r="AX139" i="40"/>
  <c r="AW138" i="40"/>
  <c r="BA106" i="40"/>
  <c r="AX106" i="40"/>
  <c r="AZ106" i="40"/>
  <c r="AY105" i="40"/>
  <c r="AW371" i="40"/>
  <c r="AY371" i="40"/>
  <c r="AW175" i="40"/>
  <c r="BA175" i="40"/>
  <c r="AZ174" i="40"/>
  <c r="AX174" i="40"/>
  <c r="BA299" i="40"/>
  <c r="AX299" i="40"/>
  <c r="AZ299" i="40"/>
  <c r="AY298" i="40"/>
  <c r="AZ69" i="40"/>
  <c r="BA69" i="40"/>
  <c r="AX69" i="40"/>
  <c r="AW68" i="40"/>
  <c r="AY68" i="40"/>
  <c r="AY175" i="40"/>
  <c r="AX176" i="40"/>
  <c r="AZ176" i="40"/>
  <c r="BA176" i="40"/>
  <c r="BA140" i="40"/>
  <c r="AW140" i="40"/>
  <c r="AW193" i="40"/>
  <c r="AY193" i="40"/>
  <c r="AZ194" i="40"/>
  <c r="BA194" i="40"/>
  <c r="AX194" i="40"/>
  <c r="AL54" i="40"/>
  <c r="AN54" i="40" s="1"/>
  <c r="AM53" i="40"/>
  <c r="S136" i="40"/>
  <c r="S137" i="40" s="1"/>
  <c r="Y153" i="40"/>
  <c r="Y154" i="40" s="1"/>
  <c r="P153" i="40"/>
  <c r="P154" i="40" s="1"/>
  <c r="AW369" i="40"/>
  <c r="BA369" i="40"/>
  <c r="AZ317" i="40"/>
  <c r="AY316" i="40"/>
  <c r="BA317" i="40"/>
  <c r="AX317" i="40"/>
  <c r="S189" i="40"/>
  <c r="S190" i="40" s="1"/>
  <c r="BA121" i="40"/>
  <c r="AW121" i="40"/>
  <c r="AZ85" i="40"/>
  <c r="AX85" i="40"/>
  <c r="AY84" i="40"/>
  <c r="BA85" i="40"/>
  <c r="AZ120" i="40"/>
  <c r="AX120" i="40"/>
  <c r="AY119" i="40"/>
  <c r="BA120" i="40"/>
  <c r="S83" i="40"/>
  <c r="S84" i="40" s="1"/>
  <c r="Y66" i="40"/>
  <c r="Y67" i="40" s="1"/>
  <c r="Y101" i="40"/>
  <c r="Y102" i="40" s="1"/>
  <c r="AX141" i="40"/>
  <c r="BA141" i="40"/>
  <c r="AZ141" i="40"/>
  <c r="AY140" i="40"/>
  <c r="S101" i="40"/>
  <c r="S102" i="40" s="1"/>
  <c r="BA316" i="40"/>
  <c r="AW316" i="40"/>
  <c r="BA368" i="40"/>
  <c r="AY367" i="40"/>
  <c r="AZ368" i="40"/>
  <c r="AX368" i="40"/>
  <c r="AW367" i="40"/>
  <c r="AY191" i="40"/>
  <c r="AZ192" i="40"/>
  <c r="BA192" i="40"/>
  <c r="AX192" i="40"/>
  <c r="AW191" i="40"/>
  <c r="AW298" i="40"/>
  <c r="BA298" i="40"/>
  <c r="AZ297" i="40"/>
  <c r="AX297" i="40"/>
  <c r="BA119" i="40"/>
  <c r="AW119" i="40"/>
  <c r="AZ370" i="40"/>
  <c r="BA370" i="40"/>
  <c r="AX370" i="40"/>
  <c r="AY369" i="40"/>
  <c r="Y83" i="40"/>
  <c r="Y84" i="40" s="1"/>
  <c r="AW330" i="40"/>
  <c r="BA330" i="40"/>
  <c r="V189" i="40"/>
  <c r="V190" i="40" s="1"/>
  <c r="AX104" i="40"/>
  <c r="BA104" i="40"/>
  <c r="AZ104" i="40"/>
  <c r="AY103" i="40"/>
  <c r="AW103" i="40"/>
  <c r="Y171" i="40"/>
  <c r="Y172" i="40" s="1"/>
  <c r="Y118" i="40"/>
  <c r="Y119" i="40" s="1"/>
  <c r="P66" i="40"/>
  <c r="P67" i="40" s="1"/>
  <c r="AX315" i="40"/>
  <c r="BA315" i="40"/>
  <c r="AZ315" i="40"/>
  <c r="AY314" i="40"/>
  <c r="AW314" i="40"/>
  <c r="S153" i="40"/>
  <c r="S154" i="40" s="1"/>
  <c r="V118" i="40"/>
  <c r="V119" i="40" s="1"/>
  <c r="AW42" i="19"/>
  <c r="AS42" i="19"/>
  <c r="K85" i="39"/>
  <c r="K229" i="39"/>
  <c r="K29" i="39"/>
  <c r="K197" i="39"/>
  <c r="K109" i="39"/>
  <c r="K181" i="39"/>
  <c r="W32" i="39" s="1"/>
  <c r="K173" i="39"/>
  <c r="K125" i="39"/>
  <c r="K77" i="39"/>
  <c r="K93" i="39"/>
  <c r="K245" i="39"/>
  <c r="K213" i="39"/>
  <c r="K165" i="39"/>
  <c r="K117" i="39"/>
  <c r="K157" i="39"/>
  <c r="K133" i="39"/>
  <c r="K45" i="39"/>
  <c r="K101" i="39"/>
  <c r="K237" i="39"/>
  <c r="K37" i="39"/>
  <c r="K149" i="39"/>
  <c r="K189" i="39"/>
  <c r="K221" i="39"/>
  <c r="AL40" i="19"/>
  <c r="AM40" i="19"/>
  <c r="AK41" i="19"/>
  <c r="AJ41" i="19"/>
  <c r="AI41" i="19"/>
  <c r="E84" i="43"/>
  <c r="C84" i="43"/>
  <c r="B84" i="43"/>
  <c r="O31" i="43" l="1"/>
  <c r="O6" i="41"/>
  <c r="J31" i="43"/>
  <c r="N31" i="43"/>
  <c r="O17" i="41"/>
  <c r="G36" i="41"/>
  <c r="O36" i="41"/>
  <c r="K36" i="41"/>
  <c r="L36" i="41" s="1"/>
  <c r="M36" i="41"/>
  <c r="N36" i="41" s="1"/>
  <c r="G48" i="41"/>
  <c r="O48" i="41"/>
  <c r="M48" i="41"/>
  <c r="K48" i="41"/>
  <c r="L48" i="41" s="1"/>
  <c r="N48" i="41"/>
  <c r="J40" i="41"/>
  <c r="I40" i="41"/>
  <c r="I60" i="41"/>
  <c r="J60" i="41"/>
  <c r="I22" i="41"/>
  <c r="J22" i="41"/>
  <c r="I54" i="41"/>
  <c r="J54" i="41"/>
  <c r="G66" i="41"/>
  <c r="O66" i="41"/>
  <c r="K66" i="41"/>
  <c r="L66" i="41" s="1"/>
  <c r="N66" i="41"/>
  <c r="M66" i="41"/>
  <c r="G34" i="41"/>
  <c r="M34" i="41"/>
  <c r="O34" i="41"/>
  <c r="K34" i="41"/>
  <c r="L34" i="41" s="1"/>
  <c r="N34" i="41"/>
  <c r="I30" i="41"/>
  <c r="J30" i="41"/>
  <c r="J18" i="41"/>
  <c r="I18" i="41"/>
  <c r="I50" i="41"/>
  <c r="J50" i="41"/>
  <c r="I38" i="41"/>
  <c r="J38" i="41"/>
  <c r="K269" i="39"/>
  <c r="J32" i="41"/>
  <c r="I32" i="41"/>
  <c r="J42" i="41"/>
  <c r="I42" i="41"/>
  <c r="J20" i="41"/>
  <c r="I20" i="41"/>
  <c r="I52" i="41"/>
  <c r="J52" i="41"/>
  <c r="O64" i="41"/>
  <c r="G64" i="41"/>
  <c r="K64" i="41"/>
  <c r="L64" i="41" s="1"/>
  <c r="N64" i="41"/>
  <c r="M64" i="41"/>
  <c r="G62" i="41"/>
  <c r="O62" i="41"/>
  <c r="M62" i="41"/>
  <c r="N62" i="41"/>
  <c r="K62" i="41"/>
  <c r="L62" i="41" s="1"/>
  <c r="J26" i="41"/>
  <c r="I26" i="41"/>
  <c r="J68" i="41"/>
  <c r="I68" i="41"/>
  <c r="G70" i="41"/>
  <c r="O70" i="41"/>
  <c r="K70" i="41"/>
  <c r="L70" i="41" s="1"/>
  <c r="N70" i="41"/>
  <c r="M70" i="41"/>
  <c r="G56" i="41"/>
  <c r="O56" i="41"/>
  <c r="M56" i="41"/>
  <c r="N56" i="41"/>
  <c r="K56" i="41"/>
  <c r="L56" i="41" s="1"/>
  <c r="I46" i="41"/>
  <c r="J46" i="41"/>
  <c r="I44" i="41"/>
  <c r="J44" i="41"/>
  <c r="J28" i="41"/>
  <c r="I28" i="41"/>
  <c r="I58" i="41"/>
  <c r="J58" i="41"/>
  <c r="I24" i="41"/>
  <c r="J24" i="41"/>
  <c r="AM115" i="40"/>
  <c r="AD125" i="40" s="1"/>
  <c r="AN124" i="40" s="1"/>
  <c r="K261" i="39"/>
  <c r="K53" i="39"/>
  <c r="K69" i="39"/>
  <c r="K205" i="39"/>
  <c r="K141" i="39"/>
  <c r="K253" i="39"/>
  <c r="K61" i="39"/>
  <c r="AF123" i="40"/>
  <c r="AG123" i="40" s="1"/>
  <c r="AO123" i="40" s="1"/>
  <c r="AS123" i="40" s="1"/>
  <c r="AU123" i="40" s="1"/>
  <c r="I17" i="41"/>
  <c r="J17" i="41" s="1"/>
  <c r="K17" i="41" s="1"/>
  <c r="L17" i="41" s="1"/>
  <c r="BG222" i="40"/>
  <c r="F9" i="41" s="1"/>
  <c r="BI222" i="40"/>
  <c r="F13" i="41" s="1"/>
  <c r="BH222" i="40"/>
  <c r="F11" i="41" s="1"/>
  <c r="BJ222" i="40"/>
  <c r="F15" i="41" s="1"/>
  <c r="BF222" i="40"/>
  <c r="F7" i="41" s="1"/>
  <c r="AN122" i="40"/>
  <c r="AL121" i="40"/>
  <c r="AM121" i="40"/>
  <c r="BM222" i="40"/>
  <c r="BO222" i="40"/>
  <c r="BQ222" i="40"/>
  <c r="F29" i="41" s="1"/>
  <c r="BS222" i="40"/>
  <c r="BU222" i="40"/>
  <c r="F37" i="41" s="1"/>
  <c r="BW222" i="40"/>
  <c r="F41" i="41" s="1"/>
  <c r="BY222" i="40"/>
  <c r="CA222" i="40"/>
  <c r="CC222" i="40"/>
  <c r="F53" i="41" s="1"/>
  <c r="CE222" i="40"/>
  <c r="F57" i="41" s="1"/>
  <c r="CG222" i="40"/>
  <c r="CI222" i="40"/>
  <c r="CK222" i="40"/>
  <c r="CM222" i="40"/>
  <c r="BN222" i="40"/>
  <c r="BP222" i="40"/>
  <c r="BR222" i="40"/>
  <c r="BT222" i="40"/>
  <c r="BV222" i="40"/>
  <c r="BX222" i="40"/>
  <c r="BZ222" i="40"/>
  <c r="F47" i="41" s="1"/>
  <c r="CB222" i="40"/>
  <c r="CD222" i="40"/>
  <c r="CF222" i="40"/>
  <c r="CH222" i="40"/>
  <c r="CJ222" i="40"/>
  <c r="CL222" i="40"/>
  <c r="BL222" i="40"/>
  <c r="I32" i="43"/>
  <c r="K32" i="43"/>
  <c r="O32" i="43"/>
  <c r="J32" i="43"/>
  <c r="N32" i="43"/>
  <c r="M8" i="41"/>
  <c r="N8" i="41" s="1"/>
  <c r="AK125" i="40"/>
  <c r="P211" i="40"/>
  <c r="P212" i="40" s="1"/>
  <c r="P263" i="40"/>
  <c r="P264" i="40" s="1"/>
  <c r="M280" i="40"/>
  <c r="M281" i="40" s="1"/>
  <c r="P230" i="40"/>
  <c r="AJ122" i="40"/>
  <c r="AR122" i="40" s="1"/>
  <c r="AI121" i="40"/>
  <c r="AQ121" i="40" s="1"/>
  <c r="AH122" i="40"/>
  <c r="AP122" i="40" s="1"/>
  <c r="P266" i="40"/>
  <c r="N267" i="40" s="1"/>
  <c r="P214" i="40"/>
  <c r="N215" i="40" s="1"/>
  <c r="K21" i="39"/>
  <c r="K270" i="39"/>
  <c r="Y68" i="40"/>
  <c r="Y69" i="40" s="1"/>
  <c r="Y70" i="40" s="1"/>
  <c r="Z68" i="40"/>
  <c r="Z69" i="40" s="1"/>
  <c r="W314" i="40"/>
  <c r="W315" i="40" s="1"/>
  <c r="V314" i="40"/>
  <c r="V315" i="40" s="1"/>
  <c r="V173" i="40"/>
  <c r="V174" i="40" s="1"/>
  <c r="V175" i="40" s="1"/>
  <c r="W173" i="40"/>
  <c r="W174" i="40" s="1"/>
  <c r="W85" i="40"/>
  <c r="W86" i="40" s="1"/>
  <c r="V85" i="40"/>
  <c r="V86" i="40" s="1"/>
  <c r="V87" i="40" s="1"/>
  <c r="V103" i="40"/>
  <c r="V104" i="40" s="1"/>
  <c r="W103" i="40"/>
  <c r="W104" i="40" s="1"/>
  <c r="V68" i="40"/>
  <c r="V69" i="40" s="1"/>
  <c r="V70" i="40" s="1"/>
  <c r="W68" i="40"/>
  <c r="W69" i="40" s="1"/>
  <c r="Y279" i="40"/>
  <c r="Y280" i="40" s="1"/>
  <c r="Z279" i="40"/>
  <c r="Z280" i="40" s="1"/>
  <c r="W155" i="40"/>
  <c r="W156" i="40" s="1"/>
  <c r="V155" i="40"/>
  <c r="V156" i="40" s="1"/>
  <c r="V157" i="40" s="1"/>
  <c r="AO53" i="40"/>
  <c r="AS53" i="40" s="1"/>
  <c r="AU53" i="40" s="1"/>
  <c r="AQ53" i="40"/>
  <c r="V331" i="40"/>
  <c r="W331" i="40"/>
  <c r="W332" i="40" s="1"/>
  <c r="Y367" i="40"/>
  <c r="Y368" i="40" s="1"/>
  <c r="Z367" i="40"/>
  <c r="Z368" i="40" s="1"/>
  <c r="Y331" i="40"/>
  <c r="Y332" i="40" s="1"/>
  <c r="Z331" i="40"/>
  <c r="Z332" i="40" s="1"/>
  <c r="Y296" i="40"/>
  <c r="Y297" i="40" s="1"/>
  <c r="Z296" i="40"/>
  <c r="Z297" i="40" s="1"/>
  <c r="V296" i="40"/>
  <c r="W296" i="40"/>
  <c r="W297" i="40" s="1"/>
  <c r="W279" i="40"/>
  <c r="W280" i="40" s="1"/>
  <c r="V279" i="40"/>
  <c r="V280" i="40" s="1"/>
  <c r="V367" i="40"/>
  <c r="V368" i="40" s="1"/>
  <c r="W367" i="40"/>
  <c r="W368" i="40" s="1"/>
  <c r="Y314" i="40"/>
  <c r="Y315" i="40" s="1"/>
  <c r="Z314" i="40"/>
  <c r="Z315" i="40" s="1"/>
  <c r="AR54" i="40"/>
  <c r="AP54" i="40"/>
  <c r="AT54" i="40" s="1"/>
  <c r="AU54" i="40" s="1"/>
  <c r="V138" i="40"/>
  <c r="V139" i="40" s="1"/>
  <c r="V140" i="40" s="1"/>
  <c r="W138" i="40"/>
  <c r="W139" i="40" s="1"/>
  <c r="S120" i="40"/>
  <c r="S125" i="40" s="1"/>
  <c r="T120" i="40"/>
  <c r="T121" i="40" s="1"/>
  <c r="P155" i="40"/>
  <c r="P156" i="40" s="1"/>
  <c r="P157" i="40" s="1"/>
  <c r="Q155" i="40"/>
  <c r="Q156" i="40" s="1"/>
  <c r="Q103" i="40"/>
  <c r="Q104" i="40" s="1"/>
  <c r="P103" i="40"/>
  <c r="P104" i="40" s="1"/>
  <c r="P105" i="40" s="1"/>
  <c r="Q85" i="40"/>
  <c r="Q86" i="40" s="1"/>
  <c r="P85" i="40"/>
  <c r="P86" i="40" s="1"/>
  <c r="Q191" i="40"/>
  <c r="Q192" i="40" s="1"/>
  <c r="P191" i="40"/>
  <c r="P192" i="40" s="1"/>
  <c r="P193" i="40" s="1"/>
  <c r="M155" i="40"/>
  <c r="M156" i="40" s="1"/>
  <c r="N155" i="40"/>
  <c r="N156" i="40" s="1"/>
  <c r="P138" i="40"/>
  <c r="P139" i="40" s="1"/>
  <c r="P140" i="40" s="1"/>
  <c r="Q138" i="40"/>
  <c r="Q139" i="40" s="1"/>
  <c r="AR52" i="40"/>
  <c r="AP52" i="40"/>
  <c r="AT52" i="40" s="1"/>
  <c r="AU52" i="40" s="1"/>
  <c r="N68" i="40"/>
  <c r="N69" i="40" s="1"/>
  <c r="M68" i="40"/>
  <c r="M69" i="40" s="1"/>
  <c r="S173" i="40"/>
  <c r="S174" i="40" s="1"/>
  <c r="S175" i="40" s="1"/>
  <c r="T173" i="40"/>
  <c r="T174" i="40" s="1"/>
  <c r="AQ51" i="40"/>
  <c r="AO51" i="40"/>
  <c r="AS51" i="40" s="1"/>
  <c r="AU51" i="40" s="1"/>
  <c r="Q120" i="40"/>
  <c r="Q121" i="40" s="1"/>
  <c r="P120" i="40"/>
  <c r="P121" i="40" s="1"/>
  <c r="P122" i="40" s="1"/>
  <c r="P173" i="40"/>
  <c r="P174" i="40" s="1"/>
  <c r="P175" i="40" s="1"/>
  <c r="Q173" i="40"/>
  <c r="Q174" i="40" s="1"/>
  <c r="S367" i="40"/>
  <c r="S368" i="40" s="1"/>
  <c r="T367" i="40"/>
  <c r="T368" i="40" s="1"/>
  <c r="T296" i="40"/>
  <c r="T297" i="40" s="1"/>
  <c r="S296" i="40"/>
  <c r="S297" i="40" s="1"/>
  <c r="S314" i="40"/>
  <c r="S315" i="40" s="1"/>
  <c r="T314" i="40"/>
  <c r="T315" i="40" s="1"/>
  <c r="S331" i="40"/>
  <c r="S332" i="40" s="1"/>
  <c r="T331" i="40"/>
  <c r="T332" i="40" s="1"/>
  <c r="T279" i="40"/>
  <c r="T280" i="40" s="1"/>
  <c r="S279" i="40"/>
  <c r="S280" i="40" s="1"/>
  <c r="Q296" i="40"/>
  <c r="Q297" i="40" s="1"/>
  <c r="P296" i="40"/>
  <c r="P279" i="40"/>
  <c r="Q279" i="40"/>
  <c r="Q280" i="40" s="1"/>
  <c r="P367" i="40"/>
  <c r="Q367" i="40"/>
  <c r="Q368" i="40" s="1"/>
  <c r="P314" i="40"/>
  <c r="Q314" i="40"/>
  <c r="Q315" i="40" s="1"/>
  <c r="Q331" i="40"/>
  <c r="Q332" i="40" s="1"/>
  <c r="P331" i="40"/>
  <c r="S336" i="40"/>
  <c r="P299" i="40"/>
  <c r="P372" i="40"/>
  <c r="N373" i="40" s="1"/>
  <c r="M70" i="40"/>
  <c r="Y73" i="40"/>
  <c r="AY42" i="19"/>
  <c r="AX42" i="19"/>
  <c r="AL41" i="19"/>
  <c r="AL42" i="19" s="1"/>
  <c r="AM41" i="19"/>
  <c r="AM42" i="19" s="1"/>
  <c r="AI42" i="19"/>
  <c r="I56" i="41" l="1"/>
  <c r="J56" i="41"/>
  <c r="F71" i="41"/>
  <c r="F49" i="41"/>
  <c r="F67" i="41"/>
  <c r="F61" i="41"/>
  <c r="F63" i="41"/>
  <c r="F35" i="41"/>
  <c r="F65" i="41"/>
  <c r="F19" i="41"/>
  <c r="F31" i="41"/>
  <c r="F55" i="41"/>
  <c r="F33" i="41"/>
  <c r="F43" i="41"/>
  <c r="F51" i="41"/>
  <c r="F45" i="41"/>
  <c r="F39" i="41"/>
  <c r="F69" i="41"/>
  <c r="F59" i="41"/>
  <c r="G29" i="41"/>
  <c r="I29" i="41"/>
  <c r="J29" i="41" s="1"/>
  <c r="K29" i="41" s="1"/>
  <c r="L29" i="41" s="1"/>
  <c r="O29" i="41"/>
  <c r="M29" i="41"/>
  <c r="N29" i="41" s="1"/>
  <c r="J70" i="41"/>
  <c r="I70" i="41"/>
  <c r="I34" i="41"/>
  <c r="J34" i="41"/>
  <c r="G57" i="41"/>
  <c r="O57" i="41"/>
  <c r="K57" i="41"/>
  <c r="L57" i="41" s="1"/>
  <c r="N57" i="41"/>
  <c r="I57" i="41"/>
  <c r="J57" i="41" s="1"/>
  <c r="M57" i="41"/>
  <c r="G41" i="41"/>
  <c r="O41" i="41"/>
  <c r="I41" i="41"/>
  <c r="J41" i="41" s="1"/>
  <c r="K41" i="41" s="1"/>
  <c r="L41" i="41" s="1"/>
  <c r="M41" i="41"/>
  <c r="N41" i="41" s="1"/>
  <c r="I62" i="41"/>
  <c r="J62" i="41"/>
  <c r="I64" i="41"/>
  <c r="J64" i="41"/>
  <c r="I66" i="41"/>
  <c r="J66" i="41"/>
  <c r="G47" i="41"/>
  <c r="O47" i="41"/>
  <c r="K47" i="41"/>
  <c r="L47" i="41" s="1"/>
  <c r="J47" i="41"/>
  <c r="I47" i="41"/>
  <c r="N47" i="41"/>
  <c r="M47" i="41"/>
  <c r="O53" i="41"/>
  <c r="G53" i="41"/>
  <c r="K53" i="41"/>
  <c r="L53" i="41" s="1"/>
  <c r="N53" i="41"/>
  <c r="I53" i="41"/>
  <c r="J53" i="41" s="1"/>
  <c r="M53" i="41"/>
  <c r="G37" i="41"/>
  <c r="O37" i="41"/>
  <c r="N37" i="41"/>
  <c r="M37" i="41"/>
  <c r="I37" i="41"/>
  <c r="J37" i="41" s="1"/>
  <c r="K37" i="41" s="1"/>
  <c r="L37" i="41" s="1"/>
  <c r="J48" i="41"/>
  <c r="I48" i="41"/>
  <c r="J36" i="41"/>
  <c r="I36" i="41"/>
  <c r="AF125" i="40"/>
  <c r="AG125" i="40" s="1"/>
  <c r="AO125" i="40" s="1"/>
  <c r="AT122" i="40"/>
  <c r="AU122" i="40" s="1"/>
  <c r="AL124" i="40"/>
  <c r="AT124" i="40" s="1"/>
  <c r="AU124" i="40" s="1"/>
  <c r="AS121" i="40"/>
  <c r="AU121" i="40" s="1"/>
  <c r="O7" i="41"/>
  <c r="G7" i="41"/>
  <c r="G9" i="41"/>
  <c r="I9" i="41"/>
  <c r="J9" i="41" s="1"/>
  <c r="K9" i="41" s="1"/>
  <c r="L9" i="41" s="1"/>
  <c r="O9" i="41"/>
  <c r="G15" i="41"/>
  <c r="O15" i="41"/>
  <c r="G11" i="41"/>
  <c r="O11" i="41"/>
  <c r="M17" i="41"/>
  <c r="N17" i="41" s="1"/>
  <c r="I13" i="41"/>
  <c r="J13" i="41" s="1"/>
  <c r="K13" i="41" s="1"/>
  <c r="L13" i="41" s="1"/>
  <c r="M13" i="41"/>
  <c r="N13" i="41" s="1"/>
  <c r="O13" i="41"/>
  <c r="G13" i="41"/>
  <c r="N15" i="41"/>
  <c r="I15" i="41"/>
  <c r="J15" i="41" s="1"/>
  <c r="K15" i="41" s="1"/>
  <c r="L15" i="41" s="1"/>
  <c r="M15" i="41"/>
  <c r="I11" i="41"/>
  <c r="J11" i="41" s="1"/>
  <c r="K11" i="41" s="1"/>
  <c r="L11" i="41" s="1"/>
  <c r="I7" i="41"/>
  <c r="J7" i="41" s="1"/>
  <c r="K7" i="41" s="1"/>
  <c r="L7" i="41" s="1"/>
  <c r="L5" i="43"/>
  <c r="M90" i="43"/>
  <c r="P90" i="43" s="1"/>
  <c r="M157" i="40"/>
  <c r="P336" i="40"/>
  <c r="N337" i="40" s="1"/>
  <c r="P332" i="40"/>
  <c r="P301" i="40"/>
  <c r="N302" i="40" s="1"/>
  <c r="P297" i="40"/>
  <c r="S121" i="40"/>
  <c r="S122" i="40" s="1"/>
  <c r="S123" i="40" s="1"/>
  <c r="G50" i="43" s="1"/>
  <c r="P317" i="40"/>
  <c r="P315" i="40"/>
  <c r="P370" i="40"/>
  <c r="P368" i="40"/>
  <c r="P280" i="40"/>
  <c r="P281" i="40" s="1"/>
  <c r="V301" i="40"/>
  <c r="V297" i="40"/>
  <c r="V336" i="40"/>
  <c r="V332" i="40"/>
  <c r="P87" i="40"/>
  <c r="P88" i="40" s="1"/>
  <c r="G33" i="43" s="1"/>
  <c r="M282" i="40"/>
  <c r="M284" i="40"/>
  <c r="K285" i="40" s="1"/>
  <c r="N284" i="40"/>
  <c r="AI125" i="40"/>
  <c r="AQ125" i="40" s="1"/>
  <c r="P334" i="40"/>
  <c r="T372" i="40"/>
  <c r="W319" i="40"/>
  <c r="T301" i="40"/>
  <c r="T319" i="40"/>
  <c r="W372" i="40"/>
  <c r="P319" i="40"/>
  <c r="N320" i="40" s="1"/>
  <c r="P106" i="40"/>
  <c r="G41" i="43" s="1"/>
  <c r="N160" i="40"/>
  <c r="N73" i="40"/>
  <c r="Y317" i="40"/>
  <c r="Y319" i="40"/>
  <c r="Z319" i="40"/>
  <c r="Z320" i="40" s="1"/>
  <c r="V71" i="40"/>
  <c r="G27" i="43" s="1"/>
  <c r="W73" i="40"/>
  <c r="W74" i="40" s="1"/>
  <c r="V88" i="40"/>
  <c r="G35" i="43" s="1"/>
  <c r="W90" i="40"/>
  <c r="Y191" i="40"/>
  <c r="Y192" i="40" s="1"/>
  <c r="Y193" i="40" s="1"/>
  <c r="Z191" i="40"/>
  <c r="Z192" i="40" s="1"/>
  <c r="V105" i="40"/>
  <c r="V108" i="40" s="1"/>
  <c r="V141" i="40"/>
  <c r="G59" i="43" s="1"/>
  <c r="W143" i="40"/>
  <c r="Y71" i="40"/>
  <c r="G28" i="43" s="1"/>
  <c r="Z73" i="40"/>
  <c r="Z74" i="40" s="1"/>
  <c r="V158" i="40"/>
  <c r="G67" i="43" s="1"/>
  <c r="W160" i="40"/>
  <c r="V176" i="40"/>
  <c r="G75" i="43" s="1"/>
  <c r="W178" i="40"/>
  <c r="W191" i="40"/>
  <c r="W192" i="40" s="1"/>
  <c r="V191" i="40"/>
  <c r="V120" i="40"/>
  <c r="W120" i="40"/>
  <c r="W121" i="40" s="1"/>
  <c r="Y155" i="40"/>
  <c r="Y156" i="40" s="1"/>
  <c r="Y157" i="40" s="1"/>
  <c r="Z155" i="40"/>
  <c r="Z156" i="40" s="1"/>
  <c r="Y103" i="40"/>
  <c r="Y104" i="40" s="1"/>
  <c r="Y105" i="40" s="1"/>
  <c r="Z103" i="40"/>
  <c r="Z104" i="40" s="1"/>
  <c r="Y85" i="40"/>
  <c r="Y86" i="40" s="1"/>
  <c r="Y87" i="40" s="1"/>
  <c r="Z85" i="40"/>
  <c r="Z86" i="40" s="1"/>
  <c r="Y173" i="40"/>
  <c r="Y174" i="40" s="1"/>
  <c r="Y175" i="40" s="1"/>
  <c r="Z173" i="40"/>
  <c r="Z174" i="40" s="1"/>
  <c r="Y120" i="40"/>
  <c r="Y121" i="40" s="1"/>
  <c r="Y122" i="40" s="1"/>
  <c r="Z120" i="40"/>
  <c r="Z121" i="40" s="1"/>
  <c r="V299" i="40"/>
  <c r="W301" i="40"/>
  <c r="Y299" i="40"/>
  <c r="Z301" i="40"/>
  <c r="Z302" i="40" s="1"/>
  <c r="Y301" i="40"/>
  <c r="Y334" i="40"/>
  <c r="Z336" i="40"/>
  <c r="Z337" i="40" s="1"/>
  <c r="Y336" i="40"/>
  <c r="Y370" i="40"/>
  <c r="Z372" i="40"/>
  <c r="Z373" i="40" s="1"/>
  <c r="Y372" i="40"/>
  <c r="V334" i="40"/>
  <c r="W336" i="40"/>
  <c r="Y138" i="40"/>
  <c r="Y139" i="40" s="1"/>
  <c r="Y140" i="40" s="1"/>
  <c r="Z138" i="40"/>
  <c r="Z139" i="40" s="1"/>
  <c r="P123" i="40"/>
  <c r="G49" i="43" s="1"/>
  <c r="P125" i="40"/>
  <c r="N126" i="40" s="1"/>
  <c r="BK115" i="40" s="1"/>
  <c r="Q125" i="40"/>
  <c r="Q126" i="40" s="1"/>
  <c r="S176" i="40"/>
  <c r="G74" i="43" s="1"/>
  <c r="T178" i="40"/>
  <c r="P158" i="40"/>
  <c r="G65" i="43" s="1"/>
  <c r="Q160" i="40"/>
  <c r="P141" i="40"/>
  <c r="G57" i="43" s="1"/>
  <c r="P143" i="40"/>
  <c r="N144" i="40" s="1"/>
  <c r="BK133" i="40" s="1"/>
  <c r="Q143" i="40"/>
  <c r="P68" i="40"/>
  <c r="Q68" i="40"/>
  <c r="Q69" i="40" s="1"/>
  <c r="Q319" i="40"/>
  <c r="P160" i="40"/>
  <c r="V160" i="40"/>
  <c r="V90" i="40"/>
  <c r="V73" i="40"/>
  <c r="P176" i="40"/>
  <c r="G73" i="43" s="1"/>
  <c r="P178" i="40"/>
  <c r="N179" i="40" s="1"/>
  <c r="Q178" i="40"/>
  <c r="P90" i="40"/>
  <c r="N91" i="40" s="1"/>
  <c r="BK80" i="40" s="1"/>
  <c r="T125" i="40"/>
  <c r="P194" i="40"/>
  <c r="G81" i="43" s="1"/>
  <c r="P196" i="40"/>
  <c r="N197" i="40" s="1"/>
  <c r="BK186" i="40" s="1"/>
  <c r="Q196" i="40"/>
  <c r="S138" i="40"/>
  <c r="S139" i="40" s="1"/>
  <c r="S140" i="40" s="1"/>
  <c r="T138" i="40"/>
  <c r="T139" i="40" s="1"/>
  <c r="T191" i="40"/>
  <c r="T192" i="40" s="1"/>
  <c r="S191" i="40"/>
  <c r="S192" i="40" s="1"/>
  <c r="S193" i="40" s="1"/>
  <c r="T85" i="40"/>
  <c r="T86" i="40" s="1"/>
  <c r="S85" i="40"/>
  <c r="T103" i="40"/>
  <c r="T104" i="40" s="1"/>
  <c r="S103" i="40"/>
  <c r="S104" i="40" s="1"/>
  <c r="S105" i="40" s="1"/>
  <c r="T155" i="40"/>
  <c r="T156" i="40" s="1"/>
  <c r="S155" i="40"/>
  <c r="S156" i="40" s="1"/>
  <c r="S157" i="40" s="1"/>
  <c r="T68" i="40"/>
  <c r="T69" i="40" s="1"/>
  <c r="S68" i="40"/>
  <c r="S69" i="40" s="1"/>
  <c r="V143" i="40"/>
  <c r="S178" i="40"/>
  <c r="V178" i="40"/>
  <c r="Q336" i="40"/>
  <c r="Q337" i="40" s="1"/>
  <c r="Q301" i="40"/>
  <c r="V317" i="40"/>
  <c r="V319" i="40"/>
  <c r="V370" i="40"/>
  <c r="V372" i="40"/>
  <c r="S334" i="40"/>
  <c r="T336" i="40"/>
  <c r="S370" i="40"/>
  <c r="S372" i="40"/>
  <c r="S317" i="40"/>
  <c r="S319" i="40"/>
  <c r="S299" i="40"/>
  <c r="S301" i="40"/>
  <c r="Q372" i="40"/>
  <c r="M158" i="40"/>
  <c r="G64" i="43" s="1"/>
  <c r="M160" i="40"/>
  <c r="K161" i="40" s="1"/>
  <c r="BJ150" i="40" s="1"/>
  <c r="M71" i="40"/>
  <c r="G24" i="43" s="1"/>
  <c r="M73" i="40"/>
  <c r="K74" i="40" s="1"/>
  <c r="BJ63" i="40" s="1"/>
  <c r="AO42" i="19"/>
  <c r="AN42" i="19"/>
  <c r="M7" i="41" l="1"/>
  <c r="N7" i="41" s="1"/>
  <c r="P94" i="43" s="1"/>
  <c r="Q94" i="43" s="1"/>
  <c r="M9" i="41"/>
  <c r="N9" i="41" s="1"/>
  <c r="O45" i="41"/>
  <c r="G45" i="41"/>
  <c r="M45" i="41"/>
  <c r="N45" i="41" s="1"/>
  <c r="I45" i="41"/>
  <c r="J45" i="41" s="1"/>
  <c r="K45" i="41" s="1"/>
  <c r="L45" i="41" s="1"/>
  <c r="G35" i="41"/>
  <c r="O35" i="41"/>
  <c r="I35" i="41"/>
  <c r="J35" i="41" s="1"/>
  <c r="K35" i="41" s="1"/>
  <c r="L35" i="41" s="1"/>
  <c r="M35" i="41"/>
  <c r="N35" i="41"/>
  <c r="G51" i="41"/>
  <c r="O51" i="41"/>
  <c r="M51" i="41"/>
  <c r="I51" i="41"/>
  <c r="J51" i="41" s="1"/>
  <c r="N51" i="41"/>
  <c r="K51" i="41"/>
  <c r="L51" i="41" s="1"/>
  <c r="O63" i="41"/>
  <c r="G63" i="41"/>
  <c r="N63" i="41"/>
  <c r="I63" i="41"/>
  <c r="K63" i="41"/>
  <c r="L63" i="41" s="1"/>
  <c r="J63" i="41"/>
  <c r="M63" i="41"/>
  <c r="O69" i="41"/>
  <c r="G69" i="41"/>
  <c r="I69" i="41"/>
  <c r="M69" i="41"/>
  <c r="N69" i="41"/>
  <c r="J69" i="41"/>
  <c r="K69" i="41"/>
  <c r="L69" i="41" s="1"/>
  <c r="G43" i="41"/>
  <c r="O43" i="41"/>
  <c r="I43" i="41"/>
  <c r="J43" i="41" s="1"/>
  <c r="K43" i="41" s="1"/>
  <c r="L43" i="41" s="1"/>
  <c r="N43" i="41"/>
  <c r="M43" i="41"/>
  <c r="G19" i="41"/>
  <c r="I19" i="41"/>
  <c r="J19" i="41" s="1"/>
  <c r="K19" i="41" s="1"/>
  <c r="L19" i="41" s="1"/>
  <c r="O19" i="41"/>
  <c r="M19" i="41"/>
  <c r="N19" i="41" s="1"/>
  <c r="G61" i="41"/>
  <c r="O61" i="41"/>
  <c r="N61" i="41"/>
  <c r="I61" i="41"/>
  <c r="M61" i="41"/>
  <c r="K61" i="41"/>
  <c r="L61" i="41" s="1"/>
  <c r="J61" i="41"/>
  <c r="G55" i="41"/>
  <c r="O55" i="41"/>
  <c r="M55" i="41"/>
  <c r="J55" i="41"/>
  <c r="N55" i="41"/>
  <c r="I55" i="41"/>
  <c r="K55" i="41"/>
  <c r="L55" i="41" s="1"/>
  <c r="G49" i="41"/>
  <c r="O49" i="41"/>
  <c r="I49" i="41"/>
  <c r="J49" i="41" s="1"/>
  <c r="M49" i="41"/>
  <c r="N49" i="41"/>
  <c r="K49" i="41"/>
  <c r="L49" i="41" s="1"/>
  <c r="G59" i="41"/>
  <c r="O59" i="41"/>
  <c r="K59" i="41"/>
  <c r="L59" i="41" s="1"/>
  <c r="I59" i="41"/>
  <c r="J59" i="41" s="1"/>
  <c r="N59" i="41"/>
  <c r="M59" i="41"/>
  <c r="G31" i="41"/>
  <c r="O31" i="41"/>
  <c r="I31" i="41"/>
  <c r="J31" i="41" s="1"/>
  <c r="K31" i="41" s="1"/>
  <c r="L31" i="41" s="1"/>
  <c r="M31" i="41"/>
  <c r="N31" i="41"/>
  <c r="G71" i="41"/>
  <c r="O71" i="41"/>
  <c r="M71" i="41"/>
  <c r="I71" i="41"/>
  <c r="K71" i="41"/>
  <c r="L71" i="41" s="1"/>
  <c r="J71" i="41"/>
  <c r="N71" i="41"/>
  <c r="M11" i="41"/>
  <c r="N11" i="41" s="1"/>
  <c r="G39" i="41"/>
  <c r="O39" i="41"/>
  <c r="M39" i="41"/>
  <c r="N39" i="41" s="1"/>
  <c r="I39" i="41"/>
  <c r="J39" i="41" s="1"/>
  <c r="K39" i="41" s="1"/>
  <c r="L39" i="41" s="1"/>
  <c r="G33" i="41"/>
  <c r="I33" i="41"/>
  <c r="J33" i="41" s="1"/>
  <c r="K33" i="41" s="1"/>
  <c r="L33" i="41" s="1"/>
  <c r="O33" i="41"/>
  <c r="M33" i="41"/>
  <c r="N33" i="41"/>
  <c r="O65" i="41"/>
  <c r="G65" i="41"/>
  <c r="M65" i="41"/>
  <c r="K65" i="41"/>
  <c r="L65" i="41" s="1"/>
  <c r="I65" i="41"/>
  <c r="J65" i="41" s="1"/>
  <c r="N65" i="41"/>
  <c r="G67" i="41"/>
  <c r="O67" i="41"/>
  <c r="N67" i="41"/>
  <c r="M67" i="41"/>
  <c r="K67" i="41"/>
  <c r="L67" i="41" s="1"/>
  <c r="I67" i="41"/>
  <c r="J67" i="41" s="1"/>
  <c r="F14" i="41"/>
  <c r="O14" i="41" s="1"/>
  <c r="S94" i="43"/>
  <c r="T302" i="40"/>
  <c r="W320" i="40"/>
  <c r="S90" i="43"/>
  <c r="R90" i="43"/>
  <c r="Q90" i="43"/>
  <c r="O90" i="43" s="1"/>
  <c r="N90" i="43" s="1"/>
  <c r="T90" i="43"/>
  <c r="J24" i="43"/>
  <c r="N24" i="43"/>
  <c r="I24" i="43"/>
  <c r="K24" i="43"/>
  <c r="O24" i="43"/>
  <c r="I64" i="43"/>
  <c r="K64" i="43"/>
  <c r="O64" i="43"/>
  <c r="J64" i="43"/>
  <c r="N64" i="43"/>
  <c r="I49" i="43"/>
  <c r="K49" i="43"/>
  <c r="O49" i="43"/>
  <c r="J49" i="43"/>
  <c r="N49" i="43"/>
  <c r="J35" i="43"/>
  <c r="N35" i="43"/>
  <c r="I35" i="43"/>
  <c r="K35" i="43"/>
  <c r="O35" i="43"/>
  <c r="J27" i="43"/>
  <c r="N27" i="43"/>
  <c r="I27" i="43"/>
  <c r="K27" i="43"/>
  <c r="O27" i="43"/>
  <c r="J41" i="43"/>
  <c r="N41" i="43"/>
  <c r="I41" i="43"/>
  <c r="K41" i="43"/>
  <c r="O41" i="43"/>
  <c r="J33" i="43"/>
  <c r="N33" i="43"/>
  <c r="I33" i="43"/>
  <c r="K33" i="43"/>
  <c r="O33" i="43"/>
  <c r="I81" i="43"/>
  <c r="K81" i="43"/>
  <c r="O81" i="43"/>
  <c r="J81" i="43"/>
  <c r="N81" i="43"/>
  <c r="J50" i="43"/>
  <c r="N50" i="43"/>
  <c r="I50" i="43"/>
  <c r="K50" i="43"/>
  <c r="O50" i="43"/>
  <c r="I73" i="43"/>
  <c r="K73" i="43"/>
  <c r="O73" i="43"/>
  <c r="J73" i="43"/>
  <c r="N73" i="43"/>
  <c r="I57" i="43"/>
  <c r="K57" i="43"/>
  <c r="O57" i="43"/>
  <c r="J57" i="43"/>
  <c r="N57" i="43"/>
  <c r="J65" i="43"/>
  <c r="N65" i="43"/>
  <c r="I65" i="43"/>
  <c r="K65" i="43"/>
  <c r="O65" i="43"/>
  <c r="J74" i="43"/>
  <c r="N74" i="43"/>
  <c r="I74" i="43"/>
  <c r="K74" i="43"/>
  <c r="O74" i="43"/>
  <c r="I75" i="43"/>
  <c r="K75" i="43"/>
  <c r="O75" i="43"/>
  <c r="J75" i="43"/>
  <c r="N75" i="43"/>
  <c r="J67" i="43"/>
  <c r="N67" i="43"/>
  <c r="I67" i="43"/>
  <c r="K67" i="43"/>
  <c r="O67" i="43"/>
  <c r="I28" i="43"/>
  <c r="K28" i="43"/>
  <c r="O28" i="43"/>
  <c r="J28" i="43"/>
  <c r="N28" i="43"/>
  <c r="J59" i="43"/>
  <c r="N59" i="43"/>
  <c r="I59" i="43"/>
  <c r="K59" i="43"/>
  <c r="O59" i="43"/>
  <c r="F10" i="41"/>
  <c r="F12" i="41"/>
  <c r="O12" i="41" s="1"/>
  <c r="T337" i="40"/>
  <c r="T373" i="40"/>
  <c r="Q90" i="40"/>
  <c r="S86" i="40"/>
  <c r="S87" i="40" s="1"/>
  <c r="V125" i="40"/>
  <c r="T126" i="40" s="1"/>
  <c r="V121" i="40"/>
  <c r="V122" i="40" s="1"/>
  <c r="V123" i="40" s="1"/>
  <c r="G51" i="43" s="1"/>
  <c r="P69" i="40"/>
  <c r="P70" i="40" s="1"/>
  <c r="V196" i="40"/>
  <c r="V192" i="40"/>
  <c r="V193" i="40" s="1"/>
  <c r="V194" i="40" s="1"/>
  <c r="G83" i="43" s="1"/>
  <c r="S70" i="40"/>
  <c r="S71" i="40" s="1"/>
  <c r="G26" i="43" s="1"/>
  <c r="Q108" i="40"/>
  <c r="T320" i="40"/>
  <c r="P108" i="40"/>
  <c r="N109" i="40" s="1"/>
  <c r="BK98" i="40" s="1"/>
  <c r="W373" i="40"/>
  <c r="Q320" i="40"/>
  <c r="N161" i="40"/>
  <c r="BK150" i="40" s="1"/>
  <c r="W302" i="40"/>
  <c r="Q302" i="40"/>
  <c r="Y123" i="40"/>
  <c r="G52" i="43" s="1"/>
  <c r="Z125" i="40"/>
  <c r="Z126" i="40" s="1"/>
  <c r="Y125" i="40"/>
  <c r="Y176" i="40"/>
  <c r="G76" i="43" s="1"/>
  <c r="Z178" i="40"/>
  <c r="Z179" i="40" s="1"/>
  <c r="Y178" i="40"/>
  <c r="W179" i="40" s="1"/>
  <c r="BK168" i="40" s="1"/>
  <c r="Y88" i="40"/>
  <c r="G36" i="43" s="1"/>
  <c r="Z90" i="40"/>
  <c r="Z91" i="40" s="1"/>
  <c r="Y90" i="40"/>
  <c r="W91" i="40" s="1"/>
  <c r="Y158" i="40"/>
  <c r="G68" i="43" s="1"/>
  <c r="Z160" i="40"/>
  <c r="Z161" i="40" s="1"/>
  <c r="Y160" i="40"/>
  <c r="W161" i="40" s="1"/>
  <c r="W125" i="40"/>
  <c r="W337" i="40"/>
  <c r="Y141" i="40"/>
  <c r="G60" i="43" s="1"/>
  <c r="Z143" i="40"/>
  <c r="Z144" i="40" s="1"/>
  <c r="Y143" i="40"/>
  <c r="W144" i="40" s="1"/>
  <c r="W196" i="40"/>
  <c r="V282" i="40"/>
  <c r="W284" i="40"/>
  <c r="V284" i="40"/>
  <c r="Y282" i="40"/>
  <c r="Z284" i="40"/>
  <c r="Z285" i="40" s="1"/>
  <c r="Y284" i="40"/>
  <c r="V106" i="40"/>
  <c r="G43" i="43" s="1"/>
  <c r="W108" i="40"/>
  <c r="Y194" i="40"/>
  <c r="G84" i="43" s="1"/>
  <c r="Z196" i="40"/>
  <c r="Z197" i="40" s="1"/>
  <c r="Y196" i="40"/>
  <c r="T73" i="40"/>
  <c r="T74" i="40" s="1"/>
  <c r="S73" i="40"/>
  <c r="S158" i="40"/>
  <c r="G66" i="43" s="1"/>
  <c r="T160" i="40"/>
  <c r="T161" i="40" s="1"/>
  <c r="S160" i="40"/>
  <c r="Q161" i="40" s="1"/>
  <c r="T90" i="40"/>
  <c r="T91" i="40" s="1"/>
  <c r="S194" i="40"/>
  <c r="G82" i="43" s="1"/>
  <c r="T196" i="40"/>
  <c r="S196" i="40"/>
  <c r="Q197" i="40" s="1"/>
  <c r="Q373" i="40"/>
  <c r="Q179" i="40"/>
  <c r="T179" i="40"/>
  <c r="S141" i="40"/>
  <c r="G58" i="43" s="1"/>
  <c r="T143" i="40"/>
  <c r="T144" i="40" s="1"/>
  <c r="S143" i="40"/>
  <c r="Q144" i="40" s="1"/>
  <c r="S282" i="40"/>
  <c r="T284" i="40"/>
  <c r="S284" i="40"/>
  <c r="Q284" i="40"/>
  <c r="P284" i="40"/>
  <c r="N285" i="40" s="1"/>
  <c r="P282" i="40"/>
  <c r="T94" i="43" l="1"/>
  <c r="R94" i="43"/>
  <c r="G14" i="41"/>
  <c r="I14" i="41" s="1"/>
  <c r="J14" i="41" s="1"/>
  <c r="K14" i="41"/>
  <c r="L14" i="41" s="1"/>
  <c r="M14" i="41" s="1"/>
  <c r="N14" i="41" s="1"/>
  <c r="M99" i="43" s="1"/>
  <c r="J84" i="43"/>
  <c r="N84" i="43"/>
  <c r="I84" i="43"/>
  <c r="K84" i="43"/>
  <c r="O84" i="43"/>
  <c r="J43" i="43"/>
  <c r="N43" i="43"/>
  <c r="I43" i="43"/>
  <c r="K43" i="43"/>
  <c r="O43" i="43"/>
  <c r="I83" i="43"/>
  <c r="K83" i="43"/>
  <c r="O83" i="43"/>
  <c r="J83" i="43"/>
  <c r="N83" i="43"/>
  <c r="I51" i="43"/>
  <c r="K51" i="43"/>
  <c r="O51" i="43"/>
  <c r="J51" i="43"/>
  <c r="N51" i="43"/>
  <c r="I36" i="43"/>
  <c r="K36" i="43"/>
  <c r="O36" i="43"/>
  <c r="J36" i="43"/>
  <c r="N36" i="43"/>
  <c r="J52" i="43"/>
  <c r="N52" i="43"/>
  <c r="I52" i="43"/>
  <c r="K52" i="43"/>
  <c r="O52" i="43"/>
  <c r="I58" i="43"/>
  <c r="K58" i="43"/>
  <c r="O58" i="43"/>
  <c r="J58" i="43"/>
  <c r="N58" i="43"/>
  <c r="J82" i="43"/>
  <c r="N82" i="43"/>
  <c r="I82" i="43"/>
  <c r="K82" i="43"/>
  <c r="O82" i="43"/>
  <c r="I66" i="43"/>
  <c r="K66" i="43"/>
  <c r="O66" i="43"/>
  <c r="J66" i="43"/>
  <c r="N66" i="43"/>
  <c r="I60" i="43"/>
  <c r="K60" i="43"/>
  <c r="O60" i="43"/>
  <c r="J60" i="43"/>
  <c r="N60" i="43"/>
  <c r="I68" i="43"/>
  <c r="K68" i="43"/>
  <c r="O68" i="43"/>
  <c r="J68" i="43"/>
  <c r="N68" i="43"/>
  <c r="J76" i="43"/>
  <c r="N76" i="43"/>
  <c r="I76" i="43"/>
  <c r="K76" i="43"/>
  <c r="O76" i="43"/>
  <c r="J26" i="43"/>
  <c r="N26" i="43"/>
  <c r="I26" i="43"/>
  <c r="K26" i="43"/>
  <c r="O26" i="43"/>
  <c r="G10" i="41"/>
  <c r="I10" i="41" s="1"/>
  <c r="J10" i="41" s="1"/>
  <c r="K10" i="41" s="1"/>
  <c r="L10" i="41" s="1"/>
  <c r="O10" i="41"/>
  <c r="G12" i="41"/>
  <c r="I12" i="41" s="1"/>
  <c r="J12" i="41" s="1"/>
  <c r="K12" i="41" s="1"/>
  <c r="I5" i="41"/>
  <c r="J5" i="41" s="1"/>
  <c r="K5" i="41" s="1"/>
  <c r="L5" i="41" s="1"/>
  <c r="M5" i="41" s="1"/>
  <c r="N5" i="41" s="1"/>
  <c r="O5" i="41"/>
  <c r="T197" i="40"/>
  <c r="P71" i="40"/>
  <c r="G25" i="43" s="1"/>
  <c r="P73" i="40"/>
  <c r="N74" i="40" s="1"/>
  <c r="BK63" i="40" s="1"/>
  <c r="F16" i="41" s="1"/>
  <c r="Q73" i="40"/>
  <c r="Q74" i="40" s="1"/>
  <c r="S88" i="40"/>
  <c r="G34" i="43" s="1"/>
  <c r="S90" i="40"/>
  <c r="Q91" i="40" s="1"/>
  <c r="T285" i="40"/>
  <c r="W126" i="40"/>
  <c r="Y106" i="40"/>
  <c r="G44" i="43" s="1"/>
  <c r="Z108" i="40"/>
  <c r="Z109" i="40" s="1"/>
  <c r="Y108" i="40"/>
  <c r="W109" i="40" s="1"/>
  <c r="W285" i="40"/>
  <c r="W197" i="40"/>
  <c r="Q285" i="40"/>
  <c r="S106" i="40"/>
  <c r="G42" i="43" s="1"/>
  <c r="T108" i="40"/>
  <c r="T109" i="40" s="1"/>
  <c r="S108" i="40"/>
  <c r="Q109" i="40" s="1"/>
  <c r="L100" i="43" l="1"/>
  <c r="I42" i="43"/>
  <c r="K42" i="43"/>
  <c r="O42" i="43"/>
  <c r="J42" i="43"/>
  <c r="N42" i="43"/>
  <c r="I44" i="43"/>
  <c r="K44" i="43"/>
  <c r="O44" i="43"/>
  <c r="J44" i="43"/>
  <c r="N44" i="43"/>
  <c r="I34" i="43"/>
  <c r="K34" i="43"/>
  <c r="O34" i="43"/>
  <c r="J34" i="43"/>
  <c r="N34" i="43"/>
  <c r="I25" i="43"/>
  <c r="K25" i="43"/>
  <c r="O25" i="43"/>
  <c r="J25" i="43"/>
  <c r="N25" i="43"/>
  <c r="L12" i="41"/>
  <c r="M10" i="41"/>
  <c r="N10" i="41" s="1"/>
  <c r="G16" i="41"/>
  <c r="I16" i="41" s="1"/>
  <c r="J16" i="41" s="1"/>
  <c r="K16" i="41" s="1"/>
  <c r="O16" i="41"/>
  <c r="M5" i="43" l="1"/>
  <c r="P5" i="43" s="1"/>
  <c r="M98" i="43"/>
  <c r="P98" i="43" s="1"/>
  <c r="L99" i="43"/>
  <c r="P99" i="43" s="1"/>
  <c r="L16" i="41"/>
  <c r="M16" i="41" s="1"/>
  <c r="N16" i="41" s="1"/>
  <c r="M100" i="43" s="1"/>
  <c r="P100" i="43" s="1"/>
  <c r="P77" i="43"/>
  <c r="P69" i="43"/>
  <c r="P61" i="43"/>
  <c r="P53" i="43"/>
  <c r="P45" i="43"/>
  <c r="P21" i="43"/>
  <c r="P29" i="43"/>
  <c r="P37" i="43"/>
  <c r="P91" i="43"/>
  <c r="P44" i="43"/>
  <c r="P36" i="43"/>
  <c r="P76" i="43"/>
  <c r="P84" i="43"/>
  <c r="P60" i="43"/>
  <c r="P52" i="43"/>
  <c r="P28" i="43"/>
  <c r="P20" i="43"/>
  <c r="P68" i="43"/>
  <c r="P51" i="43"/>
  <c r="P19" i="43"/>
  <c r="P43" i="43"/>
  <c r="P11" i="43"/>
  <c r="P18" i="43"/>
  <c r="P50" i="43"/>
  <c r="P42" i="43"/>
  <c r="S42" i="43" s="1"/>
  <c r="P72" i="43"/>
  <c r="P25" i="43"/>
  <c r="S25" i="43" s="1"/>
  <c r="P65" i="43"/>
  <c r="P48" i="43"/>
  <c r="P40" i="43"/>
  <c r="P32" i="43"/>
  <c r="P73" i="43"/>
  <c r="P41" i="43"/>
  <c r="P12" i="43"/>
  <c r="P75" i="43"/>
  <c r="P59" i="43"/>
  <c r="P27" i="43"/>
  <c r="P35" i="43"/>
  <c r="P67" i="43"/>
  <c r="P83" i="43"/>
  <c r="P34" i="43"/>
  <c r="Q34" i="43" s="1"/>
  <c r="P58" i="43"/>
  <c r="P66" i="43"/>
  <c r="P82" i="43"/>
  <c r="P74" i="43"/>
  <c r="P26" i="43"/>
  <c r="P10" i="43"/>
  <c r="P24" i="43"/>
  <c r="P33" i="43"/>
  <c r="P64" i="43"/>
  <c r="P57" i="43"/>
  <c r="P81" i="43"/>
  <c r="P16" i="43"/>
  <c r="P49" i="43"/>
  <c r="P56" i="43"/>
  <c r="P17" i="43"/>
  <c r="M12" i="41"/>
  <c r="N12" i="41" s="1"/>
  <c r="T25" i="43" l="1"/>
  <c r="S99" i="43"/>
  <c r="R99" i="43"/>
  <c r="T99" i="43"/>
  <c r="Q99" i="43"/>
  <c r="O99" i="43" s="1"/>
  <c r="N99" i="43" s="1"/>
  <c r="Q25" i="43"/>
  <c r="S100" i="43"/>
  <c r="Q100" i="43"/>
  <c r="O100" i="43" s="1"/>
  <c r="N100" i="43" s="1"/>
  <c r="T100" i="43"/>
  <c r="R100" i="43"/>
  <c r="T98" i="43"/>
  <c r="R98" i="43"/>
  <c r="S98" i="43"/>
  <c r="Q98" i="43"/>
  <c r="O98" i="43" s="1"/>
  <c r="N98" i="43" s="1"/>
  <c r="T34" i="43"/>
  <c r="P8" i="43"/>
  <c r="S8" i="43" s="1"/>
  <c r="P9" i="43"/>
  <c r="Q9" i="43" s="1"/>
  <c r="P93" i="43"/>
  <c r="S93" i="43" s="1"/>
  <c r="S34" i="43"/>
  <c r="R34" i="43"/>
  <c r="R25" i="43"/>
  <c r="Q49" i="43"/>
  <c r="S49" i="43"/>
  <c r="T49" i="43"/>
  <c r="R49" i="43"/>
  <c r="T81" i="43"/>
  <c r="R81" i="43"/>
  <c r="S81" i="43"/>
  <c r="Q81" i="43"/>
  <c r="T74" i="43"/>
  <c r="R74" i="43"/>
  <c r="Q74" i="43"/>
  <c r="S74" i="43"/>
  <c r="S83" i="43"/>
  <c r="Q83" i="43"/>
  <c r="R83" i="43"/>
  <c r="T83" i="43"/>
  <c r="T75" i="43"/>
  <c r="R75" i="43"/>
  <c r="S75" i="43"/>
  <c r="Q75" i="43"/>
  <c r="T41" i="43"/>
  <c r="Q41" i="43"/>
  <c r="R41" i="43"/>
  <c r="S41" i="43"/>
  <c r="T73" i="43"/>
  <c r="R73" i="43"/>
  <c r="S73" i="43"/>
  <c r="Q73" i="43"/>
  <c r="T65" i="43"/>
  <c r="Q65" i="43"/>
  <c r="S65" i="43"/>
  <c r="R65" i="43"/>
  <c r="T43" i="43"/>
  <c r="S43" i="43"/>
  <c r="Q43" i="43"/>
  <c r="R43" i="43"/>
  <c r="R28" i="43"/>
  <c r="S28" i="43"/>
  <c r="T28" i="43"/>
  <c r="Q28" i="43"/>
  <c r="T52" i="43"/>
  <c r="R52" i="43"/>
  <c r="S52" i="43"/>
  <c r="Q52" i="43"/>
  <c r="T84" i="43"/>
  <c r="R84" i="43"/>
  <c r="Q84" i="43"/>
  <c r="S84" i="43"/>
  <c r="T76" i="43"/>
  <c r="S76" i="43"/>
  <c r="R76" i="43"/>
  <c r="Q76" i="43"/>
  <c r="S36" i="43"/>
  <c r="R36" i="43"/>
  <c r="T36" i="43"/>
  <c r="Q36" i="43"/>
  <c r="P13" i="43"/>
  <c r="Q13" i="43" s="1"/>
  <c r="Q42" i="43"/>
  <c r="S57" i="43"/>
  <c r="R57" i="43"/>
  <c r="Q57" i="43"/>
  <c r="T57" i="43"/>
  <c r="T33" i="43"/>
  <c r="R33" i="43"/>
  <c r="S33" i="43"/>
  <c r="Q33" i="43"/>
  <c r="S26" i="43"/>
  <c r="T26" i="43"/>
  <c r="Q26" i="43"/>
  <c r="R26" i="43"/>
  <c r="T82" i="43"/>
  <c r="R82" i="43"/>
  <c r="Q82" i="43"/>
  <c r="S82" i="43"/>
  <c r="T66" i="43"/>
  <c r="Q66" i="43"/>
  <c r="S66" i="43"/>
  <c r="R66" i="43"/>
  <c r="T58" i="43"/>
  <c r="S58" i="43"/>
  <c r="R58" i="43"/>
  <c r="Q58" i="43"/>
  <c r="Q67" i="43"/>
  <c r="R67" i="43"/>
  <c r="S67" i="43"/>
  <c r="T67" i="43"/>
  <c r="R35" i="43"/>
  <c r="T35" i="43"/>
  <c r="S35" i="43"/>
  <c r="Q35" i="43"/>
  <c r="T27" i="43"/>
  <c r="Q27" i="43"/>
  <c r="S27" i="43"/>
  <c r="R27" i="43"/>
  <c r="S59" i="43"/>
  <c r="T59" i="43"/>
  <c r="R59" i="43"/>
  <c r="Q59" i="43"/>
  <c r="R12" i="43"/>
  <c r="Q12" i="43"/>
  <c r="T12" i="43"/>
  <c r="S12" i="43"/>
  <c r="S50" i="43"/>
  <c r="Q50" i="43"/>
  <c r="T50" i="43"/>
  <c r="R50" i="43"/>
  <c r="T11" i="43"/>
  <c r="Q11" i="43"/>
  <c r="S11" i="43"/>
  <c r="R11" i="43"/>
  <c r="R19" i="43"/>
  <c r="Q19" i="43"/>
  <c r="S19" i="43"/>
  <c r="T19" i="43"/>
  <c r="S51" i="43"/>
  <c r="T51" i="43"/>
  <c r="Q51" i="43"/>
  <c r="R51" i="43"/>
  <c r="S68" i="43"/>
  <c r="R68" i="43"/>
  <c r="Q68" i="43"/>
  <c r="T68" i="43"/>
  <c r="S20" i="43"/>
  <c r="T20" i="43"/>
  <c r="R20" i="43"/>
  <c r="Q20" i="43"/>
  <c r="R60" i="43"/>
  <c r="Q60" i="43"/>
  <c r="S60" i="43"/>
  <c r="T60" i="43"/>
  <c r="T44" i="43"/>
  <c r="R44" i="43"/>
  <c r="Q44" i="43"/>
  <c r="R42" i="43"/>
  <c r="T42" i="43"/>
  <c r="S44" i="43"/>
  <c r="Q10" i="43"/>
  <c r="S10" i="43"/>
  <c r="R10" i="43"/>
  <c r="T10" i="43"/>
  <c r="Q18" i="43"/>
  <c r="T18" i="43"/>
  <c r="S18" i="43"/>
  <c r="R18" i="43"/>
  <c r="Q17" i="43"/>
  <c r="T17" i="43"/>
  <c r="S17" i="43"/>
  <c r="R17" i="43"/>
  <c r="P80" i="43"/>
  <c r="Q80" i="43" s="1"/>
  <c r="P7" i="43"/>
  <c r="P63" i="43"/>
  <c r="P55" i="43"/>
  <c r="P71" i="43"/>
  <c r="P47" i="43"/>
  <c r="P23" i="43"/>
  <c r="P15" i="43"/>
  <c r="P31" i="43"/>
  <c r="P39" i="43"/>
  <c r="P14" i="43"/>
  <c r="P92" i="43"/>
  <c r="P6" i="43"/>
  <c r="R56" i="43"/>
  <c r="T56" i="43"/>
  <c r="Q56" i="43"/>
  <c r="S56" i="43"/>
  <c r="Q16" i="43"/>
  <c r="T16" i="43"/>
  <c r="R16" i="43"/>
  <c r="S16" i="43"/>
  <c r="Q32" i="43"/>
  <c r="T32" i="43"/>
  <c r="S32" i="43"/>
  <c r="R32" i="43"/>
  <c r="T48" i="43"/>
  <c r="Q48" i="43"/>
  <c r="R48" i="43"/>
  <c r="S48" i="43"/>
  <c r="Q29" i="43"/>
  <c r="T29" i="43"/>
  <c r="S29" i="43"/>
  <c r="R29" i="43"/>
  <c r="R5" i="43"/>
  <c r="S5" i="43"/>
  <c r="Q5" i="43"/>
  <c r="O5" i="43" s="1"/>
  <c r="N5" i="43" s="1"/>
  <c r="T5" i="43"/>
  <c r="Q61" i="43"/>
  <c r="R61" i="43"/>
  <c r="T61" i="43"/>
  <c r="S61" i="43"/>
  <c r="T69" i="43"/>
  <c r="R69" i="43"/>
  <c r="S69" i="43"/>
  <c r="Q69" i="43"/>
  <c r="Q77" i="43"/>
  <c r="S77" i="43"/>
  <c r="R77" i="43"/>
  <c r="T77" i="43"/>
  <c r="P22" i="43"/>
  <c r="P46" i="43"/>
  <c r="P38" i="43"/>
  <c r="P62" i="43"/>
  <c r="T64" i="43"/>
  <c r="R64" i="43"/>
  <c r="S64" i="43"/>
  <c r="Q64" i="43"/>
  <c r="T24" i="43"/>
  <c r="Q24" i="43"/>
  <c r="R24" i="43"/>
  <c r="S24" i="43"/>
  <c r="T40" i="43"/>
  <c r="S40" i="43"/>
  <c r="R40" i="43"/>
  <c r="Q40" i="43"/>
  <c r="Q72" i="43"/>
  <c r="T72" i="43"/>
  <c r="S72" i="43"/>
  <c r="R72" i="43"/>
  <c r="S91" i="43"/>
  <c r="Q91" i="43"/>
  <c r="T91" i="43"/>
  <c r="R91" i="43"/>
  <c r="T37" i="43"/>
  <c r="Q37" i="43"/>
  <c r="S37" i="43"/>
  <c r="R37" i="43"/>
  <c r="Q21" i="43"/>
  <c r="R21" i="43"/>
  <c r="S21" i="43"/>
  <c r="T21" i="43"/>
  <c r="S45" i="43"/>
  <c r="T45" i="43"/>
  <c r="Q45" i="43"/>
  <c r="R45" i="43"/>
  <c r="R53" i="43"/>
  <c r="S53" i="43"/>
  <c r="T53" i="43"/>
  <c r="Q53" i="43"/>
  <c r="P30" i="43"/>
  <c r="P54" i="43"/>
  <c r="P70" i="43"/>
  <c r="P78" i="43"/>
  <c r="T13" i="43" l="1"/>
  <c r="R13" i="43"/>
  <c r="R8" i="43"/>
  <c r="S13" i="43"/>
  <c r="Q8" i="43"/>
  <c r="Q93" i="43"/>
  <c r="R9" i="43"/>
  <c r="T80" i="43"/>
  <c r="S9" i="43"/>
  <c r="T8" i="43"/>
  <c r="T9" i="43"/>
  <c r="T93" i="43"/>
  <c r="R93" i="43"/>
  <c r="R80" i="43"/>
  <c r="S80" i="43"/>
  <c r="P79" i="43"/>
  <c r="T79" i="43" s="1"/>
  <c r="T78" i="43"/>
  <c r="Q78" i="43"/>
  <c r="S78" i="43"/>
  <c r="R78" i="43"/>
  <c r="Q54" i="43"/>
  <c r="R54" i="43"/>
  <c r="S54" i="43"/>
  <c r="T54" i="43"/>
  <c r="S62" i="43"/>
  <c r="R62" i="43"/>
  <c r="Q62" i="43"/>
  <c r="T62" i="43"/>
  <c r="S46" i="43"/>
  <c r="Q46" i="43"/>
  <c r="T46" i="43"/>
  <c r="R46" i="43"/>
  <c r="T6" i="43"/>
  <c r="Q6" i="43"/>
  <c r="R6" i="43"/>
  <c r="S6" i="43"/>
  <c r="T14" i="43"/>
  <c r="Q14" i="43"/>
  <c r="R14" i="43"/>
  <c r="S14" i="43"/>
  <c r="S31" i="43"/>
  <c r="R31" i="43"/>
  <c r="T31" i="43"/>
  <c r="Q31" i="43"/>
  <c r="S15" i="43"/>
  <c r="R15" i="43"/>
  <c r="Q15" i="43"/>
  <c r="T15" i="43"/>
  <c r="S47" i="43"/>
  <c r="T47" i="43"/>
  <c r="Q47" i="43"/>
  <c r="R47" i="43"/>
  <c r="T71" i="43"/>
  <c r="R71" i="43"/>
  <c r="Q71" i="43"/>
  <c r="S71" i="43"/>
  <c r="S63" i="43"/>
  <c r="R63" i="43"/>
  <c r="T63" i="43"/>
  <c r="Q63" i="43"/>
  <c r="T7" i="43"/>
  <c r="S7" i="43"/>
  <c r="R7" i="43"/>
  <c r="Q7" i="43"/>
  <c r="T70" i="43"/>
  <c r="Q70" i="43"/>
  <c r="R70" i="43"/>
  <c r="S70" i="43"/>
  <c r="S30" i="43"/>
  <c r="Q30" i="43"/>
  <c r="R30" i="43"/>
  <c r="T30" i="43"/>
  <c r="T38" i="43"/>
  <c r="Q38" i="43"/>
  <c r="R38" i="43"/>
  <c r="S38" i="43"/>
  <c r="Q22" i="43"/>
  <c r="T22" i="43"/>
  <c r="S22" i="43"/>
  <c r="R22" i="43"/>
  <c r="Q92" i="43"/>
  <c r="R92" i="43"/>
  <c r="T92" i="43"/>
  <c r="S92" i="43"/>
  <c r="S39" i="43"/>
  <c r="T39" i="43"/>
  <c r="R39" i="43"/>
  <c r="Q39" i="43"/>
  <c r="R23" i="43"/>
  <c r="T23" i="43"/>
  <c r="Q23" i="43"/>
  <c r="S23" i="43"/>
  <c r="T55" i="43"/>
  <c r="S55" i="43"/>
  <c r="R55" i="43"/>
  <c r="Q55" i="43"/>
  <c r="Q79" i="43" l="1"/>
  <c r="R79" i="43"/>
  <c r="S79" i="43"/>
</calcChain>
</file>

<file path=xl/comments1.xml><?xml version="1.0" encoding="utf-8"?>
<comments xmlns="http://schemas.openxmlformats.org/spreadsheetml/2006/main">
  <authors>
    <author>user</author>
    <author>MARITZA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Introducir el número de losas. Máximo 34 losas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Reacción en el lado corto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Reacción en el lado largo</t>
        </r>
      </text>
    </comment>
    <comment ref="S7" authorId="1" shapeId="0">
      <text>
        <r>
          <rPr>
            <b/>
            <sz val="9"/>
            <color indexed="81"/>
            <rFont val="Tahoma"/>
            <family val="2"/>
          </rPr>
          <t>Indicar la altura y dirección de la inclinación</t>
        </r>
      </text>
    </comment>
  </commentList>
</comments>
</file>

<file path=xl/comments2.xml><?xml version="1.0" encoding="utf-8"?>
<comments xmlns="http://schemas.openxmlformats.org/spreadsheetml/2006/main">
  <authors>
    <author>MARITZA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Coeficiente de Repartición de Carga</t>
        </r>
      </text>
    </comment>
  </commentList>
</comments>
</file>

<file path=xl/comments3.xml><?xml version="1.0" encoding="utf-8"?>
<comments xmlns="http://schemas.openxmlformats.org/spreadsheetml/2006/main">
  <authors>
    <author>MARITZA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Indicar el número de apoyos a analizar. No mas de 80 apoyos.</t>
        </r>
      </text>
    </comment>
    <comment ref="V87" authorId="0" shapeId="0">
      <text>
        <r>
          <rPr>
            <b/>
            <sz val="9"/>
            <color indexed="81"/>
            <rFont val="Tahoma"/>
            <family val="2"/>
          </rPr>
          <t>Indicar el número de apoyos a analizar. No mas de 80
 apoyos.</t>
        </r>
      </text>
    </comment>
  </commentList>
</comments>
</file>

<file path=xl/sharedStrings.xml><?xml version="1.0" encoding="utf-8"?>
<sst xmlns="http://schemas.openxmlformats.org/spreadsheetml/2006/main" count="1165" uniqueCount="188">
  <si>
    <t>Techo</t>
  </si>
  <si>
    <t>X</t>
  </si>
  <si>
    <t>Y</t>
  </si>
  <si>
    <t>Longitud</t>
  </si>
  <si>
    <t>Losa</t>
  </si>
  <si>
    <t>a</t>
  </si>
  <si>
    <t>LOSAS</t>
  </si>
  <si>
    <t>=</t>
  </si>
  <si>
    <t>+</t>
  </si>
  <si>
    <t>#</t>
  </si>
  <si>
    <t>Fino, Impermeabilizante:</t>
  </si>
  <si>
    <t>ENTREPISO</t>
  </si>
  <si>
    <t>N°</t>
  </si>
  <si>
    <t>Losa armada en</t>
  </si>
  <si>
    <t>P/180</t>
  </si>
  <si>
    <t>Usar</t>
  </si>
  <si>
    <t>TECHO</t>
  </si>
  <si>
    <t>Losas de Techo</t>
  </si>
  <si>
    <t>Losas de Entrepiso</t>
  </si>
  <si>
    <t>N° de losas =</t>
  </si>
  <si>
    <t>recubrimiento =</t>
  </si>
  <si>
    <t>Apoyos en Losas armadas en una dirección</t>
  </si>
  <si>
    <t>t</t>
  </si>
  <si>
    <t>Cuantificación de Cargas en Losas</t>
  </si>
  <si>
    <t>t =</t>
  </si>
  <si>
    <t>CARGAS PERMANENTES:</t>
  </si>
  <si>
    <t>1.1.1</t>
  </si>
  <si>
    <t>Peso propio:</t>
  </si>
  <si>
    <t>x</t>
  </si>
  <si>
    <t>1.1.2</t>
  </si>
  <si>
    <t>Relleno y mosaicos:</t>
  </si>
  <si>
    <t>1.1.3</t>
  </si>
  <si>
    <t>Pañete:</t>
  </si>
  <si>
    <t>CARGAS VIVAS:</t>
  </si>
  <si>
    <t>1.2.1</t>
  </si>
  <si>
    <t>Sobrecarga:</t>
  </si>
  <si>
    <t>1.2.2</t>
  </si>
  <si>
    <t>Panderetas:</t>
  </si>
  <si>
    <t>To/m²</t>
  </si>
  <si>
    <t>2.1.1</t>
  </si>
  <si>
    <t>2.1.2</t>
  </si>
  <si>
    <t>2.1.3</t>
  </si>
  <si>
    <t>2.2.1</t>
  </si>
  <si>
    <t>Espesores (cm.)</t>
  </si>
  <si>
    <t>BD</t>
  </si>
  <si>
    <r>
      <t>f</t>
    </r>
    <r>
      <rPr>
        <vertAlign val="subscript"/>
        <sz val="12"/>
        <rFont val="Arial"/>
        <family val="2"/>
      </rPr>
      <t>y</t>
    </r>
    <r>
      <rPr>
        <sz val="12"/>
        <rFont val="Arial"/>
        <family val="2"/>
      </rPr>
      <t xml:space="preserve"> =</t>
    </r>
  </si>
  <si>
    <r>
      <t>L</t>
    </r>
    <r>
      <rPr>
        <vertAlign val="subscript"/>
        <sz val="12"/>
        <rFont val="Arial"/>
        <family val="2"/>
      </rPr>
      <t>x</t>
    </r>
  </si>
  <si>
    <r>
      <t>L</t>
    </r>
    <r>
      <rPr>
        <vertAlign val="subscript"/>
        <sz val="12"/>
        <rFont val="Arial"/>
        <family val="2"/>
      </rPr>
      <t>y</t>
    </r>
  </si>
  <si>
    <r>
      <t>t</t>
    </r>
    <r>
      <rPr>
        <vertAlign val="subscript"/>
        <sz val="12"/>
        <rFont val="Arial"/>
        <family val="2"/>
      </rPr>
      <t xml:space="preserve">mín </t>
    </r>
  </si>
  <si>
    <t>Dimensiones</t>
  </si>
  <si>
    <t>Bordes Discontinuos</t>
  </si>
  <si>
    <t>Momento</t>
  </si>
  <si>
    <t xml:space="preserve">Proyecto Civil:  </t>
  </si>
  <si>
    <t>SOLICITADO POR:</t>
  </si>
  <si>
    <t>PREPARADO POR:</t>
  </si>
  <si>
    <t>2014</t>
  </si>
  <si>
    <t xml:space="preserve"> </t>
  </si>
  <si>
    <t>Observaciones</t>
  </si>
  <si>
    <t xml:space="preserve">X </t>
  </si>
  <si>
    <t xml:space="preserve">Area </t>
  </si>
  <si>
    <t>Areas y Centroides de Losas</t>
  </si>
  <si>
    <t>MOMENTOS DE EMPOTRAMIENTO PERFECTO</t>
  </si>
  <si>
    <t>LONG. CORTA</t>
  </si>
  <si>
    <t>LONG. LARGA</t>
  </si>
  <si>
    <t>COMPENSACION DE MOMENTOS NEGATIVOS</t>
  </si>
  <si>
    <t>K</t>
  </si>
  <si>
    <r>
      <t>M</t>
    </r>
    <r>
      <rPr>
        <b/>
        <vertAlign val="subscript"/>
        <sz val="8"/>
        <color indexed="12"/>
        <rFont val="Swis721 LtEx BT"/>
        <family val="2"/>
      </rPr>
      <t>F</t>
    </r>
    <r>
      <rPr>
        <b/>
        <vertAlign val="superscript"/>
        <sz val="8"/>
        <color indexed="12"/>
        <rFont val="Swis721 LtEx BT"/>
        <family val="2"/>
      </rPr>
      <t xml:space="preserve">- </t>
    </r>
    <r>
      <rPr>
        <b/>
        <sz val="8"/>
        <color indexed="12"/>
        <rFont val="Swis721 LtEx BT"/>
        <family val="2"/>
      </rPr>
      <t>=</t>
    </r>
  </si>
  <si>
    <t>ACERO PARA MOMENTOS EN LOS VANOS</t>
  </si>
  <si>
    <t>MOMENTO                          ( Kg.cm/m)</t>
  </si>
  <si>
    <t>w</t>
  </si>
  <si>
    <t>r</t>
  </si>
  <si>
    <t>As (cm²)</t>
  </si>
  <si>
    <t>DISPOSICION</t>
  </si>
  <si>
    <t>APOYO</t>
  </si>
  <si>
    <t>Acero (cm²)</t>
  </si>
  <si>
    <t>Disposicion de Adicionales</t>
  </si>
  <si>
    <t>As</t>
  </si>
  <si>
    <t>Espesores de Muros (cm)</t>
  </si>
  <si>
    <r>
      <t>X</t>
    </r>
    <r>
      <rPr>
        <vertAlign val="subscript"/>
        <sz val="11"/>
        <rFont val="Arial"/>
        <family val="2"/>
      </rPr>
      <t>centroide</t>
    </r>
  </si>
  <si>
    <r>
      <t>Y</t>
    </r>
    <r>
      <rPr>
        <vertAlign val="subscript"/>
        <sz val="11"/>
        <rFont val="Arial"/>
        <family val="2"/>
      </rPr>
      <t>centroide</t>
    </r>
  </si>
  <si>
    <r>
      <t>A * X</t>
    </r>
    <r>
      <rPr>
        <vertAlign val="subscript"/>
        <sz val="11"/>
        <rFont val="Arial"/>
        <family val="2"/>
      </rPr>
      <t>centroide</t>
    </r>
  </si>
  <si>
    <r>
      <t>A * Y</t>
    </r>
    <r>
      <rPr>
        <vertAlign val="subscript"/>
        <sz val="11"/>
        <rFont val="Arial"/>
        <family val="2"/>
      </rPr>
      <t>centroide</t>
    </r>
  </si>
  <si>
    <r>
      <rPr>
        <sz val="11"/>
        <rFont val="Arial"/>
        <family val="2"/>
      </rPr>
      <t>H</t>
    </r>
    <r>
      <rPr>
        <vertAlign val="subscript"/>
        <sz val="9"/>
        <rFont val="Arial"/>
        <family val="2"/>
      </rPr>
      <t>inclinación</t>
    </r>
  </si>
  <si>
    <t xml:space="preserve">Espesor   t </t>
  </si>
  <si>
    <t>Acero Adicional para Momentos en Apoyos X-X</t>
  </si>
  <si>
    <t>Espesor   t</t>
  </si>
  <si>
    <t xml:space="preserve">x </t>
  </si>
  <si>
    <t>Acero Adicional para Momentos en Apoyos Y-Y</t>
  </si>
  <si>
    <t>COEFICIENTES DE MOMENTOS EN LOSAS</t>
  </si>
  <si>
    <t>LUZ CORTA</t>
  </si>
  <si>
    <t>m</t>
  </si>
  <si>
    <t>MOMENTO POSITIVO EN CENTRO DE VANO</t>
  </si>
  <si>
    <t>MOMENTO NEGATIVO EN BORDES DISCONTINUOS</t>
  </si>
  <si>
    <t>MOMENTO NEGATIVO EN BORDE CONTINUO</t>
  </si>
  <si>
    <t>MOMENTO NEGATIVO EN BORDES CONTINUOS</t>
  </si>
  <si>
    <t>MOMENTO NEGATIVO EN BORDE DISCONTINUO</t>
  </si>
  <si>
    <r>
      <t>L</t>
    </r>
    <r>
      <rPr>
        <b/>
        <vertAlign val="subscript"/>
        <sz val="8"/>
        <color indexed="12"/>
        <rFont val="Verdana"/>
        <family val="2"/>
      </rPr>
      <t>C</t>
    </r>
    <r>
      <rPr>
        <b/>
        <sz val="8"/>
        <color indexed="12"/>
        <rFont val="Verdana"/>
        <family val="2"/>
      </rPr>
      <t xml:space="preserve"> / L</t>
    </r>
    <r>
      <rPr>
        <b/>
        <vertAlign val="subscript"/>
        <sz val="8"/>
        <color indexed="12"/>
        <rFont val="Verdana"/>
        <family val="2"/>
      </rPr>
      <t>L</t>
    </r>
  </si>
  <si>
    <t>M+</t>
  </si>
  <si>
    <t>M-</t>
  </si>
  <si>
    <t>alpha</t>
  </si>
  <si>
    <t>LUZ LARGA</t>
  </si>
  <si>
    <t>Carga Ultima (to/m²)</t>
  </si>
  <si>
    <t>Carga Muerta (to/m²)</t>
  </si>
  <si>
    <t>Carga Viva (to/m²)</t>
  </si>
  <si>
    <t>q</t>
  </si>
  <si>
    <t>Angulo en  Grados</t>
  </si>
  <si>
    <r>
      <t>K*Wu*Lc*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Arial"/>
        <family val="2"/>
      </rPr>
      <t xml:space="preserve">  (to/m)</t>
    </r>
  </si>
  <si>
    <t>K*Wu*Lc  (to/m)</t>
  </si>
  <si>
    <r>
      <t>K</t>
    </r>
    <r>
      <rPr>
        <vertAlign val="superscript"/>
        <sz val="10"/>
        <rFont val="Swis721 LtEx BT"/>
        <family val="2"/>
      </rPr>
      <t>+</t>
    </r>
    <r>
      <rPr>
        <vertAlign val="subscript"/>
        <sz val="10"/>
        <rFont val="Swis721 LtEx BT"/>
        <family val="2"/>
      </rPr>
      <t>x</t>
    </r>
    <r>
      <rPr>
        <sz val="10"/>
        <rFont val="Swis721 LtEx BT"/>
        <family val="2"/>
      </rPr>
      <t xml:space="preserve"> =</t>
    </r>
  </si>
  <si>
    <r>
      <t>M</t>
    </r>
    <r>
      <rPr>
        <vertAlign val="superscript"/>
        <sz val="10"/>
        <rFont val="Swis721 LtEx BT"/>
        <family val="2"/>
      </rPr>
      <t>+</t>
    </r>
    <r>
      <rPr>
        <vertAlign val="subscript"/>
        <sz val="10"/>
        <rFont val="Swis721 LtEx BT"/>
        <family val="2"/>
      </rPr>
      <t xml:space="preserve">x </t>
    </r>
    <r>
      <rPr>
        <sz val="10"/>
        <rFont val="Swis721 LtEx BT"/>
        <family val="2"/>
      </rPr>
      <t>=</t>
    </r>
  </si>
  <si>
    <r>
      <t>K</t>
    </r>
    <r>
      <rPr>
        <vertAlign val="superscript"/>
        <sz val="10"/>
        <rFont val="Swis721 LtEx BT"/>
        <family val="2"/>
      </rPr>
      <t xml:space="preserve">- </t>
    </r>
    <r>
      <rPr>
        <vertAlign val="subscript"/>
        <sz val="10"/>
        <rFont val="Swis721 LtEx BT"/>
        <family val="2"/>
      </rPr>
      <t>x</t>
    </r>
    <r>
      <rPr>
        <sz val="10"/>
        <rFont val="Swis721 LtEx BT"/>
        <family val="2"/>
      </rPr>
      <t xml:space="preserve"> =</t>
    </r>
  </si>
  <si>
    <r>
      <t>M</t>
    </r>
    <r>
      <rPr>
        <vertAlign val="superscript"/>
        <sz val="10"/>
        <rFont val="Swis721 LtEx BT"/>
        <family val="2"/>
      </rPr>
      <t xml:space="preserve">- </t>
    </r>
    <r>
      <rPr>
        <vertAlign val="subscript"/>
        <sz val="10"/>
        <rFont val="Swis721 LtEx BT"/>
        <family val="2"/>
      </rPr>
      <t xml:space="preserve">x </t>
    </r>
    <r>
      <rPr>
        <sz val="10"/>
        <rFont val="Swis721 LtEx BT"/>
        <family val="2"/>
      </rPr>
      <t>=</t>
    </r>
  </si>
  <si>
    <r>
      <t>K</t>
    </r>
    <r>
      <rPr>
        <vertAlign val="superscript"/>
        <sz val="10"/>
        <rFont val="Swis721 LtEx BT"/>
        <family val="2"/>
      </rPr>
      <t>+</t>
    </r>
    <r>
      <rPr>
        <vertAlign val="subscript"/>
        <sz val="10"/>
        <rFont val="Swis721 LtEx BT"/>
        <family val="2"/>
      </rPr>
      <t>y</t>
    </r>
    <r>
      <rPr>
        <sz val="10"/>
        <rFont val="Swis721 LtEx BT"/>
        <family val="2"/>
      </rPr>
      <t xml:space="preserve"> =</t>
    </r>
  </si>
  <si>
    <r>
      <t>M</t>
    </r>
    <r>
      <rPr>
        <vertAlign val="superscript"/>
        <sz val="10"/>
        <rFont val="Swis721 LtEx BT"/>
        <family val="2"/>
      </rPr>
      <t>+</t>
    </r>
    <r>
      <rPr>
        <vertAlign val="subscript"/>
        <sz val="10"/>
        <rFont val="Swis721 LtEx BT"/>
        <family val="2"/>
      </rPr>
      <t xml:space="preserve">y </t>
    </r>
    <r>
      <rPr>
        <sz val="10"/>
        <rFont val="Swis721 LtEx BT"/>
        <family val="2"/>
      </rPr>
      <t>=</t>
    </r>
  </si>
  <si>
    <r>
      <t>K</t>
    </r>
    <r>
      <rPr>
        <vertAlign val="superscript"/>
        <sz val="10"/>
        <rFont val="Swis721 LtEx BT"/>
        <family val="2"/>
      </rPr>
      <t xml:space="preserve">- </t>
    </r>
    <r>
      <rPr>
        <vertAlign val="subscript"/>
        <sz val="10"/>
        <rFont val="Swis721 LtEx BT"/>
        <family val="2"/>
      </rPr>
      <t>y</t>
    </r>
    <r>
      <rPr>
        <sz val="10"/>
        <rFont val="Swis721 LtEx BT"/>
        <family val="2"/>
      </rPr>
      <t xml:space="preserve"> =</t>
    </r>
  </si>
  <si>
    <r>
      <t>M</t>
    </r>
    <r>
      <rPr>
        <vertAlign val="superscript"/>
        <sz val="10"/>
        <rFont val="Swis721 LtEx BT"/>
        <family val="2"/>
      </rPr>
      <t xml:space="preserve">- </t>
    </r>
    <r>
      <rPr>
        <vertAlign val="subscript"/>
        <sz val="10"/>
        <rFont val="Swis721 LtEx BT"/>
        <family val="2"/>
      </rPr>
      <t xml:space="preserve">y </t>
    </r>
    <r>
      <rPr>
        <sz val="10"/>
        <rFont val="Swis721 LtEx BT"/>
        <family val="2"/>
      </rPr>
      <t>=</t>
    </r>
  </si>
  <si>
    <r>
      <t>M</t>
    </r>
    <r>
      <rPr>
        <vertAlign val="superscript"/>
        <sz val="10"/>
        <rFont val="Swis721 LtEx BT"/>
        <family val="2"/>
      </rPr>
      <t>+</t>
    </r>
    <r>
      <rPr>
        <vertAlign val="subscript"/>
        <sz val="10"/>
        <rFont val="Swis721 LtEx BT"/>
        <family val="2"/>
      </rPr>
      <t xml:space="preserve">y </t>
    </r>
  </si>
  <si>
    <r>
      <t>M</t>
    </r>
    <r>
      <rPr>
        <vertAlign val="superscript"/>
        <sz val="10"/>
        <rFont val="Swis721 LtEx BT"/>
        <family val="2"/>
      </rPr>
      <t xml:space="preserve">- </t>
    </r>
    <r>
      <rPr>
        <vertAlign val="subscript"/>
        <sz val="10"/>
        <rFont val="Swis721 LtEx BT"/>
        <family val="2"/>
      </rPr>
      <t xml:space="preserve">y </t>
    </r>
  </si>
  <si>
    <r>
      <t>As</t>
    </r>
    <r>
      <rPr>
        <b/>
        <vertAlign val="superscript"/>
        <sz val="10"/>
        <color indexed="12"/>
        <rFont val="Swis721 LtEx BT"/>
        <family val="2"/>
      </rPr>
      <t>+</t>
    </r>
    <r>
      <rPr>
        <b/>
        <vertAlign val="subscript"/>
        <sz val="10"/>
        <color indexed="12"/>
        <rFont val="Swis721 LtEx BT"/>
        <family val="2"/>
      </rPr>
      <t xml:space="preserve">col </t>
    </r>
    <r>
      <rPr>
        <b/>
        <sz val="10"/>
        <color indexed="12"/>
        <rFont val="Swis721 LtEx BT"/>
        <family val="2"/>
      </rPr>
      <t>(cm²)</t>
    </r>
  </si>
  <si>
    <r>
      <t>As</t>
    </r>
    <r>
      <rPr>
        <b/>
        <vertAlign val="subscript"/>
        <sz val="10"/>
        <rFont val="Swis721 LtEx BT"/>
        <family val="2"/>
      </rPr>
      <t>i</t>
    </r>
  </si>
  <si>
    <r>
      <t>As</t>
    </r>
    <r>
      <rPr>
        <b/>
        <vertAlign val="subscript"/>
        <sz val="10"/>
        <rFont val="Swis721 LtEx BT"/>
        <family val="2"/>
      </rPr>
      <t>d</t>
    </r>
  </si>
  <si>
    <t>Losa izq.</t>
  </si>
  <si>
    <t>Losa der.</t>
  </si>
  <si>
    <r>
      <t>C</t>
    </r>
    <r>
      <rPr>
        <b/>
        <vertAlign val="subscript"/>
        <sz val="8"/>
        <rFont val="Swis721 LtEx BT"/>
        <family val="2"/>
      </rPr>
      <t>R</t>
    </r>
  </si>
  <si>
    <r>
      <t>M</t>
    </r>
    <r>
      <rPr>
        <b/>
        <vertAlign val="superscript"/>
        <sz val="8"/>
        <rFont val="Swis721 LtEx BT"/>
        <family val="2"/>
      </rPr>
      <t>-</t>
    </r>
  </si>
  <si>
    <r>
      <t>D</t>
    </r>
    <r>
      <rPr>
        <b/>
        <sz val="8"/>
        <color indexed="12"/>
        <rFont val="Swis721 LtEx BT"/>
        <family val="2"/>
      </rPr>
      <t>M</t>
    </r>
    <r>
      <rPr>
        <b/>
        <vertAlign val="superscript"/>
        <sz val="8"/>
        <color indexed="12"/>
        <rFont val="Swis721 LtEx BT"/>
        <family val="2"/>
      </rPr>
      <t>-</t>
    </r>
  </si>
  <si>
    <r>
      <t>D</t>
    </r>
    <r>
      <rPr>
        <b/>
        <sz val="8"/>
        <rFont val="Swis721 LtEx BT"/>
        <family val="2"/>
      </rPr>
      <t>M</t>
    </r>
    <r>
      <rPr>
        <b/>
        <vertAlign val="superscript"/>
        <sz val="8"/>
        <rFont val="Swis721 LtEx BT"/>
        <family val="2"/>
      </rPr>
      <t xml:space="preserve">- </t>
    </r>
    <r>
      <rPr>
        <b/>
        <vertAlign val="subscript"/>
        <sz val="8"/>
        <rFont val="Swis721 LtEx BT"/>
        <family val="2"/>
      </rPr>
      <t xml:space="preserve">* </t>
    </r>
    <r>
      <rPr>
        <b/>
        <sz val="8"/>
        <rFont val="Swis721 LtEx BT"/>
        <family val="2"/>
      </rPr>
      <t>C</t>
    </r>
    <r>
      <rPr>
        <b/>
        <vertAlign val="subscript"/>
        <sz val="8"/>
        <rFont val="Swis721 LtEx BT"/>
        <family val="2"/>
      </rPr>
      <t>R</t>
    </r>
  </si>
  <si>
    <r>
      <t>M</t>
    </r>
    <r>
      <rPr>
        <b/>
        <vertAlign val="superscript"/>
        <sz val="8"/>
        <rFont val="Swis721 LtEx BT"/>
        <family val="2"/>
      </rPr>
      <t xml:space="preserve">+ </t>
    </r>
    <r>
      <rPr>
        <b/>
        <sz val="8"/>
        <rFont val="Swis721 LtEx BT"/>
        <family val="2"/>
      </rPr>
      <t>=</t>
    </r>
  </si>
  <si>
    <r>
      <t>M</t>
    </r>
    <r>
      <rPr>
        <b/>
        <vertAlign val="subscript"/>
        <sz val="8"/>
        <color indexed="12"/>
        <rFont val="Swis721 LtEx BT"/>
        <family val="2"/>
      </rPr>
      <t>F</t>
    </r>
    <r>
      <rPr>
        <b/>
        <vertAlign val="superscript"/>
        <sz val="8"/>
        <color indexed="12"/>
        <rFont val="Swis721 LtEx BT"/>
        <family val="2"/>
      </rPr>
      <t xml:space="preserve">+ </t>
    </r>
    <r>
      <rPr>
        <b/>
        <sz val="8"/>
        <color indexed="12"/>
        <rFont val="Swis721 LtEx BT"/>
        <family val="2"/>
      </rPr>
      <t>=</t>
    </r>
  </si>
  <si>
    <t>Codia 11505</t>
  </si>
  <si>
    <t>Ing. Pedro Ml. Rosario Espinal</t>
  </si>
  <si>
    <t>MIS, MAC.</t>
  </si>
  <si>
    <t xml:space="preserve">           CÁLCULOS ESTRUCTURALES </t>
  </si>
  <si>
    <t>Losas de</t>
  </si>
  <si>
    <t>Dirección</t>
  </si>
  <si>
    <t>Y - Y</t>
  </si>
  <si>
    <t>a compensar:</t>
  </si>
  <si>
    <t>Mortero y Cerámica :</t>
  </si>
  <si>
    <t>Rigidez</t>
  </si>
  <si>
    <t>Coef. Rep.</t>
  </si>
  <si>
    <t>X - X</t>
  </si>
  <si>
    <t>Carga Adicional (to/m²)</t>
  </si>
  <si>
    <r>
      <t>M</t>
    </r>
    <r>
      <rPr>
        <b/>
        <vertAlign val="superscript"/>
        <sz val="9"/>
        <rFont val="Swis721 LtEx BT"/>
        <family val="2"/>
      </rPr>
      <t>-</t>
    </r>
  </si>
  <si>
    <r>
      <rPr>
        <b/>
        <sz val="9"/>
        <rFont val="Symbol"/>
        <family val="1"/>
        <charset val="2"/>
      </rPr>
      <t>D</t>
    </r>
    <r>
      <rPr>
        <b/>
        <sz val="9"/>
        <rFont val="Swis721 LtEx BT"/>
        <family val="2"/>
      </rPr>
      <t>M</t>
    </r>
    <r>
      <rPr>
        <b/>
        <vertAlign val="superscript"/>
        <sz val="9"/>
        <rFont val="Swis721 LtEx BT"/>
        <family val="2"/>
      </rPr>
      <t>-</t>
    </r>
  </si>
  <si>
    <r>
      <rPr>
        <b/>
        <sz val="9"/>
        <rFont val="Symbol"/>
        <family val="1"/>
        <charset val="2"/>
      </rPr>
      <t>D</t>
    </r>
    <r>
      <rPr>
        <b/>
        <sz val="9"/>
        <rFont val="Swis721 LtEx BT"/>
        <family val="2"/>
      </rPr>
      <t>M*CR</t>
    </r>
    <r>
      <rPr>
        <b/>
        <vertAlign val="superscript"/>
        <sz val="9"/>
        <rFont val="Swis721 LtEx BT"/>
        <family val="2"/>
      </rPr>
      <t>-</t>
    </r>
  </si>
  <si>
    <r>
      <t>Mf</t>
    </r>
    <r>
      <rPr>
        <b/>
        <vertAlign val="superscript"/>
        <sz val="9"/>
        <rFont val="Swis721 LtEx BT"/>
        <family val="2"/>
      </rPr>
      <t>-</t>
    </r>
  </si>
  <si>
    <t>Magnitud</t>
  </si>
  <si>
    <t>Descripción</t>
  </si>
  <si>
    <r>
      <t>M</t>
    </r>
    <r>
      <rPr>
        <b/>
        <vertAlign val="superscript"/>
        <sz val="9"/>
        <rFont val="Swis721 LtEx BT"/>
        <family val="2"/>
      </rPr>
      <t xml:space="preserve">+ </t>
    </r>
    <r>
      <rPr>
        <b/>
        <sz val="9"/>
        <rFont val="Swis721 LtEx BT"/>
        <family val="2"/>
      </rPr>
      <t>=</t>
    </r>
  </si>
  <si>
    <r>
      <t>M</t>
    </r>
    <r>
      <rPr>
        <b/>
        <vertAlign val="subscript"/>
        <sz val="9"/>
        <color indexed="12"/>
        <rFont val="Swis721 LtEx BT"/>
        <family val="2"/>
      </rPr>
      <t>F</t>
    </r>
    <r>
      <rPr>
        <b/>
        <vertAlign val="superscript"/>
        <sz val="9"/>
        <color indexed="12"/>
        <rFont val="Swis721 LtEx BT"/>
        <family val="2"/>
      </rPr>
      <t xml:space="preserve">+ </t>
    </r>
    <r>
      <rPr>
        <b/>
        <sz val="9"/>
        <color indexed="12"/>
        <rFont val="Swis721 LtEx BT"/>
        <family val="2"/>
      </rPr>
      <t>=</t>
    </r>
  </si>
  <si>
    <r>
      <t>M</t>
    </r>
    <r>
      <rPr>
        <b/>
        <vertAlign val="subscript"/>
        <sz val="9"/>
        <color indexed="12"/>
        <rFont val="Swis721 LtEx BT"/>
        <family val="2"/>
      </rPr>
      <t>F</t>
    </r>
    <r>
      <rPr>
        <b/>
        <vertAlign val="superscript"/>
        <sz val="9"/>
        <color indexed="12"/>
        <rFont val="Swis721 LtEx BT"/>
        <family val="2"/>
      </rPr>
      <t xml:space="preserve">- </t>
    </r>
    <r>
      <rPr>
        <b/>
        <sz val="9"/>
        <color indexed="12"/>
        <rFont val="Swis721 LtEx BT"/>
        <family val="2"/>
      </rPr>
      <t>=</t>
    </r>
  </si>
  <si>
    <t>COMPENSACION DE MOMENTOS NEGATIVOS EN EL    EJE    X - X</t>
  </si>
  <si>
    <t>COMPENSACION DE MOMENTOS NEGATIVOS EN EL    EJE    Y - Y</t>
  </si>
  <si>
    <r>
      <t>M</t>
    </r>
    <r>
      <rPr>
        <vertAlign val="superscript"/>
        <sz val="12"/>
        <rFont val="Swis721 LtEx BT"/>
        <family val="2"/>
      </rPr>
      <t>+</t>
    </r>
    <r>
      <rPr>
        <vertAlign val="subscript"/>
        <sz val="12"/>
        <rFont val="Swis721 LtEx BT"/>
        <family val="2"/>
      </rPr>
      <t xml:space="preserve">x </t>
    </r>
  </si>
  <si>
    <r>
      <t>M</t>
    </r>
    <r>
      <rPr>
        <vertAlign val="superscript"/>
        <sz val="12"/>
        <rFont val="Swis721 LtEx BT"/>
        <family val="2"/>
      </rPr>
      <t xml:space="preserve">- </t>
    </r>
    <r>
      <rPr>
        <vertAlign val="subscript"/>
        <sz val="12"/>
        <rFont val="Swis721 LtEx BT"/>
        <family val="2"/>
      </rPr>
      <t xml:space="preserve">x </t>
    </r>
  </si>
  <si>
    <r>
      <t>M</t>
    </r>
    <r>
      <rPr>
        <vertAlign val="superscript"/>
        <sz val="12"/>
        <rFont val="Swis721 LtEx BT"/>
        <family val="2"/>
      </rPr>
      <t>+</t>
    </r>
    <r>
      <rPr>
        <vertAlign val="subscript"/>
        <sz val="12"/>
        <rFont val="Swis721 LtEx BT"/>
        <family val="2"/>
      </rPr>
      <t xml:space="preserve">y </t>
    </r>
  </si>
  <si>
    <r>
      <t>M</t>
    </r>
    <r>
      <rPr>
        <vertAlign val="superscript"/>
        <sz val="12"/>
        <rFont val="Swis721 LtEx BT"/>
        <family val="2"/>
      </rPr>
      <t xml:space="preserve">- </t>
    </r>
    <r>
      <rPr>
        <vertAlign val="subscript"/>
        <sz val="12"/>
        <rFont val="Swis721 LtEx BT"/>
        <family val="2"/>
      </rPr>
      <t xml:space="preserve">y </t>
    </r>
  </si>
  <si>
    <r>
      <t>Mf</t>
    </r>
    <r>
      <rPr>
        <b/>
        <vertAlign val="superscript"/>
        <sz val="9"/>
        <color rgb="FFFF0000"/>
        <rFont val="Swis721 LtEx BT"/>
        <family val="2"/>
      </rPr>
      <t>-</t>
    </r>
  </si>
  <si>
    <t xml:space="preserve">Reacción hacia los apoyos </t>
  </si>
  <si>
    <t>Verticales</t>
  </si>
  <si>
    <t>Horizontales</t>
  </si>
  <si>
    <t>y</t>
  </si>
  <si>
    <r>
      <t>Mf</t>
    </r>
    <r>
      <rPr>
        <b/>
        <vertAlign val="superscript"/>
        <sz val="9"/>
        <color rgb="FFFF0000"/>
        <rFont val="Swis721 LtEx BT"/>
        <family val="2"/>
      </rPr>
      <t>+</t>
    </r>
  </si>
  <si>
    <r>
      <t>M</t>
    </r>
    <r>
      <rPr>
        <b/>
        <sz val="12"/>
        <rFont val="Arial"/>
        <family val="2"/>
      </rPr>
      <t>±</t>
    </r>
  </si>
  <si>
    <t>Momento (kg.cm/m)</t>
  </si>
  <si>
    <t>Espesor de Losas de</t>
  </si>
  <si>
    <t>a Dos (2) Niveles</t>
  </si>
  <si>
    <t xml:space="preserve">Vivienda Familiar </t>
  </si>
  <si>
    <t>Ing. Domingo  G. Abréu</t>
  </si>
  <si>
    <t>Octubre del</t>
  </si>
  <si>
    <t>SANTO DOMINGO, REP. DOMINICANA</t>
  </si>
  <si>
    <r>
      <t>W</t>
    </r>
    <r>
      <rPr>
        <b/>
        <vertAlign val="subscript"/>
        <sz val="12"/>
        <color theme="1"/>
        <rFont val="Arial"/>
        <family val="2"/>
      </rPr>
      <t>u</t>
    </r>
    <r>
      <rPr>
        <b/>
        <sz val="12"/>
        <color theme="1"/>
        <rFont val="Arial"/>
        <family val="2"/>
      </rPr>
      <t xml:space="preserve"> =</t>
    </r>
  </si>
  <si>
    <r>
      <t>L</t>
    </r>
    <r>
      <rPr>
        <vertAlign val="subscript"/>
        <sz val="12"/>
        <rFont val="Arial"/>
        <family val="2"/>
      </rPr>
      <t>L</t>
    </r>
  </si>
  <si>
    <r>
      <t>L</t>
    </r>
    <r>
      <rPr>
        <vertAlign val="subscript"/>
        <sz val="12"/>
        <rFont val="Arial"/>
        <family val="2"/>
      </rPr>
      <t>C</t>
    </r>
  </si>
  <si>
    <r>
      <t>CM</t>
    </r>
    <r>
      <rPr>
        <b/>
        <vertAlign val="subscript"/>
        <sz val="12"/>
        <color theme="1"/>
        <rFont val="Arial"/>
        <family val="2"/>
      </rPr>
      <t>E</t>
    </r>
  </si>
  <si>
    <r>
      <t>CM</t>
    </r>
    <r>
      <rPr>
        <vertAlign val="subscript"/>
        <sz val="12"/>
        <color theme="1"/>
        <rFont val="Arial"/>
        <family val="2"/>
      </rPr>
      <t>E</t>
    </r>
  </si>
  <si>
    <r>
      <t>CV</t>
    </r>
    <r>
      <rPr>
        <b/>
        <vertAlign val="subscript"/>
        <sz val="12"/>
        <color theme="1"/>
        <rFont val="Arial"/>
        <family val="2"/>
      </rPr>
      <t>E</t>
    </r>
  </si>
  <si>
    <r>
      <t>CV</t>
    </r>
    <r>
      <rPr>
        <vertAlign val="subscript"/>
        <sz val="12"/>
        <color theme="1"/>
        <rFont val="Arial"/>
        <family val="2"/>
      </rPr>
      <t>E</t>
    </r>
  </si>
  <si>
    <r>
      <t>W</t>
    </r>
    <r>
      <rPr>
        <vertAlign val="subscript"/>
        <sz val="12"/>
        <color theme="1"/>
        <rFont val="Arial"/>
        <family val="2"/>
      </rPr>
      <t>u</t>
    </r>
    <r>
      <rPr>
        <sz val="12"/>
        <color theme="1"/>
        <rFont val="Arial"/>
        <family val="2"/>
      </rPr>
      <t xml:space="preserve"> =</t>
    </r>
  </si>
  <si>
    <r>
      <t>CM</t>
    </r>
    <r>
      <rPr>
        <b/>
        <vertAlign val="subscript"/>
        <sz val="12"/>
        <color theme="1"/>
        <rFont val="Arial"/>
        <family val="2"/>
      </rPr>
      <t>T</t>
    </r>
  </si>
  <si>
    <r>
      <t>CM</t>
    </r>
    <r>
      <rPr>
        <vertAlign val="subscript"/>
        <sz val="12"/>
        <color theme="1"/>
        <rFont val="Arial"/>
        <family val="2"/>
      </rPr>
      <t>T</t>
    </r>
  </si>
  <si>
    <r>
      <t>CV</t>
    </r>
    <r>
      <rPr>
        <b/>
        <vertAlign val="subscript"/>
        <sz val="12"/>
        <color theme="1"/>
        <rFont val="Arial"/>
        <family val="2"/>
      </rPr>
      <t>T</t>
    </r>
  </si>
  <si>
    <r>
      <t>CV</t>
    </r>
    <r>
      <rPr>
        <vertAlign val="subscript"/>
        <sz val="12"/>
        <color theme="1"/>
        <rFont val="Arial"/>
        <family val="2"/>
      </rPr>
      <t>T</t>
    </r>
  </si>
  <si>
    <r>
      <t>M</t>
    </r>
    <r>
      <rPr>
        <vertAlign val="superscript"/>
        <sz val="12"/>
        <rFont val="Swis721 LtEx BT"/>
        <family val="2"/>
      </rPr>
      <t>+</t>
    </r>
    <r>
      <rPr>
        <vertAlign val="subscript"/>
        <sz val="12"/>
        <rFont val="Swis721 LtEx BT"/>
        <family val="2"/>
      </rPr>
      <t xml:space="preserve">Y </t>
    </r>
  </si>
  <si>
    <t>arreglar O13</t>
  </si>
  <si>
    <t>arreglar O14</t>
  </si>
  <si>
    <t>arreglar O15</t>
  </si>
  <si>
    <t>arreglar 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</si>
</sst>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  <numFmt numFmtId="166" formatCode="#,##0\ &quot;kg/cm²&quot;"/>
    <numFmt numFmtId="167" formatCode="#,##0.00\ &quot;m&quot;"/>
    <numFmt numFmtId="168" formatCode="#,##0.000\ &quot;to/m²&quot;"/>
    <numFmt numFmtId="169" formatCode="#,##0.000\ &quot;m&quot;"/>
    <numFmt numFmtId="170" formatCode="_(* #,##0.000_);_(* \(#,##0.000\);_(* &quot;-&quot;??_);_(@_)"/>
    <numFmt numFmtId="171" formatCode="0.0000"/>
    <numFmt numFmtId="172" formatCode="&quot;LOSAS DE&quot;\ General"/>
    <numFmt numFmtId="173" formatCode="#,##0.00\ &quot;cm&quot;"/>
    <numFmt numFmtId="174" formatCode="#,##0.00\ &quot;to/m&quot;"/>
    <numFmt numFmtId="175" formatCode="0.0\ &quot;  x&quot;"/>
    <numFmt numFmtId="176" formatCode="&quot;k = 0.4 + fy / 7000 =&quot;\ 0.00"/>
    <numFmt numFmtId="177" formatCode="mmmm\-yyyy"/>
    <numFmt numFmtId="178" formatCode="[$RD$-1C0A]#,##0.00"/>
    <numFmt numFmtId="179" formatCode="_(* #,##0.0_);_(* \(#,##0.0\);_(* &quot;-&quot;??_);_(@_)"/>
    <numFmt numFmtId="180" formatCode="&quot;Lc/Ll = &quot;0.00"/>
    <numFmt numFmtId="181" formatCode="#,##0.0000"/>
    <numFmt numFmtId="182" formatCode="#,##0.0000\ &quot;to.m/m&quot;"/>
    <numFmt numFmtId="183" formatCode="#,##0.0000\ &quot;to.mt/mt&quot;"/>
    <numFmt numFmtId="184" formatCode="&quot;L&quot;#,##0"/>
    <numFmt numFmtId="185" formatCode="#,##0.0000\ &quot;to.m&quot;"/>
    <numFmt numFmtId="186" formatCode="#,##0.0000\ &quot;to.mt&quot;"/>
    <numFmt numFmtId="187" formatCode="#,##0.0\ &quot;m&quot;"/>
    <numFmt numFmtId="188" formatCode="0\ &quot;cm&quot;"/>
    <numFmt numFmtId="189" formatCode="#,##0\ &quot;kg.cm&quot;"/>
    <numFmt numFmtId="190" formatCode="0\ &quot;bordes discontínuos&quot;"/>
    <numFmt numFmtId="191" formatCode="0\ &quot;borde discontínuo&quot;"/>
    <numFmt numFmtId="192" formatCode="&quot;Wx =&quot;\ #,##0.000\ &quot;to/m&quot;"/>
    <numFmt numFmtId="193" formatCode="&quot;Wy =&quot;\ #,##0.000\ &quot;to/m&quot;"/>
    <numFmt numFmtId="194" formatCode="&quot;L-&quot;0"/>
    <numFmt numFmtId="195" formatCode="#,##0\ &quot;kg.cm/m&quot;"/>
    <numFmt numFmtId="196" formatCode="&quot;N°&quot;\ 0"/>
    <numFmt numFmtId="197" formatCode="&quot;Compensación   N°&quot;\ 0"/>
    <numFmt numFmtId="198" formatCode="#,##0.0000\ &quot;kg.cm/m&quot;"/>
    <numFmt numFmtId="199" formatCode="&quot;Interacción &quot;#,##0"/>
    <numFmt numFmtId="200" formatCode="&quot;Losas de &quot;\ General"/>
    <numFmt numFmtId="201" formatCode="&quot;f'c =  &quot;#,##0\ &quot;kg/cm²&quot;"/>
    <numFmt numFmtId="202" formatCode="#,##0.00\ &quot;kg.cm/m&quot;"/>
    <numFmt numFmtId="203" formatCode="&quot;a &quot;\ 0.00\ &quot;m&quot;"/>
  </numFmts>
  <fonts count="125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2"/>
      <name val="Swis721 LtEx BT"/>
      <family val="2"/>
    </font>
    <font>
      <b/>
      <sz val="12"/>
      <name val="Swis721 LtEx BT"/>
      <family val="2"/>
    </font>
    <font>
      <b/>
      <sz val="12"/>
      <color indexed="12"/>
      <name val="Swis721 LtEx BT"/>
      <family val="2"/>
    </font>
    <font>
      <sz val="11"/>
      <name val="Arial"/>
      <family val="2"/>
    </font>
    <font>
      <b/>
      <sz val="10"/>
      <color indexed="12"/>
      <name val="Swis721 LtEx BT"/>
      <family val="2"/>
    </font>
    <font>
      <sz val="10"/>
      <name val="Swis721 LtEx BT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vertAlign val="subscript"/>
      <sz val="12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name val="Bookman Old Style"/>
      <family val="1"/>
    </font>
    <font>
      <sz val="16"/>
      <name val="Bookman Old Style"/>
      <family val="1"/>
    </font>
    <font>
      <b/>
      <sz val="12"/>
      <name val="Colonna MT"/>
      <family val="5"/>
    </font>
    <font>
      <b/>
      <sz val="18"/>
      <name val="Bookman Old Style"/>
      <family val="1"/>
    </font>
    <font>
      <sz val="11"/>
      <name val="Bookman Old Style"/>
      <family val="1"/>
    </font>
    <font>
      <sz val="14"/>
      <name val="Bookman Old Style"/>
      <family val="1"/>
    </font>
    <font>
      <b/>
      <sz val="16"/>
      <name val="Bookman Old Style"/>
      <family val="1"/>
    </font>
    <font>
      <sz val="12"/>
      <name val="Bookman Old Style"/>
      <family val="1"/>
    </font>
    <font>
      <b/>
      <sz val="28"/>
      <name val="Bookman Old Style"/>
      <family val="1"/>
    </font>
    <font>
      <b/>
      <sz val="18"/>
      <name val="Swis721 LtEx BT"/>
      <family val="2"/>
    </font>
    <font>
      <b/>
      <u/>
      <sz val="18"/>
      <name val="Swis721 LtEx BT"/>
      <family val="2"/>
    </font>
    <font>
      <sz val="18"/>
      <name val="Swis721 LtEx BT"/>
      <family val="2"/>
    </font>
    <font>
      <sz val="14"/>
      <name val="Swis721 LtEx BT"/>
      <family val="2"/>
    </font>
    <font>
      <b/>
      <sz val="18"/>
      <name val="Arial Rounded MT Bold"/>
      <family val="2"/>
    </font>
    <font>
      <sz val="11"/>
      <name val="Swis721 LtEx BT"/>
      <family val="2"/>
    </font>
    <font>
      <b/>
      <sz val="13"/>
      <name val="Arial"/>
      <family val="2"/>
    </font>
    <font>
      <b/>
      <sz val="14"/>
      <color theme="1"/>
      <name val="Arial"/>
      <family val="2"/>
    </font>
    <font>
      <vertAlign val="subscript"/>
      <sz val="10"/>
      <name val="Swis721 LtEx BT"/>
      <family val="2"/>
    </font>
    <font>
      <sz val="11"/>
      <color theme="1"/>
      <name val="Arial"/>
      <family val="2"/>
    </font>
    <font>
      <sz val="12"/>
      <name val="Times New Roman"/>
      <family val="1"/>
    </font>
    <font>
      <b/>
      <sz val="10"/>
      <name val="Swis721 LtEx BT"/>
      <family val="2"/>
    </font>
    <font>
      <sz val="9"/>
      <name val="Swis721 LtEx BT"/>
      <family val="2"/>
    </font>
    <font>
      <sz val="125"/>
      <name val="Broadway"/>
      <family val="5"/>
    </font>
    <font>
      <b/>
      <sz val="11"/>
      <name val="Swis721 LtEx BT"/>
      <family val="2"/>
    </font>
    <font>
      <sz val="8"/>
      <name val="Swis721 LtEx BT"/>
      <family val="2"/>
    </font>
    <font>
      <b/>
      <sz val="11"/>
      <color indexed="10"/>
      <name val="Swis721 LtEx BT"/>
      <family val="2"/>
    </font>
    <font>
      <b/>
      <sz val="8"/>
      <name val="Swis721 LtEx BT"/>
      <family val="2"/>
    </font>
    <font>
      <sz val="8"/>
      <color indexed="10"/>
      <name val="Swis721 LtEx BT"/>
      <family val="2"/>
    </font>
    <font>
      <b/>
      <sz val="11"/>
      <color indexed="12"/>
      <name val="Swis721 LtEx BT"/>
      <family val="2"/>
    </font>
    <font>
      <b/>
      <vertAlign val="subscript"/>
      <sz val="10"/>
      <name val="Swis721 LtEx BT"/>
      <family val="2"/>
    </font>
    <font>
      <b/>
      <sz val="8"/>
      <color indexed="12"/>
      <name val="Swis721 LtEx BT"/>
      <family val="2"/>
    </font>
    <font>
      <b/>
      <vertAlign val="subscript"/>
      <sz val="8"/>
      <color indexed="12"/>
      <name val="Swis721 LtEx BT"/>
      <family val="2"/>
    </font>
    <font>
      <b/>
      <vertAlign val="superscript"/>
      <sz val="8"/>
      <color indexed="12"/>
      <name val="Swis721 LtEx BT"/>
      <family val="2"/>
    </font>
    <font>
      <sz val="10"/>
      <color indexed="12"/>
      <name val="Swis721 LtEx BT"/>
      <family val="2"/>
    </font>
    <font>
      <b/>
      <sz val="18"/>
      <color indexed="12"/>
      <name val="Symbol"/>
      <family val="1"/>
      <charset val="2"/>
    </font>
    <font>
      <b/>
      <sz val="11"/>
      <name val="Arial Rounded MT Bold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vertAlign val="subscript"/>
      <sz val="11"/>
      <name val="Arial"/>
      <family val="2"/>
    </font>
    <font>
      <sz val="18"/>
      <name val="Bookman Old Style"/>
      <family val="1"/>
    </font>
    <font>
      <sz val="10"/>
      <color rgb="FFFF0000"/>
      <name val="Bookman Old Style"/>
      <family val="1"/>
    </font>
    <font>
      <sz val="16"/>
      <name val="Symbol"/>
      <family val="1"/>
      <charset val="2"/>
    </font>
    <font>
      <vertAlign val="subscript"/>
      <sz val="9"/>
      <name val="Arial"/>
      <family val="2"/>
    </font>
    <font>
      <b/>
      <sz val="14"/>
      <color indexed="12"/>
      <name val="Verdana"/>
      <family val="2"/>
    </font>
    <font>
      <sz val="8"/>
      <name val="Verdana"/>
      <family val="2"/>
    </font>
    <font>
      <b/>
      <sz val="12"/>
      <color indexed="12"/>
      <name val="Verdana"/>
      <family val="2"/>
    </font>
    <font>
      <sz val="5"/>
      <name val="Verdana"/>
      <family val="2"/>
    </font>
    <font>
      <sz val="4"/>
      <name val="Verdana"/>
      <family val="2"/>
    </font>
    <font>
      <b/>
      <sz val="12"/>
      <name val="Verdana"/>
      <family val="2"/>
    </font>
    <font>
      <b/>
      <sz val="8"/>
      <color indexed="12"/>
      <name val="Verdana"/>
      <family val="2"/>
    </font>
    <font>
      <b/>
      <vertAlign val="subscript"/>
      <sz val="8"/>
      <color indexed="12"/>
      <name val="Verdana"/>
      <family val="2"/>
    </font>
    <font>
      <b/>
      <sz val="9"/>
      <color indexed="12"/>
      <name val="Verdana"/>
      <family val="2"/>
    </font>
    <font>
      <b/>
      <sz val="9"/>
      <name val="Verdana"/>
      <family val="2"/>
    </font>
    <font>
      <sz val="9"/>
      <color indexed="10"/>
      <name val="Verdana"/>
      <family val="2"/>
    </font>
    <font>
      <sz val="9"/>
      <name val="Verdana"/>
      <family val="2"/>
    </font>
    <font>
      <sz val="9"/>
      <color indexed="12"/>
      <name val="Verdana"/>
      <family val="2"/>
    </font>
    <font>
      <sz val="9"/>
      <color indexed="14"/>
      <name val="Verdana"/>
      <family val="2"/>
    </font>
    <font>
      <sz val="9"/>
      <color indexed="17"/>
      <name val="Verdana"/>
      <family val="2"/>
    </font>
    <font>
      <sz val="9"/>
      <color indexed="53"/>
      <name val="Verdana"/>
      <family val="2"/>
    </font>
    <font>
      <sz val="11"/>
      <color theme="1"/>
      <name val="Symbol"/>
      <family val="1"/>
      <charset val="2"/>
    </font>
    <font>
      <sz val="9"/>
      <color theme="0"/>
      <name val="Swis721 LtEx BT"/>
      <family val="2"/>
    </font>
    <font>
      <sz val="10"/>
      <color theme="0"/>
      <name val="Swis721 LtEx BT"/>
      <family val="2"/>
    </font>
    <font>
      <sz val="16"/>
      <name val="Swis721 LtEx BT"/>
      <family val="2"/>
    </font>
    <font>
      <sz val="72"/>
      <name val="Swis721 LtEx BT"/>
      <family val="2"/>
    </font>
    <font>
      <vertAlign val="superscript"/>
      <sz val="10"/>
      <name val="Swis721 LtEx BT"/>
      <family val="2"/>
    </font>
    <font>
      <b/>
      <sz val="10"/>
      <color indexed="12"/>
      <name val="Symbol"/>
      <family val="1"/>
      <charset val="2"/>
    </font>
    <font>
      <b/>
      <vertAlign val="superscript"/>
      <sz val="10"/>
      <color indexed="12"/>
      <name val="Swis721 LtEx BT"/>
      <family val="2"/>
    </font>
    <font>
      <b/>
      <vertAlign val="subscript"/>
      <sz val="10"/>
      <color indexed="12"/>
      <name val="Swis721 LtEx BT"/>
      <family val="2"/>
    </font>
    <font>
      <b/>
      <sz val="9"/>
      <color indexed="12"/>
      <name val="Swis721 LtEx BT"/>
      <family val="2"/>
    </font>
    <font>
      <sz val="10"/>
      <name val="Symbol"/>
      <family val="1"/>
      <charset val="2"/>
    </font>
    <font>
      <b/>
      <sz val="14"/>
      <name val="Swis721 LtEx BT"/>
      <family val="2"/>
    </font>
    <font>
      <b/>
      <sz val="8"/>
      <color indexed="10"/>
      <name val="Swis721 LtEx BT"/>
      <family val="2"/>
    </font>
    <font>
      <sz val="8"/>
      <name val="Times New Roman"/>
      <family val="1"/>
    </font>
    <font>
      <b/>
      <vertAlign val="subscript"/>
      <sz val="8"/>
      <name val="Swis721 LtEx BT"/>
      <family val="2"/>
    </font>
    <font>
      <b/>
      <vertAlign val="superscript"/>
      <sz val="8"/>
      <name val="Swis721 LtEx BT"/>
      <family val="2"/>
    </font>
    <font>
      <b/>
      <sz val="8"/>
      <color indexed="12"/>
      <name val="Symbol"/>
      <family val="1"/>
      <charset val="2"/>
    </font>
    <font>
      <b/>
      <sz val="8"/>
      <name val="Symbol"/>
      <family val="1"/>
      <charset val="2"/>
    </font>
    <font>
      <sz val="8"/>
      <color indexed="12"/>
      <name val="Swis721 LtEx BT"/>
      <family val="2"/>
    </font>
    <font>
      <b/>
      <sz val="10"/>
      <color indexed="10"/>
      <name val="Swis721 LtEx BT"/>
      <family val="2"/>
    </font>
    <font>
      <b/>
      <sz val="12"/>
      <name val="Symbol"/>
      <family val="1"/>
      <charset val="2"/>
    </font>
    <font>
      <b/>
      <sz val="9"/>
      <name val="Swis721 LtEx BT"/>
      <family val="2"/>
    </font>
    <font>
      <b/>
      <sz val="11"/>
      <color rgb="FF0000FF"/>
      <name val="Swis721 LtEx BT"/>
      <family val="2"/>
    </font>
    <font>
      <b/>
      <vertAlign val="superscript"/>
      <sz val="9"/>
      <name val="Swis721 LtEx BT"/>
      <family val="2"/>
    </font>
    <font>
      <b/>
      <sz val="9"/>
      <name val="Symbol"/>
      <family val="1"/>
      <charset val="2"/>
    </font>
    <font>
      <sz val="8"/>
      <color theme="1"/>
      <name val="Swis721 LtEx BT"/>
      <family val="2"/>
    </font>
    <font>
      <b/>
      <vertAlign val="subscript"/>
      <sz val="9"/>
      <color indexed="12"/>
      <name val="Swis721 LtEx BT"/>
      <family val="2"/>
    </font>
    <font>
      <b/>
      <vertAlign val="superscript"/>
      <sz val="9"/>
      <color indexed="12"/>
      <name val="Swis721 LtEx BT"/>
      <family val="2"/>
    </font>
    <font>
      <vertAlign val="superscript"/>
      <sz val="12"/>
      <name val="Swis721 LtEx BT"/>
      <family val="2"/>
    </font>
    <font>
      <vertAlign val="subscript"/>
      <sz val="12"/>
      <name val="Swis721 LtEx BT"/>
      <family val="2"/>
    </font>
    <font>
      <b/>
      <sz val="9"/>
      <color rgb="FFFF0000"/>
      <name val="Swis721 LtEx BT"/>
      <family val="2"/>
    </font>
    <font>
      <b/>
      <vertAlign val="superscript"/>
      <sz val="9"/>
      <color rgb="FFFF0000"/>
      <name val="Swis721 LtEx BT"/>
      <family val="2"/>
    </font>
    <font>
      <sz val="8"/>
      <color rgb="FFFF0000"/>
      <name val="Swis721 LtEx BT"/>
      <family val="2"/>
    </font>
    <font>
      <b/>
      <sz val="8"/>
      <color rgb="FFFF0000"/>
      <name val="Swis721 LtEx BT"/>
      <family val="2"/>
    </font>
    <font>
      <b/>
      <vertAlign val="subscript"/>
      <sz val="12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6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Swis721 LtEx BT"/>
      <family val="2"/>
    </font>
    <font>
      <b/>
      <sz val="8"/>
      <color theme="0"/>
      <name val="Swis721 LtEx B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1">
    <xf numFmtId="0" fontId="0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16" fillId="0" borderId="0"/>
    <xf numFmtId="43" fontId="1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7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4" fillId="0" borderId="0"/>
    <xf numFmtId="0" fontId="15" fillId="0" borderId="0"/>
    <xf numFmtId="0" fontId="7" fillId="0" borderId="0"/>
    <xf numFmtId="0" fontId="1" fillId="0" borderId="0"/>
  </cellStyleXfs>
  <cellXfs count="753">
    <xf numFmtId="0" fontId="0" fillId="0" borderId="0" xfId="0"/>
    <xf numFmtId="0" fontId="3" fillId="0" borderId="0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centerContinuous" vertical="center"/>
    </xf>
    <xf numFmtId="0" fontId="26" fillId="0" borderId="0" xfId="8" applyFont="1" applyAlignment="1">
      <alignment vertical="center"/>
    </xf>
    <xf numFmtId="0" fontId="26" fillId="0" borderId="0" xfId="8" applyFont="1" applyAlignment="1">
      <alignment horizontal="right" vertical="center"/>
    </xf>
    <xf numFmtId="0" fontId="29" fillId="0" borderId="0" xfId="8" quotePrefix="1" applyFont="1" applyAlignment="1">
      <alignment horizontal="right" vertical="center"/>
    </xf>
    <xf numFmtId="178" fontId="29" fillId="0" borderId="0" xfId="8" quotePrefix="1" applyNumberFormat="1" applyFont="1" applyAlignment="1">
      <alignment horizontal="right" vertical="center"/>
    </xf>
    <xf numFmtId="0" fontId="29" fillId="0" borderId="0" xfId="8" applyFont="1" applyAlignment="1">
      <alignment horizontal="right" vertical="center"/>
    </xf>
    <xf numFmtId="0" fontId="26" fillId="0" borderId="0" xfId="8" applyFont="1" applyAlignment="1">
      <alignment horizontal="center" vertical="center"/>
    </xf>
    <xf numFmtId="177" fontId="32" fillId="0" borderId="0" xfId="8" applyNumberFormat="1" applyFont="1" applyAlignment="1">
      <alignment horizontal="right" vertical="top"/>
    </xf>
    <xf numFmtId="177" fontId="31" fillId="0" borderId="0" xfId="8" applyNumberFormat="1" applyFont="1" applyAlignment="1">
      <alignment horizontal="right" vertical="center"/>
    </xf>
    <xf numFmtId="0" fontId="26" fillId="0" borderId="0" xfId="8" applyFont="1" applyAlignment="1">
      <alignment horizontal="right" vertical="top"/>
    </xf>
    <xf numFmtId="177" fontId="31" fillId="0" borderId="0" xfId="8" applyNumberFormat="1" applyFont="1" applyAlignment="1">
      <alignment horizontal="right" vertical="top"/>
    </xf>
    <xf numFmtId="0" fontId="26" fillId="0" borderId="0" xfId="8" applyFont="1" applyAlignment="1">
      <alignment vertical="top"/>
    </xf>
    <xf numFmtId="0" fontId="31" fillId="0" borderId="0" xfId="8" applyFont="1" applyAlignment="1">
      <alignment vertical="center"/>
    </xf>
    <xf numFmtId="49" fontId="31" fillId="0" borderId="0" xfId="8" applyNumberFormat="1" applyFont="1" applyAlignment="1">
      <alignment horizontal="right" vertical="center"/>
    </xf>
    <xf numFmtId="49" fontId="31" fillId="0" borderId="0" xfId="8" applyNumberFormat="1" applyFont="1" applyAlignment="1">
      <alignment horizontal="left" vertical="center"/>
    </xf>
    <xf numFmtId="0" fontId="26" fillId="0" borderId="0" xfId="8" quotePrefix="1" applyFont="1" applyAlignment="1">
      <alignment horizontal="center" vertical="center"/>
    </xf>
    <xf numFmtId="178" fontId="26" fillId="0" borderId="0" xfId="8" quotePrefix="1" applyNumberFormat="1" applyFont="1" applyAlignment="1">
      <alignment horizontal="left" vertical="center"/>
    </xf>
    <xf numFmtId="0" fontId="22" fillId="0" borderId="0" xfId="4" applyFont="1" applyBorder="1" applyAlignment="1">
      <alignment horizontal="right" vertical="center" wrapText="1"/>
    </xf>
    <xf numFmtId="167" fontId="3" fillId="0" borderId="0" xfId="2" applyNumberFormat="1" applyFont="1" applyFill="1" applyBorder="1" applyAlignment="1">
      <alignment horizontal="center" vertical="center" wrapText="1"/>
    </xf>
    <xf numFmtId="170" fontId="22" fillId="0" borderId="0" xfId="1" applyNumberFormat="1" applyFont="1" applyFill="1" applyBorder="1" applyAlignment="1">
      <alignment horizontal="center" vertical="center" wrapText="1"/>
    </xf>
    <xf numFmtId="0" fontId="46" fillId="0" borderId="0" xfId="17" applyFont="1" applyBorder="1"/>
    <xf numFmtId="0" fontId="46" fillId="0" borderId="0" xfId="17" applyFont="1" applyFill="1" applyBorder="1"/>
    <xf numFmtId="0" fontId="37" fillId="0" borderId="0" xfId="17" applyFont="1" applyFill="1" applyAlignment="1">
      <alignment horizontal="center" vertical="center" wrapText="1"/>
    </xf>
    <xf numFmtId="0" fontId="37" fillId="0" borderId="0" xfId="17" applyFont="1" applyFill="1" applyBorder="1" applyAlignment="1">
      <alignment horizontal="center" vertical="center" wrapText="1"/>
    </xf>
    <xf numFmtId="0" fontId="46" fillId="0" borderId="0" xfId="17" applyFont="1"/>
    <xf numFmtId="4" fontId="49" fillId="0" borderId="0" xfId="3" applyNumberFormat="1" applyFont="1" applyAlignment="1">
      <alignment horizontal="center" vertical="center" wrapText="1"/>
    </xf>
    <xf numFmtId="4" fontId="49" fillId="0" borderId="0" xfId="3" applyNumberFormat="1" applyFont="1" applyFill="1" applyBorder="1" applyAlignment="1">
      <alignment horizontal="center" vertical="center" wrapText="1"/>
    </xf>
    <xf numFmtId="165" fontId="49" fillId="0" borderId="10" xfId="3" applyNumberFormat="1" applyFont="1" applyFill="1" applyBorder="1" applyAlignment="1">
      <alignment horizontal="center" vertical="center" wrapText="1"/>
    </xf>
    <xf numFmtId="165" fontId="49" fillId="0" borderId="0" xfId="3" applyNumberFormat="1" applyFont="1" applyFill="1" applyBorder="1" applyAlignment="1">
      <alignment horizontal="center" vertical="center" wrapText="1"/>
    </xf>
    <xf numFmtId="165" fontId="49" fillId="0" borderId="8" xfId="3" applyNumberFormat="1" applyFont="1" applyFill="1" applyBorder="1" applyAlignment="1">
      <alignment horizontal="center" vertical="center" wrapText="1"/>
    </xf>
    <xf numFmtId="165" fontId="49" fillId="0" borderId="0" xfId="3" applyNumberFormat="1" applyFont="1" applyFill="1" applyAlignment="1">
      <alignment horizontal="center" vertical="center" wrapText="1"/>
    </xf>
    <xf numFmtId="165" fontId="49" fillId="0" borderId="8" xfId="2" applyNumberFormat="1" applyFont="1" applyFill="1" applyBorder="1" applyAlignment="1">
      <alignment horizontal="center" vertical="center" wrapText="1"/>
    </xf>
    <xf numFmtId="165" fontId="49" fillId="0" borderId="0" xfId="2" applyNumberFormat="1" applyFont="1" applyFill="1" applyBorder="1" applyAlignment="1">
      <alignment horizontal="center" vertical="center" wrapText="1"/>
    </xf>
    <xf numFmtId="165" fontId="52" fillId="0" borderId="0" xfId="2" applyNumberFormat="1" applyFont="1" applyFill="1" applyAlignment="1">
      <alignment horizontal="center" vertical="center" wrapText="1"/>
    </xf>
    <xf numFmtId="4" fontId="55" fillId="0" borderId="0" xfId="3" applyNumberFormat="1" applyFont="1" applyFill="1" applyAlignment="1">
      <alignment horizontal="center" vertical="center" wrapText="1"/>
    </xf>
    <xf numFmtId="186" fontId="55" fillId="0" borderId="0" xfId="3" applyNumberFormat="1" applyFont="1" applyFill="1" applyBorder="1" applyAlignment="1">
      <alignment vertical="center" wrapText="1"/>
    </xf>
    <xf numFmtId="186" fontId="55" fillId="0" borderId="8" xfId="3" applyNumberFormat="1" applyFont="1" applyFill="1" applyBorder="1" applyAlignment="1">
      <alignment horizontal="center" vertical="center" wrapText="1"/>
    </xf>
    <xf numFmtId="181" fontId="55" fillId="0" borderId="0" xfId="3" applyNumberFormat="1" applyFont="1" applyFill="1" applyAlignment="1">
      <alignment vertical="center" wrapText="1"/>
    </xf>
    <xf numFmtId="181" fontId="51" fillId="0" borderId="0" xfId="3" applyNumberFormat="1" applyFont="1" applyFill="1" applyAlignment="1">
      <alignment vertical="center" wrapText="1"/>
    </xf>
    <xf numFmtId="0" fontId="13" fillId="0" borderId="0" xfId="17" applyFont="1" applyAlignment="1">
      <alignment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vertical="center"/>
    </xf>
    <xf numFmtId="0" fontId="11" fillId="0" borderId="1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2" fontId="11" fillId="0" borderId="0" xfId="3" applyNumberFormat="1" applyFont="1" applyFill="1" applyBorder="1" applyAlignment="1">
      <alignment vertical="center" wrapText="1"/>
    </xf>
    <xf numFmtId="0" fontId="11" fillId="0" borderId="0" xfId="3" applyFont="1" applyFill="1" applyBorder="1" applyAlignment="1">
      <alignment vertical="center" wrapText="1"/>
    </xf>
    <xf numFmtId="167" fontId="11" fillId="0" borderId="0" xfId="2" applyNumberFormat="1" applyFont="1" applyFill="1" applyBorder="1" applyAlignment="1">
      <alignment horizontal="center" vertical="center" wrapText="1"/>
    </xf>
    <xf numFmtId="170" fontId="11" fillId="0" borderId="0" xfId="1" applyNumberFormat="1" applyFont="1" applyFill="1" applyBorder="1" applyAlignment="1">
      <alignment horizontal="center" vertical="center"/>
    </xf>
    <xf numFmtId="43" fontId="11" fillId="0" borderId="0" xfId="1" applyFont="1" applyFill="1" applyBorder="1" applyAlignment="1">
      <alignment horizontal="center" vertical="center"/>
    </xf>
    <xf numFmtId="0" fontId="38" fillId="0" borderId="0" xfId="3" applyFont="1" applyFill="1" applyAlignment="1">
      <alignment vertical="center" wrapText="1"/>
    </xf>
    <xf numFmtId="0" fontId="37" fillId="0" borderId="0" xfId="3" applyFont="1" applyFill="1" applyAlignment="1">
      <alignment vertical="center"/>
    </xf>
    <xf numFmtId="0" fontId="60" fillId="0" borderId="0" xfId="3" applyFont="1" applyFill="1" applyAlignment="1">
      <alignment vertical="center" wrapText="1"/>
    </xf>
    <xf numFmtId="0" fontId="39" fillId="0" borderId="0" xfId="3" applyFont="1" applyFill="1" applyAlignment="1">
      <alignment vertical="center"/>
    </xf>
    <xf numFmtId="0" fontId="39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vertical="center"/>
    </xf>
    <xf numFmtId="0" fontId="61" fillId="0" borderId="0" xfId="3" applyFont="1" applyFill="1" applyAlignment="1">
      <alignment vertical="center"/>
    </xf>
    <xf numFmtId="0" fontId="61" fillId="0" borderId="0" xfId="3" applyFont="1" applyFill="1" applyAlignment="1">
      <alignment horizontal="center" vertical="center"/>
    </xf>
    <xf numFmtId="0" fontId="35" fillId="0" borderId="0" xfId="3" applyFont="1" applyFill="1" applyAlignment="1"/>
    <xf numFmtId="0" fontId="36" fillId="0" borderId="0" xfId="3" applyFont="1" applyFill="1" applyAlignment="1">
      <alignment vertical="center"/>
    </xf>
    <xf numFmtId="0" fontId="3" fillId="0" borderId="0" xfId="3" applyFont="1" applyFill="1" applyAlignment="1">
      <alignment horizontal="right" vertical="center"/>
    </xf>
    <xf numFmtId="0" fontId="3" fillId="0" borderId="0" xfId="3" applyFont="1" applyFill="1" applyAlignment="1">
      <alignment vertical="center"/>
    </xf>
    <xf numFmtId="176" fontId="62" fillId="0" borderId="0" xfId="3" applyNumberFormat="1" applyFont="1" applyFill="1" applyBorder="1" applyAlignment="1">
      <alignment horizontal="center" vertical="center" wrapText="1"/>
    </xf>
    <xf numFmtId="0" fontId="11" fillId="0" borderId="0" xfId="3" applyFont="1" applyFill="1" applyAlignment="1">
      <alignment horizontal="center" vertical="center"/>
    </xf>
    <xf numFmtId="0" fontId="11" fillId="0" borderId="0" xfId="3" applyFont="1" applyFill="1" applyAlignment="1">
      <alignment vertical="center"/>
    </xf>
    <xf numFmtId="43" fontId="3" fillId="0" borderId="0" xfId="2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vertical="center" wrapText="1"/>
    </xf>
    <xf numFmtId="43" fontId="3" fillId="0" borderId="0" xfId="2" applyNumberFormat="1" applyFont="1" applyFill="1" applyBorder="1" applyAlignment="1">
      <alignment vertical="center" wrapText="1"/>
    </xf>
    <xf numFmtId="43" fontId="3" fillId="0" borderId="0" xfId="2" applyNumberFormat="1" applyFont="1" applyFill="1" applyBorder="1" applyAlignment="1">
      <alignment horizontal="center" vertical="center" wrapText="1"/>
    </xf>
    <xf numFmtId="165" fontId="3" fillId="0" borderId="0" xfId="2" applyNumberFormat="1" applyFont="1" applyFill="1" applyBorder="1" applyAlignment="1">
      <alignment horizontal="center" vertical="center" wrapText="1"/>
    </xf>
    <xf numFmtId="3" fontId="3" fillId="0" borderId="0" xfId="2" applyNumberFormat="1" applyFont="1" applyFill="1" applyBorder="1" applyAlignment="1">
      <alignment horizontal="center" vertical="center"/>
    </xf>
    <xf numFmtId="43" fontId="11" fillId="0" borderId="0" xfId="1" applyFont="1" applyFill="1" applyBorder="1" applyAlignment="1">
      <alignment vertical="center" wrapText="1"/>
    </xf>
    <xf numFmtId="0" fontId="61" fillId="0" borderId="0" xfId="3" applyFont="1" applyFill="1" applyBorder="1" applyAlignment="1">
      <alignment horizontal="center" vertical="center"/>
    </xf>
    <xf numFmtId="171" fontId="19" fillId="0" borderId="0" xfId="3" applyNumberFormat="1" applyFont="1" applyFill="1" applyBorder="1" applyAlignment="1">
      <alignment horizontal="left" vertical="center" wrapText="1"/>
    </xf>
    <xf numFmtId="0" fontId="3" fillId="0" borderId="1" xfId="3" applyFont="1" applyFill="1" applyBorder="1" applyAlignment="1">
      <alignment horizontal="center" vertical="center"/>
    </xf>
    <xf numFmtId="0" fontId="3" fillId="0" borderId="3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64" fillId="0" borderId="0" xfId="8" applyFont="1" applyAlignment="1">
      <alignment horizontal="right" vertical="center"/>
    </xf>
    <xf numFmtId="0" fontId="66" fillId="0" borderId="1" xfId="3" applyFont="1" applyFill="1" applyBorder="1" applyAlignment="1">
      <alignment horizontal="center" vertical="center"/>
    </xf>
    <xf numFmtId="187" fontId="3" fillId="0" borderId="0" xfId="2" applyNumberFormat="1" applyFont="1" applyFill="1" applyBorder="1" applyAlignment="1">
      <alignment horizontal="center" vertical="center" wrapText="1"/>
    </xf>
    <xf numFmtId="179" fontId="11" fillId="0" borderId="0" xfId="1" applyNumberFormat="1" applyFont="1" applyFill="1" applyBorder="1" applyAlignment="1">
      <alignment horizontal="center" vertical="center" wrapText="1"/>
    </xf>
    <xf numFmtId="187" fontId="3" fillId="0" borderId="0" xfId="2" applyNumberFormat="1" applyFont="1" applyFill="1" applyBorder="1" applyAlignment="1">
      <alignment horizontal="left" vertical="center" wrapText="1"/>
    </xf>
    <xf numFmtId="0" fontId="3" fillId="0" borderId="0" xfId="2" applyNumberFormat="1" applyFont="1" applyFill="1" applyBorder="1" applyAlignment="1">
      <alignment horizontal="left" vertical="center" wrapText="1"/>
    </xf>
    <xf numFmtId="49" fontId="3" fillId="0" borderId="0" xfId="2" applyNumberFormat="1" applyFont="1" applyFill="1" applyBorder="1" applyAlignment="1">
      <alignment horizontal="center" vertical="center" wrapText="1"/>
    </xf>
    <xf numFmtId="0" fontId="69" fillId="0" borderId="0" xfId="19" applyFont="1"/>
    <xf numFmtId="0" fontId="68" fillId="0" borderId="0" xfId="19" applyFont="1" applyAlignment="1">
      <alignment horizontal="center"/>
    </xf>
    <xf numFmtId="0" fontId="69" fillId="0" borderId="0" xfId="19" applyFont="1" applyAlignment="1">
      <alignment horizontal="center" vertical="center" wrapText="1"/>
    </xf>
    <xf numFmtId="0" fontId="72" fillId="4" borderId="44" xfId="19" applyFont="1" applyFill="1" applyBorder="1" applyAlignment="1">
      <alignment horizontal="center" vertical="center" wrapText="1"/>
    </xf>
    <xf numFmtId="0" fontId="70" fillId="0" borderId="44" xfId="19" applyFont="1" applyBorder="1" applyAlignment="1">
      <alignment horizontal="center" vertical="center" wrapText="1"/>
    </xf>
    <xf numFmtId="0" fontId="59" fillId="0" borderId="44" xfId="19" applyFont="1" applyBorder="1" applyAlignment="1">
      <alignment horizontal="center" vertical="center" wrapText="1"/>
    </xf>
    <xf numFmtId="0" fontId="74" fillId="0" borderId="41" xfId="19" applyFont="1" applyBorder="1" applyAlignment="1">
      <alignment horizontal="center" vertical="center" wrapText="1"/>
    </xf>
    <xf numFmtId="0" fontId="76" fillId="0" borderId="44" xfId="19" applyFont="1" applyBorder="1" applyAlignment="1">
      <alignment horizontal="center" vertical="center" wrapText="1"/>
    </xf>
    <xf numFmtId="2" fontId="77" fillId="0" borderId="46" xfId="19" applyNumberFormat="1" applyFont="1" applyBorder="1" applyAlignment="1">
      <alignment horizontal="center" vertical="center" wrapText="1"/>
    </xf>
    <xf numFmtId="171" fontId="78" fillId="0" borderId="45" xfId="19" applyNumberFormat="1" applyFont="1" applyBorder="1" applyAlignment="1">
      <alignment horizontal="center" vertical="center" wrapText="1"/>
    </xf>
    <xf numFmtId="171" fontId="78" fillId="0" borderId="33" xfId="19" applyNumberFormat="1" applyFont="1" applyBorder="1" applyAlignment="1">
      <alignment horizontal="center" vertical="center" wrapText="1"/>
    </xf>
    <xf numFmtId="171" fontId="78" fillId="0" borderId="34" xfId="19" applyNumberFormat="1" applyFont="1" applyBorder="1" applyAlignment="1">
      <alignment horizontal="center" vertical="center" wrapText="1"/>
    </xf>
    <xf numFmtId="164" fontId="79" fillId="0" borderId="47" xfId="19" applyNumberFormat="1" applyFont="1" applyBorder="1" applyAlignment="1">
      <alignment horizontal="center" vertical="center" wrapText="1"/>
    </xf>
    <xf numFmtId="2" fontId="77" fillId="0" borderId="34" xfId="19" applyNumberFormat="1" applyFont="1" applyBorder="1" applyAlignment="1">
      <alignment horizontal="center" vertical="center" wrapText="1"/>
    </xf>
    <xf numFmtId="2" fontId="77" fillId="0" borderId="48" xfId="19" applyNumberFormat="1" applyFont="1" applyBorder="1" applyAlignment="1">
      <alignment horizontal="center" vertical="center" wrapText="1"/>
    </xf>
    <xf numFmtId="171" fontId="78" fillId="0" borderId="35" xfId="19" applyNumberFormat="1" applyFont="1" applyBorder="1" applyAlignment="1">
      <alignment horizontal="center" vertical="center" wrapText="1"/>
    </xf>
    <xf numFmtId="171" fontId="78" fillId="0" borderId="4" xfId="19" applyNumberFormat="1" applyFont="1" applyBorder="1" applyAlignment="1">
      <alignment horizontal="center" vertical="center" wrapText="1"/>
    </xf>
    <xf numFmtId="171" fontId="78" fillId="0" borderId="7" xfId="19" applyNumberFormat="1" applyFont="1" applyBorder="1" applyAlignment="1">
      <alignment horizontal="center" vertical="center" wrapText="1"/>
    </xf>
    <xf numFmtId="164" fontId="79" fillId="0" borderId="4" xfId="19" applyNumberFormat="1" applyFont="1" applyBorder="1" applyAlignment="1">
      <alignment horizontal="center" vertical="center" wrapText="1"/>
    </xf>
    <xf numFmtId="2" fontId="77" fillId="0" borderId="36" xfId="19" applyNumberFormat="1" applyFont="1" applyBorder="1" applyAlignment="1">
      <alignment horizontal="center" vertical="center" wrapText="1"/>
    </xf>
    <xf numFmtId="171" fontId="80" fillId="0" borderId="35" xfId="19" applyNumberFormat="1" applyFont="1" applyBorder="1" applyAlignment="1">
      <alignment horizontal="center" vertical="center" wrapText="1"/>
    </xf>
    <xf numFmtId="171" fontId="80" fillId="0" borderId="4" xfId="19" applyNumberFormat="1" applyFont="1" applyBorder="1" applyAlignment="1">
      <alignment horizontal="center" vertical="center" wrapText="1"/>
    </xf>
    <xf numFmtId="171" fontId="80" fillId="0" borderId="7" xfId="19" applyNumberFormat="1" applyFont="1" applyBorder="1" applyAlignment="1">
      <alignment horizontal="center" vertical="center" wrapText="1"/>
    </xf>
    <xf numFmtId="171" fontId="81" fillId="0" borderId="4" xfId="19" applyNumberFormat="1" applyFont="1" applyBorder="1" applyAlignment="1">
      <alignment horizontal="center" vertical="center" wrapText="1"/>
    </xf>
    <xf numFmtId="171" fontId="81" fillId="0" borderId="7" xfId="19" applyNumberFormat="1" applyFont="1" applyBorder="1" applyAlignment="1">
      <alignment horizontal="center" vertical="center" wrapText="1"/>
    </xf>
    <xf numFmtId="171" fontId="81" fillId="0" borderId="35" xfId="19" applyNumberFormat="1" applyFont="1" applyBorder="1" applyAlignment="1">
      <alignment horizontal="center" vertical="center" wrapText="1"/>
    </xf>
    <xf numFmtId="171" fontId="82" fillId="0" borderId="4" xfId="19" applyNumberFormat="1" applyFont="1" applyBorder="1" applyAlignment="1">
      <alignment horizontal="center" vertical="center" wrapText="1"/>
    </xf>
    <xf numFmtId="171" fontId="82" fillId="0" borderId="7" xfId="19" applyNumberFormat="1" applyFont="1" applyBorder="1" applyAlignment="1">
      <alignment horizontal="center" vertical="center" wrapText="1"/>
    </xf>
    <xf numFmtId="171" fontId="83" fillId="0" borderId="4" xfId="19" applyNumberFormat="1" applyFont="1" applyBorder="1" applyAlignment="1">
      <alignment horizontal="center" vertical="center" wrapText="1"/>
    </xf>
    <xf numFmtId="171" fontId="83" fillId="0" borderId="7" xfId="19" applyNumberFormat="1" applyFont="1" applyBorder="1" applyAlignment="1">
      <alignment horizontal="center" vertical="center" wrapText="1"/>
    </xf>
    <xf numFmtId="2" fontId="77" fillId="0" borderId="49" xfId="19" applyNumberFormat="1" applyFont="1" applyBorder="1" applyAlignment="1">
      <alignment horizontal="center" vertical="center" wrapText="1"/>
    </xf>
    <xf numFmtId="171" fontId="81" fillId="0" borderId="37" xfId="19" applyNumberFormat="1" applyFont="1" applyBorder="1" applyAlignment="1">
      <alignment horizontal="center" vertical="center" wrapText="1"/>
    </xf>
    <xf numFmtId="171" fontId="82" fillId="0" borderId="38" xfId="19" applyNumberFormat="1" applyFont="1" applyBorder="1" applyAlignment="1">
      <alignment horizontal="center" vertical="center" wrapText="1"/>
    </xf>
    <xf numFmtId="171" fontId="81" fillId="0" borderId="38" xfId="19" applyNumberFormat="1" applyFont="1" applyBorder="1" applyAlignment="1">
      <alignment horizontal="center" vertical="center" wrapText="1"/>
    </xf>
    <xf numFmtId="171" fontId="78" fillId="0" borderId="38" xfId="19" applyNumberFormat="1" applyFont="1" applyBorder="1" applyAlignment="1">
      <alignment horizontal="center" vertical="center" wrapText="1"/>
    </xf>
    <xf numFmtId="171" fontId="83" fillId="0" borderId="38" xfId="19" applyNumberFormat="1" applyFont="1" applyBorder="1" applyAlignment="1">
      <alignment horizontal="center" vertical="center" wrapText="1"/>
    </xf>
    <xf numFmtId="171" fontId="80" fillId="0" borderId="38" xfId="19" applyNumberFormat="1" applyFont="1" applyBorder="1" applyAlignment="1">
      <alignment horizontal="center" vertical="center" wrapText="1"/>
    </xf>
    <xf numFmtId="171" fontId="83" fillId="0" borderId="39" xfId="19" applyNumberFormat="1" applyFont="1" applyBorder="1" applyAlignment="1">
      <alignment horizontal="center" vertical="center" wrapText="1"/>
    </xf>
    <xf numFmtId="164" fontId="79" fillId="0" borderId="12" xfId="19" applyNumberFormat="1" applyFont="1" applyBorder="1" applyAlignment="1">
      <alignment horizontal="center" vertical="center" wrapText="1"/>
    </xf>
    <xf numFmtId="2" fontId="77" fillId="0" borderId="50" xfId="19" applyNumberFormat="1" applyFont="1" applyBorder="1" applyAlignment="1">
      <alignment horizontal="center" vertical="center" wrapText="1"/>
    </xf>
    <xf numFmtId="2" fontId="77" fillId="0" borderId="51" xfId="19" applyNumberFormat="1" applyFont="1" applyBorder="1" applyAlignment="1">
      <alignment horizontal="center" vertical="center" wrapText="1"/>
    </xf>
    <xf numFmtId="171" fontId="79" fillId="0" borderId="37" xfId="19" applyNumberFormat="1" applyFont="1" applyBorder="1" applyAlignment="1">
      <alignment horizontal="center" vertical="center" wrapText="1"/>
    </xf>
    <xf numFmtId="171" fontId="79" fillId="0" borderId="38" xfId="19" applyNumberFormat="1" applyFont="1" applyBorder="1" applyAlignment="1">
      <alignment horizontal="center" vertical="center" wrapText="1"/>
    </xf>
    <xf numFmtId="171" fontId="79" fillId="0" borderId="39" xfId="19" applyNumberFormat="1" applyFont="1" applyBorder="1" applyAlignment="1">
      <alignment horizontal="center" vertical="center" wrapText="1"/>
    </xf>
    <xf numFmtId="164" fontId="79" fillId="0" borderId="52" xfId="19" applyNumberFormat="1" applyFont="1" applyBorder="1" applyAlignment="1">
      <alignment horizontal="center" vertical="center" wrapText="1"/>
    </xf>
    <xf numFmtId="2" fontId="77" fillId="0" borderId="53" xfId="19" applyNumberFormat="1" applyFont="1" applyBorder="1" applyAlignment="1">
      <alignment horizontal="center" vertical="center" wrapText="1"/>
    </xf>
    <xf numFmtId="0" fontId="79" fillId="0" borderId="0" xfId="19" applyFont="1" applyAlignment="1">
      <alignment horizontal="center" vertical="center" wrapText="1"/>
    </xf>
    <xf numFmtId="43" fontId="46" fillId="0" borderId="0" xfId="1" applyFont="1" applyBorder="1"/>
    <xf numFmtId="43" fontId="39" fillId="0" borderId="0" xfId="1" applyFont="1" applyBorder="1"/>
    <xf numFmtId="43" fontId="46" fillId="0" borderId="0" xfId="1" applyFont="1" applyFill="1" applyBorder="1"/>
    <xf numFmtId="43" fontId="39" fillId="0" borderId="0" xfId="1" applyFont="1" applyFill="1" applyBorder="1"/>
    <xf numFmtId="43" fontId="46" fillId="0" borderId="0" xfId="1" applyFont="1"/>
    <xf numFmtId="43" fontId="37" fillId="0" borderId="0" xfId="1" applyFont="1" applyBorder="1" applyAlignment="1">
      <alignment horizontal="center" vertical="center" wrapText="1"/>
    </xf>
    <xf numFmtId="43" fontId="8" fillId="0" borderId="0" xfId="1" applyFont="1" applyFill="1" applyBorder="1" applyAlignment="1">
      <alignment horizontal="center" vertical="center" wrapText="1"/>
    </xf>
    <xf numFmtId="43" fontId="37" fillId="0" borderId="0" xfId="1" applyFont="1" applyFill="1" applyBorder="1" applyAlignment="1">
      <alignment horizontal="center" vertical="center" wrapText="1"/>
    </xf>
    <xf numFmtId="0" fontId="13" fillId="0" borderId="0" xfId="17" applyFont="1" applyBorder="1"/>
    <xf numFmtId="0" fontId="47" fillId="0" borderId="0" xfId="17" applyFont="1" applyFill="1" applyBorder="1" applyAlignment="1">
      <alignment horizontal="center" textRotation="180" wrapText="1"/>
    </xf>
    <xf numFmtId="164" fontId="13" fillId="0" borderId="0" xfId="17" applyNumberFormat="1" applyFont="1" applyFill="1" applyBorder="1" applyAlignment="1">
      <alignment horizontal="right" vertical="center"/>
    </xf>
    <xf numFmtId="164" fontId="13" fillId="0" borderId="0" xfId="17" applyNumberFormat="1" applyFont="1" applyFill="1" applyBorder="1" applyAlignment="1">
      <alignment horizontal="left" vertical="center"/>
    </xf>
    <xf numFmtId="0" fontId="13" fillId="0" borderId="0" xfId="17" applyFont="1" applyFill="1" applyBorder="1"/>
    <xf numFmtId="0" fontId="46" fillId="0" borderId="0" xfId="17" applyFont="1" applyFill="1"/>
    <xf numFmtId="0" fontId="46" fillId="0" borderId="0" xfId="17" applyFont="1" applyFill="1" applyAlignment="1">
      <alignment horizontal="center"/>
    </xf>
    <xf numFmtId="0" fontId="46" fillId="0" borderId="0" xfId="17" applyFont="1" applyFill="1" applyBorder="1" applyAlignment="1">
      <alignment horizontal="left"/>
    </xf>
    <xf numFmtId="0" fontId="37" fillId="0" borderId="0" xfId="17" applyFont="1" applyFill="1" applyBorder="1" applyAlignment="1">
      <alignment horizontal="left" vertical="center" wrapText="1"/>
    </xf>
    <xf numFmtId="0" fontId="46" fillId="0" borderId="0" xfId="17" applyFont="1" applyFill="1" applyAlignment="1">
      <alignment horizontal="left"/>
    </xf>
    <xf numFmtId="0" fontId="13" fillId="0" borderId="0" xfId="17" applyFont="1" applyFill="1" applyBorder="1" applyAlignment="1">
      <alignment horizontal="center" vertical="center" wrapText="1"/>
    </xf>
    <xf numFmtId="0" fontId="13" fillId="0" borderId="0" xfId="17" applyFont="1"/>
    <xf numFmtId="0" fontId="3" fillId="0" borderId="0" xfId="3" applyFont="1" applyFill="1" applyBorder="1" applyAlignment="1">
      <alignment horizontal="center" vertical="center"/>
    </xf>
    <xf numFmtId="176" fontId="22" fillId="0" borderId="0" xfId="3" applyNumberFormat="1" applyFont="1" applyFill="1" applyBorder="1" applyAlignment="1">
      <alignment horizontal="center" vertical="center" wrapText="1"/>
    </xf>
    <xf numFmtId="0" fontId="43" fillId="0" borderId="3" xfId="3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vertical="center"/>
    </xf>
    <xf numFmtId="176" fontId="43" fillId="0" borderId="0" xfId="3" applyNumberFormat="1" applyFont="1" applyFill="1" applyBorder="1" applyAlignment="1">
      <alignment horizontal="center" vertical="center" wrapText="1"/>
    </xf>
    <xf numFmtId="43" fontId="43" fillId="0" borderId="0" xfId="1" applyFont="1" applyFill="1" applyBorder="1" applyAlignment="1">
      <alignment horizontal="center" vertical="center"/>
    </xf>
    <xf numFmtId="0" fontId="43" fillId="0" borderId="0" xfId="3" applyFont="1" applyFill="1" applyBorder="1" applyAlignment="1">
      <alignment vertical="center"/>
    </xf>
    <xf numFmtId="0" fontId="85" fillId="0" borderId="0" xfId="17" applyFont="1" applyFill="1" applyBorder="1" applyAlignment="1">
      <alignment horizontal="left"/>
    </xf>
    <xf numFmtId="2" fontId="85" fillId="0" borderId="0" xfId="17" applyNumberFormat="1" applyFont="1" applyFill="1" applyBorder="1" applyAlignment="1">
      <alignment horizontal="left"/>
    </xf>
    <xf numFmtId="0" fontId="86" fillId="0" borderId="0" xfId="17" applyFont="1" applyFill="1" applyBorder="1" applyAlignment="1">
      <alignment horizontal="left"/>
    </xf>
    <xf numFmtId="0" fontId="87" fillId="0" borderId="0" xfId="17" applyFont="1" applyFill="1" applyBorder="1" applyAlignment="1">
      <alignment horizontal="center" vertical="center" wrapText="1"/>
    </xf>
    <xf numFmtId="0" fontId="87" fillId="0" borderId="0" xfId="17" applyFont="1" applyFill="1" applyBorder="1" applyAlignment="1">
      <alignment horizontal="left" vertical="center" wrapText="1"/>
    </xf>
    <xf numFmtId="1" fontId="13" fillId="0" borderId="0" xfId="17" applyNumberFormat="1" applyFont="1" applyFill="1" applyBorder="1" applyAlignment="1">
      <alignment horizontal="right" vertical="center" wrapText="1"/>
    </xf>
    <xf numFmtId="0" fontId="37" fillId="0" borderId="0" xfId="17" applyFont="1" applyFill="1" applyBorder="1" applyAlignment="1">
      <alignment horizontal="right" vertical="center" wrapText="1"/>
    </xf>
    <xf numFmtId="43" fontId="46" fillId="0" borderId="0" xfId="1" applyFont="1" applyFill="1" applyBorder="1" applyAlignment="1">
      <alignment horizontal="right" vertical="center" wrapText="1"/>
    </xf>
    <xf numFmtId="0" fontId="13" fillId="0" borderId="0" xfId="17" applyFont="1" applyAlignment="1">
      <alignment horizontal="center" vertical="center" wrapText="1"/>
    </xf>
    <xf numFmtId="0" fontId="13" fillId="0" borderId="0" xfId="17" applyFont="1" applyBorder="1" applyAlignment="1">
      <alignment horizontal="center" vertical="center" wrapText="1"/>
    </xf>
    <xf numFmtId="39" fontId="46" fillId="0" borderId="0" xfId="17" applyNumberFormat="1" applyFont="1" applyFill="1" applyBorder="1" applyAlignment="1">
      <alignment horizontal="right" vertical="center" wrapText="1"/>
    </xf>
    <xf numFmtId="182" fontId="39" fillId="0" borderId="0" xfId="17" applyNumberFormat="1" applyFont="1" applyFill="1" applyBorder="1" applyAlignment="1">
      <alignment vertical="center" wrapText="1"/>
    </xf>
    <xf numFmtId="182" fontId="39" fillId="0" borderId="0" xfId="17" applyNumberFormat="1" applyFont="1" applyFill="1" applyBorder="1" applyAlignment="1">
      <alignment horizontal="left" vertical="center" wrapText="1"/>
    </xf>
    <xf numFmtId="0" fontId="87" fillId="0" borderId="0" xfId="17" applyFont="1" applyFill="1" applyBorder="1" applyAlignment="1">
      <alignment horizontal="right" vertical="center" wrapText="1"/>
    </xf>
    <xf numFmtId="0" fontId="13" fillId="0" borderId="0" xfId="17" applyFont="1" applyBorder="1" applyAlignment="1">
      <alignment vertical="center" wrapText="1"/>
    </xf>
    <xf numFmtId="0" fontId="13" fillId="0" borderId="0" xfId="17" applyFont="1" applyBorder="1" applyAlignment="1">
      <alignment horizontal="left" vertical="center" wrapText="1"/>
    </xf>
    <xf numFmtId="0" fontId="39" fillId="0" borderId="0" xfId="17" applyFont="1" applyFill="1" applyBorder="1" applyAlignment="1">
      <alignment horizontal="left" vertical="center" wrapText="1"/>
    </xf>
    <xf numFmtId="39" fontId="46" fillId="0" borderId="0" xfId="17" applyNumberFormat="1" applyFont="1" applyFill="1" applyBorder="1" applyAlignment="1">
      <alignment horizontal="center" vertical="center" wrapText="1"/>
    </xf>
    <xf numFmtId="183" fontId="39" fillId="0" borderId="0" xfId="17" applyNumberFormat="1" applyFont="1" applyFill="1" applyBorder="1" applyAlignment="1">
      <alignment horizontal="left" vertical="center" wrapText="1"/>
    </xf>
    <xf numFmtId="183" fontId="39" fillId="0" borderId="0" xfId="17" applyNumberFormat="1" applyFont="1" applyFill="1" applyBorder="1" applyAlignment="1">
      <alignment horizontal="center" vertical="center" wrapText="1"/>
    </xf>
    <xf numFmtId="182" fontId="39" fillId="0" borderId="0" xfId="17" applyNumberFormat="1" applyFont="1" applyFill="1" applyBorder="1" applyAlignment="1">
      <alignment horizontal="center" vertical="center" wrapText="1"/>
    </xf>
    <xf numFmtId="0" fontId="13" fillId="0" borderId="0" xfId="17" applyFont="1" applyFill="1" applyBorder="1" applyAlignment="1">
      <alignment vertical="center" wrapText="1"/>
    </xf>
    <xf numFmtId="2" fontId="46" fillId="0" borderId="0" xfId="1" applyNumberFormat="1" applyFont="1" applyFill="1" applyBorder="1" applyAlignment="1">
      <alignment horizontal="center" vertical="center" wrapText="1"/>
    </xf>
    <xf numFmtId="0" fontId="13" fillId="0" borderId="0" xfId="17" applyFont="1" applyFill="1" applyBorder="1" applyAlignment="1">
      <alignment horizontal="right" vertical="center" wrapText="1"/>
    </xf>
    <xf numFmtId="181" fontId="13" fillId="0" borderId="0" xfId="17" applyNumberFormat="1" applyFont="1" applyFill="1" applyBorder="1" applyAlignment="1">
      <alignment horizontal="center" vertical="center" wrapText="1"/>
    </xf>
    <xf numFmtId="181" fontId="13" fillId="0" borderId="0" xfId="17" applyNumberFormat="1" applyFont="1" applyFill="1" applyBorder="1" applyAlignment="1">
      <alignment horizontal="left" vertical="center" wrapText="1"/>
    </xf>
    <xf numFmtId="0" fontId="13" fillId="0" borderId="0" xfId="17" applyFont="1" applyFill="1" applyBorder="1" applyAlignment="1">
      <alignment horizontal="left" vertical="center" wrapText="1"/>
    </xf>
    <xf numFmtId="0" fontId="13" fillId="0" borderId="0" xfId="17" applyFont="1" applyFill="1" applyBorder="1" applyAlignment="1">
      <alignment horizontal="right"/>
    </xf>
    <xf numFmtId="0" fontId="13" fillId="0" borderId="0" xfId="17" applyFont="1" applyFill="1"/>
    <xf numFmtId="43" fontId="13" fillId="0" borderId="0" xfId="17" applyNumberFormat="1" applyFont="1" applyFill="1" applyBorder="1" applyAlignment="1">
      <alignment horizontal="center" vertical="center" wrapText="1"/>
    </xf>
    <xf numFmtId="0" fontId="8" fillId="0" borderId="0" xfId="17" applyFont="1" applyBorder="1"/>
    <xf numFmtId="0" fontId="8" fillId="0" borderId="0" xfId="17" applyFont="1"/>
    <xf numFmtId="182" fontId="46" fillId="0" borderId="0" xfId="17" applyNumberFormat="1" applyFont="1" applyBorder="1"/>
    <xf numFmtId="182" fontId="13" fillId="0" borderId="0" xfId="17" applyNumberFormat="1" applyFont="1" applyFill="1" applyBorder="1" applyAlignment="1">
      <alignment vertical="center" wrapText="1"/>
    </xf>
    <xf numFmtId="0" fontId="13" fillId="0" borderId="0" xfId="17" applyFont="1" applyBorder="1" applyAlignment="1">
      <alignment horizontal="left"/>
    </xf>
    <xf numFmtId="183" fontId="13" fillId="0" borderId="0" xfId="17" applyNumberFormat="1" applyFont="1" applyFill="1" applyBorder="1" applyAlignment="1">
      <alignment horizontal="left" vertical="center" wrapText="1"/>
    </xf>
    <xf numFmtId="0" fontId="13" fillId="0" borderId="0" xfId="17" applyFont="1" applyFill="1" applyBorder="1" applyAlignment="1">
      <alignment horizontal="left"/>
    </xf>
    <xf numFmtId="0" fontId="13" fillId="0" borderId="0" xfId="17" applyFont="1" applyFill="1" applyAlignment="1">
      <alignment horizontal="left"/>
    </xf>
    <xf numFmtId="0" fontId="13" fillId="0" borderId="0" xfId="17" applyFont="1" applyBorder="1" applyAlignment="1">
      <alignment horizontal="right"/>
    </xf>
    <xf numFmtId="181" fontId="13" fillId="0" borderId="0" xfId="17" applyNumberFormat="1" applyFont="1" applyFill="1" applyBorder="1" applyAlignment="1">
      <alignment horizontal="right" vertical="center" wrapText="1"/>
    </xf>
    <xf numFmtId="183" fontId="13" fillId="0" borderId="0" xfId="17" applyNumberFormat="1" applyFont="1" applyFill="1" applyBorder="1" applyAlignment="1">
      <alignment horizontal="right" vertical="center" wrapText="1"/>
    </xf>
    <xf numFmtId="0" fontId="13" fillId="0" borderId="0" xfId="17" applyFont="1" applyFill="1" applyAlignment="1">
      <alignment horizontal="right"/>
    </xf>
    <xf numFmtId="0" fontId="13" fillId="0" borderId="0" xfId="17" applyFont="1" applyBorder="1" applyAlignment="1">
      <alignment horizontal="center" vertical="center"/>
    </xf>
    <xf numFmtId="0" fontId="13" fillId="0" borderId="0" xfId="17" applyFont="1" applyFill="1" applyBorder="1" applyAlignment="1">
      <alignment horizontal="center" vertical="center"/>
    </xf>
    <xf numFmtId="0" fontId="13" fillId="0" borderId="0" xfId="17" applyFont="1" applyAlignment="1">
      <alignment horizontal="center" vertical="center"/>
    </xf>
    <xf numFmtId="0" fontId="13" fillId="0" borderId="23" xfId="17" applyFont="1" applyBorder="1" applyAlignment="1">
      <alignment horizontal="center" vertical="center"/>
    </xf>
    <xf numFmtId="0" fontId="13" fillId="0" borderId="11" xfId="17" applyFont="1" applyBorder="1" applyAlignment="1">
      <alignment horizontal="center" vertical="center"/>
    </xf>
    <xf numFmtId="181" fontId="49" fillId="0" borderId="0" xfId="3" applyNumberFormat="1" applyFont="1" applyFill="1" applyBorder="1" applyAlignment="1">
      <alignment vertical="center" wrapText="1"/>
    </xf>
    <xf numFmtId="181" fontId="49" fillId="0" borderId="0" xfId="3" applyNumberFormat="1" applyFont="1" applyFill="1" applyAlignment="1">
      <alignment horizontal="center" vertical="center" wrapText="1"/>
    </xf>
    <xf numFmtId="0" fontId="58" fillId="0" borderId="0" xfId="17" applyFont="1" applyFill="1" applyAlignment="1">
      <alignment horizontal="right" vertical="center"/>
    </xf>
    <xf numFmtId="0" fontId="45" fillId="0" borderId="0" xfId="17" applyFont="1" applyAlignment="1">
      <alignment horizontal="right" vertical="center"/>
    </xf>
    <xf numFmtId="0" fontId="13" fillId="0" borderId="4" xfId="17" applyFont="1" applyBorder="1" applyAlignment="1">
      <alignment horizontal="center" vertical="center"/>
    </xf>
    <xf numFmtId="0" fontId="13" fillId="0" borderId="0" xfId="17" applyFont="1" applyAlignment="1">
      <alignment horizontal="right" vertical="center"/>
    </xf>
    <xf numFmtId="0" fontId="46" fillId="0" borderId="0" xfId="17" applyFont="1" applyAlignment="1">
      <alignment vertical="center"/>
    </xf>
    <xf numFmtId="0" fontId="13" fillId="0" borderId="7" xfId="17" applyFont="1" applyBorder="1" applyAlignment="1">
      <alignment horizontal="center" vertical="center"/>
    </xf>
    <xf numFmtId="0" fontId="13" fillId="0" borderId="40" xfId="17" applyFont="1" applyBorder="1" applyAlignment="1">
      <alignment horizontal="center" vertical="center" wrapText="1"/>
    </xf>
    <xf numFmtId="171" fontId="13" fillId="0" borderId="40" xfId="17" applyNumberFormat="1" applyFont="1" applyBorder="1" applyAlignment="1">
      <alignment horizontal="center" vertical="center"/>
    </xf>
    <xf numFmtId="39" fontId="13" fillId="0" borderId="40" xfId="2" applyNumberFormat="1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 wrapText="1"/>
    </xf>
    <xf numFmtId="171" fontId="13" fillId="0" borderId="1" xfId="17" applyNumberFormat="1" applyFont="1" applyBorder="1" applyAlignment="1">
      <alignment horizontal="center" vertical="center"/>
    </xf>
    <xf numFmtId="39" fontId="13" fillId="0" borderId="1" xfId="2" applyNumberFormat="1" applyFont="1" applyBorder="1" applyAlignment="1">
      <alignment horizontal="center" vertical="center"/>
    </xf>
    <xf numFmtId="12" fontId="13" fillId="0" borderId="1" xfId="17" applyNumberFormat="1" applyFont="1" applyBorder="1" applyAlignment="1">
      <alignment horizontal="center" vertical="center"/>
    </xf>
    <xf numFmtId="171" fontId="13" fillId="0" borderId="0" xfId="17" applyNumberFormat="1" applyFont="1" applyBorder="1" applyAlignment="1">
      <alignment horizontal="center" vertical="center"/>
    </xf>
    <xf numFmtId="39" fontId="13" fillId="0" borderId="0" xfId="2" applyNumberFormat="1" applyFont="1" applyBorder="1" applyAlignment="1">
      <alignment horizontal="center" vertical="center"/>
    </xf>
    <xf numFmtId="0" fontId="13" fillId="0" borderId="3" xfId="17" applyFont="1" applyBorder="1" applyAlignment="1">
      <alignment horizontal="center" vertical="center" wrapText="1"/>
    </xf>
    <xf numFmtId="39" fontId="13" fillId="0" borderId="3" xfId="2" applyNumberFormat="1" applyFont="1" applyBorder="1" applyAlignment="1">
      <alignment horizontal="center" vertical="center"/>
    </xf>
    <xf numFmtId="12" fontId="13" fillId="0" borderId="3" xfId="17" applyNumberFormat="1" applyFont="1" applyBorder="1" applyAlignment="1">
      <alignment horizontal="center" vertical="center"/>
    </xf>
    <xf numFmtId="0" fontId="13" fillId="0" borderId="0" xfId="18" applyFont="1" applyAlignment="1">
      <alignment horizontal="center" vertical="center"/>
    </xf>
    <xf numFmtId="0" fontId="13" fillId="0" borderId="0" xfId="18" applyFont="1" applyAlignment="1">
      <alignment vertical="center"/>
    </xf>
    <xf numFmtId="0" fontId="13" fillId="0" borderId="0" xfId="18" applyFont="1" applyAlignment="1">
      <alignment horizontal="right" vertical="center"/>
    </xf>
    <xf numFmtId="0" fontId="94" fillId="0" borderId="26" xfId="18" applyFont="1" applyBorder="1" applyAlignment="1">
      <alignment horizontal="center" vertical="center"/>
    </xf>
    <xf numFmtId="0" fontId="45" fillId="0" borderId="0" xfId="18" applyFont="1" applyAlignment="1">
      <alignment horizontal="right" vertical="center"/>
    </xf>
    <xf numFmtId="43" fontId="13" fillId="0" borderId="4" xfId="1" applyFont="1" applyFill="1" applyBorder="1" applyAlignment="1">
      <alignment horizontal="center" vertical="center"/>
    </xf>
    <xf numFmtId="43" fontId="13" fillId="0" borderId="36" xfId="1" applyFont="1" applyFill="1" applyBorder="1" applyAlignment="1">
      <alignment horizontal="center" vertical="center"/>
    </xf>
    <xf numFmtId="0" fontId="13" fillId="0" borderId="0" xfId="18" applyFont="1" applyFill="1" applyAlignment="1">
      <alignment horizontal="right" vertical="center"/>
    </xf>
    <xf numFmtId="0" fontId="48" fillId="0" borderId="0" xfId="18" applyFont="1" applyAlignment="1">
      <alignment horizontal="left" vertical="center"/>
    </xf>
    <xf numFmtId="0" fontId="55" fillId="0" borderId="0" xfId="3" applyFont="1" applyFill="1" applyBorder="1" applyAlignment="1">
      <alignment horizontal="center" vertical="center" wrapText="1"/>
    </xf>
    <xf numFmtId="4" fontId="51" fillId="0" borderId="0" xfId="3" applyNumberFormat="1" applyFont="1" applyFill="1" applyBorder="1" applyAlignment="1">
      <alignment horizontal="center" vertical="center" wrapText="1"/>
    </xf>
    <xf numFmtId="0" fontId="97" fillId="0" borderId="0" xfId="3" applyFont="1" applyFill="1" applyBorder="1"/>
    <xf numFmtId="184" fontId="96" fillId="0" borderId="0" xfId="3" applyNumberFormat="1" applyFont="1" applyFill="1" applyBorder="1" applyAlignment="1">
      <alignment horizontal="center" vertical="center" wrapText="1"/>
    </xf>
    <xf numFmtId="184" fontId="49" fillId="0" borderId="0" xfId="3" applyNumberFormat="1" applyFont="1" applyAlignment="1">
      <alignment horizontal="left" vertical="center" wrapText="1"/>
    </xf>
    <xf numFmtId="184" fontId="49" fillId="0" borderId="0" xfId="3" applyNumberFormat="1" applyFont="1" applyBorder="1" applyAlignment="1">
      <alignment horizontal="left" vertical="center" wrapText="1"/>
    </xf>
    <xf numFmtId="167" fontId="51" fillId="0" borderId="0" xfId="3" applyNumberFormat="1" applyFont="1" applyBorder="1" applyAlignment="1">
      <alignment horizontal="center" vertical="center" wrapText="1"/>
    </xf>
    <xf numFmtId="167" fontId="51" fillId="0" borderId="0" xfId="3" applyNumberFormat="1" applyFont="1" applyAlignment="1">
      <alignment horizontal="center" vertical="center" wrapText="1"/>
    </xf>
    <xf numFmtId="181" fontId="49" fillId="0" borderId="0" xfId="3" applyNumberFormat="1" applyFont="1" applyAlignment="1">
      <alignment horizontal="center" vertical="center" wrapText="1"/>
    </xf>
    <xf numFmtId="165" fontId="51" fillId="0" borderId="0" xfId="3" applyNumberFormat="1" applyFont="1" applyFill="1" applyBorder="1" applyAlignment="1">
      <alignment horizontal="center" vertical="center" wrapText="1"/>
    </xf>
    <xf numFmtId="165" fontId="51" fillId="0" borderId="0" xfId="2" applyNumberFormat="1" applyFont="1" applyFill="1" applyBorder="1" applyAlignment="1">
      <alignment horizontal="center" vertical="center" wrapText="1"/>
    </xf>
    <xf numFmtId="165" fontId="49" fillId="0" borderId="10" xfId="2" applyNumberFormat="1" applyFont="1" applyFill="1" applyBorder="1" applyAlignment="1">
      <alignment horizontal="center" vertical="center" wrapText="1"/>
    </xf>
    <xf numFmtId="165" fontId="100" fillId="0" borderId="0" xfId="3" applyNumberFormat="1" applyFont="1" applyFill="1" applyBorder="1" applyAlignment="1">
      <alignment horizontal="center" vertical="center" wrapText="1"/>
    </xf>
    <xf numFmtId="165" fontId="55" fillId="0" borderId="0" xfId="3" applyNumberFormat="1" applyFont="1" applyFill="1" applyBorder="1" applyAlignment="1">
      <alignment horizontal="center" vertical="center" wrapText="1"/>
    </xf>
    <xf numFmtId="165" fontId="55" fillId="0" borderId="8" xfId="3" applyNumberFormat="1" applyFont="1" applyFill="1" applyBorder="1" applyAlignment="1">
      <alignment horizontal="center" vertical="center" wrapText="1"/>
    </xf>
    <xf numFmtId="165" fontId="101" fillId="0" borderId="0" xfId="3" applyNumberFormat="1" applyFont="1" applyFill="1" applyBorder="1" applyAlignment="1">
      <alignment horizontal="center" wrapText="1"/>
    </xf>
    <xf numFmtId="165" fontId="49" fillId="0" borderId="5" xfId="3" applyNumberFormat="1" applyFont="1" applyFill="1" applyBorder="1" applyAlignment="1">
      <alignment horizontal="center" vertical="center" wrapText="1"/>
    </xf>
    <xf numFmtId="165" fontId="49" fillId="0" borderId="12" xfId="3" applyNumberFormat="1" applyFont="1" applyFill="1" applyBorder="1" applyAlignment="1">
      <alignment horizontal="center" vertical="center" wrapText="1"/>
    </xf>
    <xf numFmtId="165" fontId="49" fillId="0" borderId="1" xfId="3" applyNumberFormat="1" applyFont="1" applyFill="1" applyBorder="1" applyAlignment="1">
      <alignment horizontal="center" vertical="center" wrapText="1"/>
    </xf>
    <xf numFmtId="181" fontId="51" fillId="0" borderId="0" xfId="3" applyNumberFormat="1" applyFont="1" applyFill="1" applyBorder="1" applyAlignment="1">
      <alignment horizontal="center" vertical="center" wrapText="1"/>
    </xf>
    <xf numFmtId="181" fontId="51" fillId="0" borderId="0" xfId="3" applyNumberFormat="1" applyFont="1" applyFill="1" applyBorder="1" applyAlignment="1">
      <alignment vertical="center" wrapText="1"/>
    </xf>
    <xf numFmtId="181" fontId="55" fillId="0" borderId="25" xfId="3" applyNumberFormat="1" applyFont="1" applyFill="1" applyBorder="1" applyAlignment="1">
      <alignment horizontal="center" vertical="center" wrapText="1"/>
    </xf>
    <xf numFmtId="181" fontId="102" fillId="0" borderId="0" xfId="3" applyNumberFormat="1" applyFont="1" applyFill="1" applyAlignment="1">
      <alignment horizontal="center" vertical="center" wrapText="1"/>
    </xf>
    <xf numFmtId="177" fontId="65" fillId="0" borderId="0" xfId="8" applyNumberFormat="1" applyFont="1" applyAlignment="1">
      <alignment vertical="center" wrapText="1"/>
    </xf>
    <xf numFmtId="0" fontId="12" fillId="0" borderId="0" xfId="3" applyFont="1" applyFill="1" applyBorder="1" applyAlignment="1">
      <alignment vertical="center" wrapText="1"/>
    </xf>
    <xf numFmtId="4" fontId="13" fillId="0" borderId="0" xfId="3" applyNumberFormat="1" applyFont="1" applyFill="1" applyAlignment="1">
      <alignment horizontal="center" vertical="center" wrapText="1"/>
    </xf>
    <xf numFmtId="184" fontId="103" fillId="0" borderId="0" xfId="3" applyNumberFormat="1" applyFont="1" applyFill="1" applyBorder="1" applyAlignment="1">
      <alignment horizontal="center" vertical="center" wrapText="1"/>
    </xf>
    <xf numFmtId="186" fontId="55" fillId="0" borderId="15" xfId="3" applyNumberFormat="1" applyFont="1" applyFill="1" applyBorder="1" applyAlignment="1">
      <alignment vertical="center" wrapText="1"/>
    </xf>
    <xf numFmtId="43" fontId="45" fillId="0" borderId="0" xfId="1" applyFont="1" applyFill="1" applyBorder="1" applyAlignment="1">
      <alignment horizontal="center" vertical="center"/>
    </xf>
    <xf numFmtId="43" fontId="45" fillId="0" borderId="3" xfId="1" applyFont="1" applyFill="1" applyBorder="1" applyAlignment="1">
      <alignment horizontal="center" vertical="center"/>
    </xf>
    <xf numFmtId="172" fontId="95" fillId="0" borderId="0" xfId="18" applyNumberFormat="1" applyFont="1" applyBorder="1" applyAlignment="1">
      <alignment vertical="center"/>
    </xf>
    <xf numFmtId="172" fontId="95" fillId="0" borderId="0" xfId="18" applyNumberFormat="1" applyFont="1" applyBorder="1" applyAlignment="1">
      <alignment horizontal="right" vertical="center"/>
    </xf>
    <xf numFmtId="0" fontId="48" fillId="0" borderId="0" xfId="18" applyFont="1" applyBorder="1" applyAlignment="1">
      <alignment vertical="center"/>
    </xf>
    <xf numFmtId="49" fontId="12" fillId="0" borderId="0" xfId="3" applyNumberFormat="1" applyFont="1" applyFill="1" applyBorder="1" applyAlignment="1">
      <alignment vertical="center" wrapText="1"/>
    </xf>
    <xf numFmtId="165" fontId="55" fillId="0" borderId="10" xfId="3" applyNumberFormat="1" applyFont="1" applyFill="1" applyBorder="1" applyAlignment="1">
      <alignment horizontal="center" vertical="center" wrapText="1"/>
    </xf>
    <xf numFmtId="4" fontId="55" fillId="0" borderId="10" xfId="3" applyNumberFormat="1" applyFont="1" applyFill="1" applyBorder="1" applyAlignment="1">
      <alignment horizontal="center" vertical="center" wrapText="1"/>
    </xf>
    <xf numFmtId="4" fontId="55" fillId="0" borderId="55" xfId="3" applyNumberFormat="1" applyFont="1" applyFill="1" applyBorder="1" applyAlignment="1">
      <alignment horizontal="center" vertical="center" wrapText="1"/>
    </xf>
    <xf numFmtId="186" fontId="55" fillId="0" borderId="56" xfId="3" applyNumberFormat="1" applyFont="1" applyFill="1" applyBorder="1" applyAlignment="1">
      <alignment horizontal="center" vertical="center" wrapText="1"/>
    </xf>
    <xf numFmtId="181" fontId="49" fillId="0" borderId="12" xfId="3" applyNumberFormat="1" applyFont="1" applyFill="1" applyBorder="1" applyAlignment="1">
      <alignment horizontal="center" vertical="center" wrapText="1"/>
    </xf>
    <xf numFmtId="181" fontId="49" fillId="0" borderId="5" xfId="3" applyNumberFormat="1" applyFont="1" applyFill="1" applyBorder="1" applyAlignment="1">
      <alignment horizontal="center" vertical="center" wrapText="1"/>
    </xf>
    <xf numFmtId="181" fontId="49" fillId="0" borderId="0" xfId="3" applyNumberFormat="1" applyFont="1" applyFill="1" applyBorder="1" applyAlignment="1">
      <alignment horizontal="center" vertical="center" wrapText="1"/>
    </xf>
    <xf numFmtId="165" fontId="55" fillId="0" borderId="0" xfId="3" applyNumberFormat="1" applyFont="1" applyFill="1" applyBorder="1" applyAlignment="1">
      <alignment horizontal="center" vertical="center" wrapText="1"/>
    </xf>
    <xf numFmtId="0" fontId="46" fillId="0" borderId="0" xfId="17" applyFont="1" applyBorder="1" applyAlignment="1">
      <alignment horizontal="right"/>
    </xf>
    <xf numFmtId="0" fontId="46" fillId="0" borderId="0" xfId="17" applyFont="1" applyFill="1" applyBorder="1" applyAlignment="1">
      <alignment horizontal="right"/>
    </xf>
    <xf numFmtId="0" fontId="37" fillId="0" borderId="0" xfId="17" applyFont="1" applyFill="1" applyAlignment="1">
      <alignment horizontal="right" vertical="center" wrapText="1"/>
    </xf>
    <xf numFmtId="0" fontId="46" fillId="0" borderId="0" xfId="17" applyFont="1" applyAlignment="1">
      <alignment horizontal="right"/>
    </xf>
    <xf numFmtId="182" fontId="46" fillId="0" borderId="4" xfId="17" applyNumberFormat="1" applyFont="1" applyBorder="1"/>
    <xf numFmtId="195" fontId="46" fillId="0" borderId="4" xfId="17" applyNumberFormat="1" applyFont="1" applyBorder="1" applyAlignment="1">
      <alignment horizontal="right"/>
    </xf>
    <xf numFmtId="165" fontId="55" fillId="0" borderId="0" xfId="3" applyNumberFormat="1" applyFont="1" applyFill="1" applyBorder="1" applyAlignment="1">
      <alignment horizontal="center" vertical="center" wrapText="1"/>
    </xf>
    <xf numFmtId="196" fontId="48" fillId="0" borderId="0" xfId="3" applyNumberFormat="1" applyFont="1" applyAlignment="1">
      <alignment horizontal="center" vertical="center" wrapText="1"/>
    </xf>
    <xf numFmtId="4" fontId="55" fillId="0" borderId="0" xfId="3" applyNumberFormat="1" applyFont="1" applyFill="1" applyBorder="1" applyAlignment="1">
      <alignment vertical="center" wrapText="1"/>
    </xf>
    <xf numFmtId="4" fontId="105" fillId="0" borderId="0" xfId="3" applyNumberFormat="1" applyFont="1" applyFill="1" applyBorder="1" applyAlignment="1">
      <alignment horizontal="left" vertical="center" wrapText="1"/>
    </xf>
    <xf numFmtId="197" fontId="106" fillId="0" borderId="0" xfId="3" applyNumberFormat="1" applyFont="1" applyFill="1" applyBorder="1" applyAlignment="1">
      <alignment vertical="center" wrapText="1"/>
    </xf>
    <xf numFmtId="4" fontId="49" fillId="0" borderId="0" xfId="3" applyNumberFormat="1" applyFont="1" applyFill="1" applyAlignment="1">
      <alignment horizontal="center" vertical="center" wrapText="1"/>
    </xf>
    <xf numFmtId="165" fontId="55" fillId="0" borderId="10" xfId="3" applyNumberFormat="1" applyFont="1" applyFill="1" applyBorder="1" applyAlignment="1">
      <alignment vertical="center" wrapText="1"/>
    </xf>
    <xf numFmtId="165" fontId="55" fillId="0" borderId="0" xfId="3" applyNumberFormat="1" applyFont="1" applyFill="1" applyBorder="1" applyAlignment="1">
      <alignment vertical="center" wrapText="1"/>
    </xf>
    <xf numFmtId="0" fontId="61" fillId="0" borderId="0" xfId="3" applyFont="1" applyFill="1" applyAlignment="1">
      <alignment vertical="center" wrapText="1"/>
    </xf>
    <xf numFmtId="165" fontId="3" fillId="0" borderId="0" xfId="2" applyNumberFormat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 wrapText="1"/>
    </xf>
    <xf numFmtId="165" fontId="3" fillId="0" borderId="0" xfId="2" applyNumberFormat="1" applyFont="1" applyFill="1" applyBorder="1" applyAlignment="1">
      <alignment vertical="center" wrapText="1"/>
    </xf>
    <xf numFmtId="165" fontId="3" fillId="2" borderId="0" xfId="2" applyNumberFormat="1" applyFont="1" applyFill="1" applyBorder="1" applyAlignment="1">
      <alignment vertical="center" wrapText="1"/>
    </xf>
    <xf numFmtId="173" fontId="3" fillId="0" borderId="1" xfId="2" applyNumberFormat="1" applyFont="1" applyFill="1" applyBorder="1" applyAlignment="1">
      <alignment vertical="center" wrapText="1"/>
    </xf>
    <xf numFmtId="165" fontId="105" fillId="0" borderId="0" xfId="2" applyNumberFormat="1" applyFont="1" applyFill="1" applyBorder="1" applyAlignment="1">
      <alignment horizontal="center" vertical="center" wrapText="1"/>
    </xf>
    <xf numFmtId="181" fontId="105" fillId="0" borderId="0" xfId="3" applyNumberFormat="1" applyFont="1" applyFill="1" applyBorder="1" applyAlignment="1">
      <alignment horizontal="center" vertical="center" wrapText="1"/>
    </xf>
    <xf numFmtId="181" fontId="93" fillId="0" borderId="25" xfId="3" applyNumberFormat="1" applyFont="1" applyFill="1" applyBorder="1" applyAlignment="1">
      <alignment horizontal="center" vertical="center" wrapText="1"/>
    </xf>
    <xf numFmtId="4" fontId="93" fillId="0" borderId="0" xfId="3" applyNumberFormat="1" applyFont="1" applyFill="1" applyAlignment="1">
      <alignment horizontal="center" vertical="center" wrapText="1"/>
    </xf>
    <xf numFmtId="165" fontId="109" fillId="3" borderId="4" xfId="3" applyNumberFormat="1" applyFont="1" applyFill="1" applyBorder="1" applyAlignment="1">
      <alignment horizontal="center" vertical="center" wrapText="1"/>
    </xf>
    <xf numFmtId="165" fontId="49" fillId="3" borderId="11" xfId="3" applyNumberFormat="1" applyFont="1" applyFill="1" applyBorder="1" applyAlignment="1">
      <alignment horizontal="center" vertical="center" wrapText="1"/>
    </xf>
    <xf numFmtId="165" fontId="49" fillId="3" borderId="4" xfId="3" applyNumberFormat="1" applyFont="1" applyFill="1" applyBorder="1" applyAlignment="1">
      <alignment horizontal="center" vertical="center" wrapText="1"/>
    </xf>
    <xf numFmtId="181" fontId="109" fillId="3" borderId="11" xfId="3" applyNumberFormat="1" applyFont="1" applyFill="1" applyBorder="1" applyAlignment="1">
      <alignment horizontal="center" vertical="center" wrapText="1"/>
    </xf>
    <xf numFmtId="181" fontId="49" fillId="3" borderId="11" xfId="3" applyNumberFormat="1" applyFont="1" applyFill="1" applyBorder="1" applyAlignment="1">
      <alignment horizontal="center" vertical="center" wrapText="1"/>
    </xf>
    <xf numFmtId="181" fontId="49" fillId="3" borderId="4" xfId="3" applyNumberFormat="1" applyFont="1" applyFill="1" applyBorder="1" applyAlignment="1">
      <alignment horizontal="center" vertical="center" wrapText="1"/>
    </xf>
    <xf numFmtId="165" fontId="49" fillId="6" borderId="11" xfId="3" applyNumberFormat="1" applyFont="1" applyFill="1" applyBorder="1" applyAlignment="1">
      <alignment horizontal="center" vertical="center" wrapText="1"/>
    </xf>
    <xf numFmtId="165" fontId="49" fillId="6" borderId="4" xfId="3" applyNumberFormat="1" applyFont="1" applyFill="1" applyBorder="1" applyAlignment="1">
      <alignment horizontal="center" vertical="center" wrapText="1"/>
    </xf>
    <xf numFmtId="165" fontId="49" fillId="6" borderId="4" xfId="3" applyNumberFormat="1" applyFont="1" applyFill="1" applyBorder="1" applyAlignment="1">
      <alignment vertical="center" wrapText="1"/>
    </xf>
    <xf numFmtId="165" fontId="49" fillId="6" borderId="11" xfId="2" applyNumberFormat="1" applyFont="1" applyFill="1" applyBorder="1" applyAlignment="1">
      <alignment horizontal="center" vertical="center" wrapText="1"/>
    </xf>
    <xf numFmtId="165" fontId="49" fillId="6" borderId="4" xfId="2" applyNumberFormat="1" applyFont="1" applyFill="1" applyBorder="1" applyAlignment="1">
      <alignment horizontal="center" vertical="center" wrapText="1"/>
    </xf>
    <xf numFmtId="181" fontId="49" fillId="6" borderId="11" xfId="2" applyNumberFormat="1" applyFont="1" applyFill="1" applyBorder="1" applyAlignment="1">
      <alignment horizontal="center" vertical="center" wrapText="1"/>
    </xf>
    <xf numFmtId="181" fontId="49" fillId="6" borderId="4" xfId="2" applyNumberFormat="1" applyFont="1" applyFill="1" applyBorder="1" applyAlignment="1">
      <alignment horizontal="center" vertical="center" wrapText="1"/>
    </xf>
    <xf numFmtId="184" fontId="103" fillId="6" borderId="11" xfId="3" applyNumberFormat="1" applyFont="1" applyFill="1" applyBorder="1" applyAlignment="1">
      <alignment horizontal="center" vertical="center" wrapText="1"/>
    </xf>
    <xf numFmtId="184" fontId="103" fillId="6" borderId="4" xfId="3" applyNumberFormat="1" applyFont="1" applyFill="1" applyBorder="1" applyAlignment="1">
      <alignment horizontal="center" vertical="center" wrapText="1"/>
    </xf>
    <xf numFmtId="4" fontId="105" fillId="3" borderId="57" xfId="3" applyNumberFormat="1" applyFont="1" applyFill="1" applyBorder="1" applyAlignment="1">
      <alignment horizontal="center" vertical="center" wrapText="1"/>
    </xf>
    <xf numFmtId="167" fontId="49" fillId="3" borderId="11" xfId="3" applyNumberFormat="1" applyFont="1" applyFill="1" applyBorder="1" applyAlignment="1">
      <alignment horizontal="center" vertical="center" wrapText="1"/>
    </xf>
    <xf numFmtId="167" fontId="49" fillId="3" borderId="4" xfId="3" applyNumberFormat="1" applyFont="1" applyFill="1" applyBorder="1" applyAlignment="1">
      <alignment horizontal="center" vertical="center" wrapText="1"/>
    </xf>
    <xf numFmtId="184" fontId="103" fillId="0" borderId="13" xfId="3" applyNumberFormat="1" applyFont="1" applyFill="1" applyBorder="1" applyAlignment="1">
      <alignment horizontal="center" vertical="center" wrapText="1"/>
    </xf>
    <xf numFmtId="182" fontId="46" fillId="0" borderId="11" xfId="17" applyNumberFormat="1" applyFont="1" applyBorder="1"/>
    <xf numFmtId="195" fontId="46" fillId="0" borderId="11" xfId="17" applyNumberFormat="1" applyFont="1" applyBorder="1" applyAlignment="1">
      <alignment horizontal="right"/>
    </xf>
    <xf numFmtId="198" fontId="46" fillId="0" borderId="4" xfId="17" applyNumberFormat="1" applyFont="1" applyBorder="1" applyAlignment="1">
      <alignment horizontal="center" vertical="center"/>
    </xf>
    <xf numFmtId="181" fontId="116" fillId="6" borderId="60" xfId="3" applyNumberFormat="1" applyFont="1" applyFill="1" applyBorder="1" applyAlignment="1">
      <alignment horizontal="center" vertical="center" wrapText="1"/>
    </xf>
    <xf numFmtId="165" fontId="116" fillId="6" borderId="11" xfId="3" applyNumberFormat="1" applyFont="1" applyFill="1" applyBorder="1" applyAlignment="1">
      <alignment horizontal="center" vertical="center" wrapText="1"/>
    </xf>
    <xf numFmtId="181" fontId="116" fillId="3" borderId="11" xfId="3" applyNumberFormat="1" applyFont="1" applyFill="1" applyBorder="1" applyAlignment="1">
      <alignment horizontal="center" vertical="center" wrapText="1"/>
    </xf>
    <xf numFmtId="181" fontId="116" fillId="6" borderId="24" xfId="3" applyNumberFormat="1" applyFont="1" applyFill="1" applyBorder="1" applyAlignment="1">
      <alignment horizontal="center" vertical="center" wrapText="1"/>
    </xf>
    <xf numFmtId="181" fontId="116" fillId="6" borderId="4" xfId="3" applyNumberFormat="1" applyFont="1" applyFill="1" applyBorder="1" applyAlignment="1">
      <alignment horizontal="center" vertical="center" wrapText="1"/>
    </xf>
    <xf numFmtId="165" fontId="116" fillId="3" borderId="4" xfId="3" applyNumberFormat="1" applyFont="1" applyFill="1" applyBorder="1" applyAlignment="1">
      <alignment horizontal="center" vertical="center" wrapText="1"/>
    </xf>
    <xf numFmtId="0" fontId="43" fillId="0" borderId="0" xfId="3" applyFont="1" applyFill="1" applyBorder="1" applyAlignment="1">
      <alignment horizontal="center" vertical="center" wrapText="1"/>
    </xf>
    <xf numFmtId="0" fontId="43" fillId="0" borderId="1" xfId="3" applyFont="1" applyFill="1" applyBorder="1" applyAlignment="1">
      <alignment horizontal="center" vertical="center" wrapText="1"/>
    </xf>
    <xf numFmtId="165" fontId="116" fillId="3" borderId="4" xfId="3" applyNumberFormat="1" applyFont="1" applyFill="1" applyBorder="1" applyAlignment="1">
      <alignment horizontal="center" vertical="center" wrapText="1"/>
    </xf>
    <xf numFmtId="4" fontId="105" fillId="6" borderId="18" xfId="3" applyNumberFormat="1" applyFont="1" applyFill="1" applyBorder="1" applyAlignment="1">
      <alignment horizontal="center" vertical="center" wrapText="1"/>
    </xf>
    <xf numFmtId="4" fontId="105" fillId="6" borderId="19" xfId="3" applyNumberFormat="1" applyFont="1" applyFill="1" applyBorder="1" applyAlignment="1">
      <alignment horizontal="center" vertical="center" wrapText="1"/>
    </xf>
    <xf numFmtId="165" fontId="49" fillId="6" borderId="4" xfId="3" applyNumberFormat="1" applyFont="1" applyFill="1" applyBorder="1" applyAlignment="1">
      <alignment horizontal="center" vertical="center" wrapText="1"/>
    </xf>
    <xf numFmtId="181" fontId="49" fillId="3" borderId="11" xfId="3" applyNumberFormat="1" applyFont="1" applyFill="1" applyBorder="1" applyAlignment="1">
      <alignment horizontal="center" vertical="center" wrapText="1"/>
    </xf>
    <xf numFmtId="165" fontId="49" fillId="6" borderId="11" xfId="3" applyNumberFormat="1" applyFont="1" applyFill="1" applyBorder="1" applyAlignment="1">
      <alignment horizontal="center" vertical="center" wrapText="1"/>
    </xf>
    <xf numFmtId="165" fontId="49" fillId="3" borderId="11" xfId="3" applyNumberFormat="1" applyFont="1" applyFill="1" applyBorder="1" applyAlignment="1">
      <alignment horizontal="center" vertical="center" wrapText="1"/>
    </xf>
    <xf numFmtId="165" fontId="49" fillId="3" borderId="4" xfId="3" applyNumberFormat="1" applyFont="1" applyFill="1" applyBorder="1" applyAlignment="1">
      <alignment horizontal="center" vertical="center" wrapText="1"/>
    </xf>
    <xf numFmtId="181" fontId="109" fillId="3" borderId="11" xfId="3" applyNumberFormat="1" applyFont="1" applyFill="1" applyBorder="1" applyAlignment="1">
      <alignment horizontal="center" vertical="center" wrapText="1"/>
    </xf>
    <xf numFmtId="0" fontId="45" fillId="0" borderId="31" xfId="18" applyFont="1" applyBorder="1" applyAlignment="1">
      <alignment horizontal="center" vertical="center" wrapText="1"/>
    </xf>
    <xf numFmtId="1" fontId="50" fillId="0" borderId="0" xfId="17" applyNumberFormat="1" applyFont="1" applyFill="1" applyBorder="1" applyAlignment="1">
      <alignment horizontal="left" vertical="center" wrapText="1"/>
    </xf>
    <xf numFmtId="1" fontId="48" fillId="0" borderId="0" xfId="17" applyNumberFormat="1" applyFont="1" applyFill="1" applyBorder="1"/>
    <xf numFmtId="1" fontId="48" fillId="0" borderId="0" xfId="17" applyNumberFormat="1" applyFont="1" applyFill="1" applyBorder="1" applyAlignment="1">
      <alignment vertical="center" wrapText="1"/>
    </xf>
    <xf numFmtId="1" fontId="48" fillId="0" borderId="0" xfId="17" applyNumberFormat="1" applyFont="1" applyFill="1" applyBorder="1" applyAlignment="1">
      <alignment vertical="center" textRotation="91"/>
    </xf>
    <xf numFmtId="1" fontId="48" fillId="0" borderId="0" xfId="17" applyNumberFormat="1" applyFont="1" applyFill="1"/>
    <xf numFmtId="43" fontId="11" fillId="0" borderId="0" xfId="1" applyFont="1" applyFill="1" applyBorder="1" applyAlignment="1">
      <alignment vertical="center"/>
    </xf>
    <xf numFmtId="170" fontId="11" fillId="0" borderId="0" xfId="3" applyNumberFormat="1" applyFont="1" applyFill="1" applyBorder="1" applyAlignment="1">
      <alignment vertical="center"/>
    </xf>
    <xf numFmtId="2" fontId="11" fillId="0" borderId="0" xfId="3" applyNumberFormat="1" applyFont="1" applyFill="1" applyBorder="1" applyAlignment="1">
      <alignment horizontal="center" vertical="center"/>
    </xf>
    <xf numFmtId="2" fontId="11" fillId="0" borderId="0" xfId="1" applyNumberFormat="1" applyFont="1" applyFill="1" applyBorder="1" applyAlignment="1">
      <alignment horizontal="center" vertical="center"/>
    </xf>
    <xf numFmtId="43" fontId="45" fillId="0" borderId="1" xfId="1" applyFont="1" applyFill="1" applyBorder="1" applyAlignment="1">
      <alignment horizontal="center" vertical="center"/>
    </xf>
    <xf numFmtId="3" fontId="45" fillId="0" borderId="40" xfId="18" applyNumberFormat="1" applyFont="1" applyBorder="1" applyAlignment="1">
      <alignment horizontal="center" vertical="center" wrapText="1"/>
    </xf>
    <xf numFmtId="0" fontId="45" fillId="0" borderId="40" xfId="18" applyNumberFormat="1" applyFont="1" applyBorder="1" applyAlignment="1">
      <alignment horizontal="center" vertical="center"/>
    </xf>
    <xf numFmtId="43" fontId="13" fillId="0" borderId="40" xfId="1" applyFont="1" applyFill="1" applyBorder="1" applyAlignment="1">
      <alignment horizontal="center" vertical="center"/>
    </xf>
    <xf numFmtId="184" fontId="49" fillId="0" borderId="0" xfId="3" applyNumberFormat="1" applyFont="1" applyFill="1" applyAlignment="1">
      <alignment horizontal="left" vertical="center" wrapText="1"/>
    </xf>
    <xf numFmtId="196" fontId="48" fillId="0" borderId="0" xfId="3" applyNumberFormat="1" applyFont="1" applyFill="1" applyAlignment="1">
      <alignment horizontal="center" vertical="center" wrapText="1"/>
    </xf>
    <xf numFmtId="4" fontId="105" fillId="0" borderId="18" xfId="3" applyNumberFormat="1" applyFont="1" applyFill="1" applyBorder="1" applyAlignment="1">
      <alignment horizontal="center" vertical="center" wrapText="1"/>
    </xf>
    <xf numFmtId="4" fontId="105" fillId="0" borderId="57" xfId="3" applyNumberFormat="1" applyFont="1" applyFill="1" applyBorder="1" applyAlignment="1">
      <alignment horizontal="center" vertical="center" wrapText="1"/>
    </xf>
    <xf numFmtId="4" fontId="105" fillId="0" borderId="19" xfId="3" applyNumberFormat="1" applyFont="1" applyFill="1" applyBorder="1" applyAlignment="1">
      <alignment horizontal="center" vertical="center" wrapText="1"/>
    </xf>
    <xf numFmtId="184" fontId="103" fillId="0" borderId="11" xfId="3" applyNumberFormat="1" applyFont="1" applyFill="1" applyBorder="1" applyAlignment="1">
      <alignment horizontal="center" vertical="center" wrapText="1"/>
    </xf>
    <xf numFmtId="167" fontId="49" fillId="0" borderId="11" xfId="3" applyNumberFormat="1" applyFont="1" applyFill="1" applyBorder="1" applyAlignment="1">
      <alignment horizontal="center" vertical="center" wrapText="1"/>
    </xf>
    <xf numFmtId="181" fontId="49" fillId="0" borderId="11" xfId="2" applyNumberFormat="1" applyFont="1" applyFill="1" applyBorder="1" applyAlignment="1">
      <alignment horizontal="center" vertical="center" wrapText="1"/>
    </xf>
    <xf numFmtId="165" fontId="49" fillId="0" borderId="11" xfId="3" applyNumberFormat="1" applyFont="1" applyFill="1" applyBorder="1" applyAlignment="1">
      <alignment horizontal="center" vertical="center" wrapText="1"/>
    </xf>
    <xf numFmtId="165" fontId="49" fillId="0" borderId="11" xfId="2" applyNumberFormat="1" applyFont="1" applyFill="1" applyBorder="1" applyAlignment="1">
      <alignment horizontal="center" vertical="center" wrapText="1"/>
    </xf>
    <xf numFmtId="181" fontId="109" fillId="0" borderId="11" xfId="3" applyNumberFormat="1" applyFont="1" applyFill="1" applyBorder="1" applyAlignment="1">
      <alignment horizontal="center" vertical="center" wrapText="1"/>
    </xf>
    <xf numFmtId="181" fontId="49" fillId="0" borderId="11" xfId="3" applyNumberFormat="1" applyFont="1" applyFill="1" applyBorder="1" applyAlignment="1">
      <alignment horizontal="center" vertical="center" wrapText="1"/>
    </xf>
    <xf numFmtId="181" fontId="116" fillId="0" borderId="60" xfId="3" applyNumberFormat="1" applyFont="1" applyFill="1" applyBorder="1" applyAlignment="1">
      <alignment horizontal="center" vertical="center" wrapText="1"/>
    </xf>
    <xf numFmtId="165" fontId="116" fillId="0" borderId="11" xfId="3" applyNumberFormat="1" applyFont="1" applyFill="1" applyBorder="1" applyAlignment="1">
      <alignment horizontal="center" vertical="center" wrapText="1"/>
    </xf>
    <xf numFmtId="181" fontId="116" fillId="0" borderId="11" xfId="3" applyNumberFormat="1" applyFont="1" applyFill="1" applyBorder="1" applyAlignment="1">
      <alignment horizontal="center" vertical="center" wrapText="1"/>
    </xf>
    <xf numFmtId="184" fontId="103" fillId="0" borderId="4" xfId="3" applyNumberFormat="1" applyFont="1" applyFill="1" applyBorder="1" applyAlignment="1">
      <alignment horizontal="center" vertical="center" wrapText="1"/>
    </xf>
    <xf numFmtId="167" fontId="49" fillId="0" borderId="4" xfId="3" applyNumberFormat="1" applyFont="1" applyFill="1" applyBorder="1" applyAlignment="1">
      <alignment horizontal="center" vertical="center" wrapText="1"/>
    </xf>
    <xf numFmtId="181" fontId="49" fillId="0" borderId="4" xfId="2" applyNumberFormat="1" applyFont="1" applyFill="1" applyBorder="1" applyAlignment="1">
      <alignment horizontal="center" vertical="center" wrapText="1"/>
    </xf>
    <xf numFmtId="165" fontId="49" fillId="0" borderId="4" xfId="2" applyNumberFormat="1" applyFont="1" applyFill="1" applyBorder="1" applyAlignment="1">
      <alignment horizontal="center" vertical="center" wrapText="1"/>
    </xf>
    <xf numFmtId="181" fontId="116" fillId="0" borderId="24" xfId="3" applyNumberFormat="1" applyFont="1" applyFill="1" applyBorder="1" applyAlignment="1">
      <alignment horizontal="center" vertical="center" wrapText="1"/>
    </xf>
    <xf numFmtId="167" fontId="51" fillId="0" borderId="0" xfId="3" applyNumberFormat="1" applyFont="1" applyFill="1" applyAlignment="1">
      <alignment horizontal="center" vertical="center" wrapText="1"/>
    </xf>
    <xf numFmtId="165" fontId="49" fillId="0" borderId="4" xfId="3" applyNumberFormat="1" applyFont="1" applyFill="1" applyBorder="1" applyAlignment="1">
      <alignment horizontal="center" vertical="center" wrapText="1"/>
    </xf>
    <xf numFmtId="165" fontId="109" fillId="0" borderId="4" xfId="3" applyNumberFormat="1" applyFont="1" applyFill="1" applyBorder="1" applyAlignment="1">
      <alignment horizontal="center" vertical="center" wrapText="1"/>
    </xf>
    <xf numFmtId="165" fontId="49" fillId="0" borderId="4" xfId="3" applyNumberFormat="1" applyFont="1" applyFill="1" applyBorder="1" applyAlignment="1">
      <alignment vertical="center" wrapText="1"/>
    </xf>
    <xf numFmtId="181" fontId="49" fillId="0" borderId="4" xfId="3" applyNumberFormat="1" applyFont="1" applyFill="1" applyBorder="1" applyAlignment="1">
      <alignment horizontal="center" vertical="center" wrapText="1"/>
    </xf>
    <xf numFmtId="181" fontId="116" fillId="0" borderId="4" xfId="3" applyNumberFormat="1" applyFont="1" applyFill="1" applyBorder="1" applyAlignment="1">
      <alignment horizontal="center" vertical="center" wrapText="1"/>
    </xf>
    <xf numFmtId="165" fontId="116" fillId="0" borderId="4" xfId="3" applyNumberFormat="1" applyFont="1" applyFill="1" applyBorder="1" applyAlignment="1">
      <alignment horizontal="center" vertical="center" wrapText="1"/>
    </xf>
    <xf numFmtId="164" fontId="55" fillId="0" borderId="13" xfId="3" applyNumberFormat="1" applyFont="1" applyFill="1" applyBorder="1" applyAlignment="1">
      <alignment vertical="center" wrapText="1"/>
    </xf>
    <xf numFmtId="164" fontId="55" fillId="0" borderId="0" xfId="3" applyNumberFormat="1" applyFont="1" applyFill="1" applyAlignment="1">
      <alignment horizontal="center" vertical="center" wrapText="1"/>
    </xf>
    <xf numFmtId="181" fontId="49" fillId="0" borderId="0" xfId="3" applyNumberFormat="1" applyFont="1" applyBorder="1" applyAlignment="1">
      <alignment horizontal="center" vertical="center" wrapText="1"/>
    </xf>
    <xf numFmtId="0" fontId="9" fillId="0" borderId="0" xfId="17" applyFont="1" applyBorder="1" applyAlignment="1">
      <alignment vertical="center"/>
    </xf>
    <xf numFmtId="198" fontId="46" fillId="0" borderId="0" xfId="17" applyNumberFormat="1" applyFont="1" applyBorder="1" applyAlignment="1">
      <alignment horizontal="center" vertical="center"/>
    </xf>
    <xf numFmtId="165" fontId="52" fillId="0" borderId="0" xfId="2" applyNumberFormat="1" applyFont="1" applyFill="1" applyBorder="1" applyAlignment="1">
      <alignment horizontal="center" vertical="center" wrapText="1"/>
    </xf>
    <xf numFmtId="4" fontId="55" fillId="0" borderId="0" xfId="3" applyNumberFormat="1" applyFont="1" applyFill="1" applyBorder="1" applyAlignment="1">
      <alignment horizontal="center" vertical="center" wrapText="1"/>
    </xf>
    <xf numFmtId="181" fontId="55" fillId="0" borderId="0" xfId="3" applyNumberFormat="1" applyFont="1" applyFill="1" applyBorder="1" applyAlignment="1">
      <alignment vertical="center" wrapText="1"/>
    </xf>
    <xf numFmtId="181" fontId="102" fillId="0" borderId="0" xfId="3" applyNumberFormat="1" applyFont="1" applyFill="1" applyBorder="1" applyAlignment="1">
      <alignment horizontal="center" vertical="center" wrapText="1"/>
    </xf>
    <xf numFmtId="4" fontId="49" fillId="0" borderId="0" xfId="3" applyNumberFormat="1" applyFont="1" applyBorder="1" applyAlignment="1">
      <alignment horizontal="center" vertical="center" wrapText="1"/>
    </xf>
    <xf numFmtId="4" fontId="13" fillId="0" borderId="0" xfId="3" applyNumberFormat="1" applyFont="1" applyFill="1" applyBorder="1" applyAlignment="1">
      <alignment horizontal="center" vertical="center" wrapText="1"/>
    </xf>
    <xf numFmtId="0" fontId="8" fillId="0" borderId="0" xfId="17" applyFont="1" applyFill="1" applyBorder="1" applyAlignment="1">
      <alignment horizontal="center" vertical="center" wrapText="1"/>
    </xf>
    <xf numFmtId="195" fontId="46" fillId="0" borderId="0" xfId="17" applyNumberFormat="1" applyFont="1" applyBorder="1" applyAlignment="1">
      <alignment horizontal="center" vertical="center"/>
    </xf>
    <xf numFmtId="4" fontId="12" fillId="0" borderId="0" xfId="3" applyNumberFormat="1" applyFont="1" applyFill="1" applyBorder="1" applyAlignment="1">
      <alignment vertical="center" wrapText="1"/>
    </xf>
    <xf numFmtId="199" fontId="95" fillId="0" borderId="0" xfId="3" applyNumberFormat="1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left" vertical="center" wrapText="1"/>
    </xf>
    <xf numFmtId="4" fontId="105" fillId="0" borderId="0" xfId="3" applyNumberFormat="1" applyFont="1" applyFill="1" applyBorder="1" applyAlignment="1">
      <alignment horizontal="right" vertical="center" wrapText="1"/>
    </xf>
    <xf numFmtId="0" fontId="12" fillId="0" borderId="0" xfId="3" applyFont="1" applyFill="1" applyBorder="1" applyAlignment="1">
      <alignment horizontal="center" vertical="center" wrapText="1"/>
    </xf>
    <xf numFmtId="181" fontId="55" fillId="0" borderId="0" xfId="3" applyNumberFormat="1" applyFont="1" applyFill="1" applyBorder="1" applyAlignment="1">
      <alignment horizontal="center" vertical="center" wrapText="1"/>
    </xf>
    <xf numFmtId="165" fontId="55" fillId="0" borderId="0" xfId="3" applyNumberFormat="1" applyFont="1" applyFill="1" applyBorder="1" applyAlignment="1">
      <alignment horizontal="center" vertical="center" wrapText="1"/>
    </xf>
    <xf numFmtId="185" fontId="55" fillId="0" borderId="0" xfId="3" applyNumberFormat="1" applyFont="1" applyFill="1" applyBorder="1" applyAlignment="1">
      <alignment horizontal="center" vertical="center" wrapText="1"/>
    </xf>
    <xf numFmtId="3" fontId="13" fillId="0" borderId="7" xfId="17" applyNumberFormat="1" applyFont="1" applyBorder="1" applyAlignment="1">
      <alignment horizontal="center" vertical="center"/>
    </xf>
    <xf numFmtId="0" fontId="13" fillId="0" borderId="6" xfId="17" applyFont="1" applyBorder="1" applyAlignment="1">
      <alignment horizontal="center" vertical="center"/>
    </xf>
    <xf numFmtId="0" fontId="58" fillId="0" borderId="0" xfId="17" applyFont="1" applyFill="1" applyBorder="1" applyAlignment="1">
      <alignment horizontal="right" vertical="center"/>
    </xf>
    <xf numFmtId="0" fontId="12" fillId="0" borderId="63" xfId="17" applyFont="1" applyFill="1" applyBorder="1" applyAlignment="1">
      <alignment vertical="center" wrapText="1"/>
    </xf>
    <xf numFmtId="0" fontId="12" fillId="0" borderId="0" xfId="17" applyFont="1" applyFill="1" applyBorder="1" applyAlignment="1">
      <alignment vertical="center" wrapText="1"/>
    </xf>
    <xf numFmtId="167" fontId="51" fillId="0" borderId="0" xfId="3" applyNumberFormat="1" applyFont="1" applyFill="1" applyBorder="1" applyAlignment="1">
      <alignment horizontal="center" vertical="center" wrapText="1"/>
    </xf>
    <xf numFmtId="0" fontId="34" fillId="0" borderId="0" xfId="3" applyFont="1" applyFill="1" applyAlignment="1"/>
    <xf numFmtId="200" fontId="34" fillId="0" borderId="0" xfId="3" applyNumberFormat="1" applyFont="1" applyFill="1" applyAlignment="1"/>
    <xf numFmtId="166" fontId="3" fillId="0" borderId="1" xfId="2" applyNumberFormat="1" applyFont="1" applyFill="1" applyBorder="1" applyAlignment="1">
      <alignment horizontal="right" vertical="center"/>
    </xf>
    <xf numFmtId="0" fontId="13" fillId="0" borderId="0" xfId="18" applyFont="1" applyBorder="1" applyAlignment="1">
      <alignment vertical="center"/>
    </xf>
    <xf numFmtId="1" fontId="48" fillId="0" borderId="0" xfId="17" applyNumberFormat="1" applyFont="1" applyFill="1" applyBorder="1" applyAlignment="1">
      <alignment horizontal="left" vertical="center" wrapText="1"/>
    </xf>
    <xf numFmtId="1" fontId="48" fillId="0" borderId="0" xfId="17" applyNumberFormat="1" applyFont="1" applyFill="1" applyAlignment="1">
      <alignment horizontal="left" vertical="center" wrapText="1"/>
    </xf>
    <xf numFmtId="184" fontId="49" fillId="0" borderId="0" xfId="3" applyNumberFormat="1" applyFont="1" applyFill="1" applyBorder="1" applyAlignment="1">
      <alignment horizontal="left" vertical="center" wrapText="1"/>
    </xf>
    <xf numFmtId="4" fontId="49" fillId="0" borderId="0" xfId="3" applyNumberFormat="1" applyFont="1" applyFill="1" applyBorder="1" applyAlignment="1">
      <alignment vertical="center" wrapText="1"/>
    </xf>
    <xf numFmtId="199" fontId="95" fillId="0" borderId="0" xfId="3" applyNumberFormat="1" applyFont="1" applyFill="1" applyBorder="1" applyAlignment="1">
      <alignment vertical="center" wrapText="1"/>
    </xf>
    <xf numFmtId="0" fontId="9" fillId="0" borderId="4" xfId="17" applyFont="1" applyBorder="1" applyAlignment="1">
      <alignment horizontal="center" vertical="center"/>
    </xf>
    <xf numFmtId="0" fontId="8" fillId="0" borderId="4" xfId="17" applyFont="1" applyFill="1" applyBorder="1" applyAlignment="1">
      <alignment horizontal="center" vertical="center" wrapText="1"/>
    </xf>
    <xf numFmtId="4" fontId="105" fillId="6" borderId="18" xfId="3" applyNumberFormat="1" applyFont="1" applyFill="1" applyBorder="1" applyAlignment="1">
      <alignment horizontal="center" vertical="center" wrapText="1"/>
    </xf>
    <xf numFmtId="4" fontId="105" fillId="6" borderId="19" xfId="3" applyNumberFormat="1" applyFont="1" applyFill="1" applyBorder="1" applyAlignment="1">
      <alignment horizontal="center" vertical="center" wrapText="1"/>
    </xf>
    <xf numFmtId="199" fontId="45" fillId="0" borderId="0" xfId="3" applyNumberFormat="1" applyFont="1" applyBorder="1" applyAlignment="1">
      <alignment horizontal="center" vertical="center" wrapText="1"/>
    </xf>
    <xf numFmtId="0" fontId="9" fillId="0" borderId="0" xfId="17" applyFont="1" applyBorder="1" applyAlignment="1">
      <alignment horizontal="center" vertical="center"/>
    </xf>
    <xf numFmtId="198" fontId="46" fillId="0" borderId="0" xfId="17" applyNumberFormat="1" applyFont="1" applyFill="1" applyBorder="1" applyAlignment="1">
      <alignment horizontal="center" vertical="center"/>
    </xf>
    <xf numFmtId="4" fontId="55" fillId="2" borderId="0" xfId="3" applyNumberFormat="1" applyFont="1" applyFill="1" applyBorder="1" applyAlignment="1">
      <alignment horizontal="center" vertical="center" wrapText="1"/>
    </xf>
    <xf numFmtId="4" fontId="49" fillId="2" borderId="0" xfId="3" applyNumberFormat="1" applyFont="1" applyFill="1" applyBorder="1" applyAlignment="1">
      <alignment horizontal="center" vertical="center" wrapText="1"/>
    </xf>
    <xf numFmtId="167" fontId="51" fillId="2" borderId="0" xfId="3" applyNumberFormat="1" applyFont="1" applyFill="1" applyBorder="1" applyAlignment="1">
      <alignment horizontal="center" vertical="center" wrapText="1"/>
    </xf>
    <xf numFmtId="0" fontId="8" fillId="7" borderId="0" xfId="17" applyFont="1" applyFill="1" applyBorder="1" applyAlignment="1">
      <alignment horizontal="center" vertical="center" wrapText="1"/>
    </xf>
    <xf numFmtId="198" fontId="46" fillId="7" borderId="0" xfId="17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24" fillId="0" borderId="0" xfId="4" applyFont="1" applyBorder="1" applyAlignment="1">
      <alignment horizontal="right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119" fillId="0" borderId="0" xfId="4" applyFont="1" applyAlignment="1">
      <alignment vertical="center"/>
    </xf>
    <xf numFmtId="0" fontId="120" fillId="0" borderId="0" xfId="4" applyFont="1" applyBorder="1" applyAlignment="1">
      <alignment vertical="center"/>
    </xf>
    <xf numFmtId="0" fontId="41" fillId="0" borderId="0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22" fillId="0" borderId="0" xfId="4" applyFont="1" applyFill="1" applyBorder="1" applyAlignment="1">
      <alignment vertical="center"/>
    </xf>
    <xf numFmtId="0" fontId="22" fillId="0" borderId="0" xfId="4" applyFont="1" applyFill="1" applyAlignment="1">
      <alignment vertical="center"/>
    </xf>
    <xf numFmtId="0" fontId="121" fillId="0" borderId="0" xfId="4" applyFont="1" applyFill="1" applyBorder="1" applyAlignment="1">
      <alignment horizontal="right" vertical="center"/>
    </xf>
    <xf numFmtId="0" fontId="22" fillId="0" borderId="0" xfId="4" applyFont="1" applyAlignment="1">
      <alignment vertical="center"/>
    </xf>
    <xf numFmtId="0" fontId="24" fillId="0" borderId="0" xfId="4" applyFont="1" applyBorder="1" applyAlignment="1">
      <alignment vertical="center"/>
    </xf>
    <xf numFmtId="0" fontId="22" fillId="0" borderId="0" xfId="4" applyFont="1" applyBorder="1" applyAlignment="1">
      <alignment horizontal="right" vertical="center"/>
    </xf>
    <xf numFmtId="0" fontId="22" fillId="0" borderId="0" xfId="4" applyFont="1" applyBorder="1" applyAlignment="1">
      <alignment horizontal="center" vertical="center"/>
    </xf>
    <xf numFmtId="174" fontId="22" fillId="0" borderId="0" xfId="4" applyNumberFormat="1" applyFont="1" applyBorder="1" applyAlignment="1">
      <alignment horizontal="center" vertical="center"/>
    </xf>
    <xf numFmtId="0" fontId="22" fillId="0" borderId="0" xfId="4" applyFont="1" applyFill="1" applyBorder="1" applyAlignment="1">
      <alignment horizontal="right" vertical="center"/>
    </xf>
    <xf numFmtId="164" fontId="22" fillId="0" borderId="0" xfId="4" applyNumberFormat="1" applyFont="1" applyBorder="1" applyAlignment="1">
      <alignment vertical="center"/>
    </xf>
    <xf numFmtId="0" fontId="22" fillId="0" borderId="0" xfId="4" quotePrefix="1" applyFont="1" applyBorder="1" applyAlignment="1">
      <alignment vertical="center"/>
    </xf>
    <xf numFmtId="175" fontId="22" fillId="0" borderId="0" xfId="3" applyNumberFormat="1" applyFont="1" applyBorder="1" applyAlignment="1">
      <alignment horizontal="center" vertical="center" wrapText="1"/>
    </xf>
    <xf numFmtId="164" fontId="22" fillId="0" borderId="0" xfId="3" applyNumberFormat="1" applyFont="1" applyBorder="1" applyAlignment="1">
      <alignment horizontal="center" vertical="center" wrapText="1"/>
    </xf>
    <xf numFmtId="164" fontId="22" fillId="0" borderId="0" xfId="3" applyNumberFormat="1" applyFont="1" applyBorder="1" applyAlignment="1">
      <alignment horizontal="left" vertical="center" wrapText="1"/>
    </xf>
    <xf numFmtId="0" fontId="24" fillId="0" borderId="0" xfId="3" applyFont="1" applyBorder="1" applyAlignment="1">
      <alignment horizontal="left" vertical="center" wrapText="1"/>
    </xf>
    <xf numFmtId="0" fontId="22" fillId="0" borderId="0" xfId="3" applyFont="1" applyBorder="1" applyAlignment="1">
      <alignment horizontal="center" vertical="center" wrapText="1"/>
    </xf>
    <xf numFmtId="164" fontId="22" fillId="0" borderId="0" xfId="3" applyNumberFormat="1" applyFont="1" applyBorder="1" applyAlignment="1">
      <alignment horizontal="right" vertical="center" wrapText="1"/>
    </xf>
    <xf numFmtId="0" fontId="22" fillId="0" borderId="0" xfId="3" applyFont="1" applyBorder="1" applyAlignment="1">
      <alignment horizontal="left" vertical="center" wrapText="1"/>
    </xf>
    <xf numFmtId="0" fontId="24" fillId="0" borderId="0" xfId="4" applyFont="1" applyAlignment="1">
      <alignment vertical="center"/>
    </xf>
    <xf numFmtId="168" fontId="22" fillId="0" borderId="0" xfId="4" applyNumberFormat="1" applyFont="1" applyBorder="1" applyAlignment="1">
      <alignment horizontal="center" vertical="center"/>
    </xf>
    <xf numFmtId="168" fontId="22" fillId="0" borderId="0" xfId="4" applyNumberFormat="1" applyFont="1" applyBorder="1" applyAlignment="1">
      <alignment horizontal="center" vertical="center" wrapText="1"/>
    </xf>
    <xf numFmtId="0" fontId="41" fillId="0" borderId="0" xfId="4" applyFont="1" applyFill="1" applyBorder="1" applyAlignment="1">
      <alignment horizontal="right" vertical="center"/>
    </xf>
    <xf numFmtId="0" fontId="24" fillId="0" borderId="0" xfId="4" applyFont="1" applyFill="1" applyBorder="1" applyAlignment="1">
      <alignment vertical="center"/>
    </xf>
    <xf numFmtId="0" fontId="121" fillId="0" borderId="0" xfId="4" applyFont="1" applyFill="1" applyAlignment="1">
      <alignment vertical="center"/>
    </xf>
    <xf numFmtId="0" fontId="24" fillId="0" borderId="0" xfId="4" applyFont="1" applyFill="1" applyBorder="1" applyAlignment="1">
      <alignment horizontal="right" vertical="center"/>
    </xf>
    <xf numFmtId="164" fontId="24" fillId="0" borderId="0" xfId="4" applyNumberFormat="1" applyFont="1" applyBorder="1" applyAlignment="1">
      <alignment vertical="center"/>
    </xf>
    <xf numFmtId="0" fontId="24" fillId="0" borderId="0" xfId="4" applyFont="1" applyBorder="1" applyAlignment="1">
      <alignment horizontal="right" vertical="center"/>
    </xf>
    <xf numFmtId="164" fontId="24" fillId="0" borderId="0" xfId="3" applyNumberFormat="1" applyFont="1" applyBorder="1" applyAlignment="1">
      <alignment horizontal="right" vertical="center" wrapText="1"/>
    </xf>
    <xf numFmtId="0" fontId="119" fillId="0" borderId="0" xfId="4" applyFont="1" applyFill="1" applyBorder="1" applyAlignment="1">
      <alignment vertical="center"/>
    </xf>
    <xf numFmtId="0" fontId="119" fillId="0" borderId="0" xfId="4" applyFont="1" applyFill="1" applyAlignment="1">
      <alignment vertical="center"/>
    </xf>
    <xf numFmtId="4" fontId="13" fillId="2" borderId="0" xfId="3" applyNumberFormat="1" applyFont="1" applyFill="1" applyBorder="1" applyAlignment="1">
      <alignment horizontal="center" vertical="center" wrapText="1"/>
    </xf>
    <xf numFmtId="184" fontId="49" fillId="2" borderId="0" xfId="3" applyNumberFormat="1" applyFont="1" applyFill="1" applyBorder="1" applyAlignment="1">
      <alignment horizontal="left" vertical="center" wrapText="1"/>
    </xf>
    <xf numFmtId="165" fontId="49" fillId="2" borderId="0" xfId="3" applyNumberFormat="1" applyFont="1" applyFill="1" applyBorder="1" applyAlignment="1">
      <alignment horizontal="center" vertical="center" wrapText="1"/>
    </xf>
    <xf numFmtId="165" fontId="52" fillId="2" borderId="0" xfId="2" applyNumberFormat="1" applyFont="1" applyFill="1" applyBorder="1" applyAlignment="1">
      <alignment horizontal="center" vertical="center" wrapText="1"/>
    </xf>
    <xf numFmtId="165" fontId="55" fillId="2" borderId="0" xfId="3" applyNumberFormat="1" applyFont="1" applyFill="1" applyBorder="1" applyAlignment="1">
      <alignment horizontal="center" vertical="center" wrapText="1"/>
    </xf>
    <xf numFmtId="181" fontId="49" fillId="2" borderId="0" xfId="3" applyNumberFormat="1" applyFont="1" applyFill="1" applyBorder="1" applyAlignment="1">
      <alignment horizontal="center" vertical="center" wrapText="1"/>
    </xf>
    <xf numFmtId="181" fontId="102" fillId="2" borderId="0" xfId="3" applyNumberFormat="1" applyFont="1" applyFill="1" applyBorder="1" applyAlignment="1">
      <alignment horizontal="center" vertical="center" wrapText="1"/>
    </xf>
    <xf numFmtId="4" fontId="13" fillId="0" borderId="40" xfId="17" applyNumberFormat="1" applyFont="1" applyFill="1" applyBorder="1" applyAlignment="1">
      <alignment horizontal="center" vertical="center"/>
    </xf>
    <xf numFmtId="3" fontId="13" fillId="0" borderId="4" xfId="17" applyNumberFormat="1" applyFont="1" applyBorder="1" applyAlignment="1">
      <alignment horizontal="center" vertical="center"/>
    </xf>
    <xf numFmtId="202" fontId="46" fillId="0" borderId="0" xfId="17" applyNumberFormat="1" applyFont="1" applyFill="1" applyBorder="1" applyAlignment="1">
      <alignment horizontal="center" vertical="center"/>
    </xf>
    <xf numFmtId="195" fontId="46" fillId="0" borderId="0" xfId="17" applyNumberFormat="1" applyFont="1" applyFill="1" applyBorder="1" applyAlignment="1">
      <alignment horizontal="center" vertical="center"/>
    </xf>
    <xf numFmtId="0" fontId="9" fillId="0" borderId="0" xfId="17" applyFont="1" applyFill="1" applyBorder="1" applyAlignment="1">
      <alignment vertical="center"/>
    </xf>
    <xf numFmtId="12" fontId="13" fillId="0" borderId="0" xfId="17" applyNumberFormat="1" applyFont="1" applyBorder="1" applyAlignment="1">
      <alignment horizontal="center" vertical="center"/>
    </xf>
    <xf numFmtId="12" fontId="13" fillId="0" borderId="40" xfId="17" applyNumberFormat="1" applyFont="1" applyBorder="1" applyAlignment="1">
      <alignment horizontal="center" vertical="center"/>
    </xf>
    <xf numFmtId="4" fontId="13" fillId="0" borderId="1" xfId="17" applyNumberFormat="1" applyFont="1" applyFill="1" applyBorder="1" applyAlignment="1">
      <alignment horizontal="center" vertical="center"/>
    </xf>
    <xf numFmtId="4" fontId="13" fillId="0" borderId="3" xfId="17" applyNumberFormat="1" applyFont="1" applyFill="1" applyBorder="1" applyAlignment="1">
      <alignment horizontal="center" vertical="center"/>
    </xf>
    <xf numFmtId="171" fontId="13" fillId="0" borderId="3" xfId="17" applyNumberFormat="1" applyFont="1" applyBorder="1" applyAlignment="1">
      <alignment horizontal="center" vertical="center"/>
    </xf>
    <xf numFmtId="0" fontId="13" fillId="0" borderId="0" xfId="17" applyFont="1" applyFill="1" applyAlignment="1">
      <alignment vertical="center"/>
    </xf>
    <xf numFmtId="2" fontId="96" fillId="0" borderId="3" xfId="17" applyNumberFormat="1" applyFont="1" applyFill="1" applyBorder="1" applyAlignment="1">
      <alignment horizontal="center" vertical="center" wrapText="1"/>
    </xf>
    <xf numFmtId="2" fontId="96" fillId="0" borderId="40" xfId="17" applyNumberFormat="1" applyFont="1" applyFill="1" applyBorder="1" applyAlignment="1">
      <alignment horizontal="center" vertical="center" wrapText="1"/>
    </xf>
    <xf numFmtId="2" fontId="96" fillId="0" borderId="0" xfId="17" applyNumberFormat="1" applyFont="1" applyFill="1" applyBorder="1" applyAlignment="1">
      <alignment horizontal="center" vertical="center" wrapText="1"/>
    </xf>
    <xf numFmtId="2" fontId="96" fillId="0" borderId="1" xfId="17" applyNumberFormat="1" applyFont="1" applyFill="1" applyBorder="1" applyAlignment="1">
      <alignment horizontal="center" vertical="center" wrapText="1"/>
    </xf>
    <xf numFmtId="203" fontId="13" fillId="0" borderId="40" xfId="17" applyNumberFormat="1" applyFont="1" applyFill="1" applyBorder="1" applyAlignment="1">
      <alignment horizontal="left" vertical="center"/>
    </xf>
    <xf numFmtId="203" fontId="13" fillId="0" borderId="1" xfId="17" applyNumberFormat="1" applyFont="1" applyFill="1" applyBorder="1" applyAlignment="1">
      <alignment horizontal="left" vertical="center"/>
    </xf>
    <xf numFmtId="203" fontId="13" fillId="0" borderId="0" xfId="17" applyNumberFormat="1" applyFont="1" applyFill="1" applyBorder="1" applyAlignment="1">
      <alignment horizontal="left" vertical="center"/>
    </xf>
    <xf numFmtId="203" fontId="13" fillId="0" borderId="3" xfId="17" applyNumberFormat="1" applyFont="1" applyFill="1" applyBorder="1" applyAlignment="1">
      <alignment horizontal="left" vertical="center"/>
    </xf>
    <xf numFmtId="168" fontId="22" fillId="0" borderId="0" xfId="4" applyNumberFormat="1" applyFont="1" applyBorder="1" applyAlignment="1">
      <alignment horizontal="center" vertical="center"/>
    </xf>
    <xf numFmtId="0" fontId="123" fillId="0" borderId="0" xfId="18" applyFont="1" applyBorder="1" applyAlignment="1">
      <alignment horizontal="left" vertical="center"/>
    </xf>
    <xf numFmtId="0" fontId="48" fillId="0" borderId="27" xfId="18" applyFont="1" applyBorder="1" applyAlignment="1">
      <alignment vertical="center"/>
    </xf>
    <xf numFmtId="43" fontId="13" fillId="0" borderId="9" xfId="1" applyFont="1" applyFill="1" applyBorder="1" applyAlignment="1">
      <alignment horizontal="center" vertical="center"/>
    </xf>
    <xf numFmtId="0" fontId="45" fillId="0" borderId="40" xfId="18" applyNumberFormat="1" applyFont="1" applyFill="1" applyBorder="1" applyAlignment="1">
      <alignment horizontal="right" vertical="center"/>
    </xf>
    <xf numFmtId="1" fontId="45" fillId="0" borderId="40" xfId="18" applyNumberFormat="1" applyFont="1" applyFill="1" applyBorder="1" applyAlignment="1">
      <alignment horizontal="left" vertical="center"/>
    </xf>
    <xf numFmtId="3" fontId="45" fillId="0" borderId="0" xfId="18" applyNumberFormat="1" applyFont="1" applyBorder="1" applyAlignment="1">
      <alignment horizontal="center" vertical="center" wrapText="1"/>
    </xf>
    <xf numFmtId="0" fontId="45" fillId="0" borderId="0" xfId="18" applyNumberFormat="1" applyFont="1" applyBorder="1" applyAlignment="1">
      <alignment horizontal="center" vertical="center"/>
    </xf>
    <xf numFmtId="0" fontId="45" fillId="0" borderId="0" xfId="18" applyNumberFormat="1" applyFont="1" applyFill="1" applyBorder="1" applyAlignment="1">
      <alignment horizontal="right" vertical="center"/>
    </xf>
    <xf numFmtId="1" fontId="45" fillId="0" borderId="0" xfId="18" applyNumberFormat="1" applyFont="1" applyFill="1" applyBorder="1" applyAlignment="1">
      <alignment horizontal="left" vertical="center"/>
    </xf>
    <xf numFmtId="43" fontId="13" fillId="0" borderId="0" xfId="1" applyFont="1" applyFill="1" applyBorder="1" applyAlignment="1">
      <alignment horizontal="center" vertical="center"/>
    </xf>
    <xf numFmtId="188" fontId="13" fillId="0" borderId="0" xfId="18" applyNumberFormat="1" applyFont="1" applyFill="1" applyBorder="1" applyAlignment="1">
      <alignment horizontal="center" vertical="center"/>
    </xf>
    <xf numFmtId="171" fontId="13" fillId="0" borderId="0" xfId="18" applyNumberFormat="1" applyFont="1" applyFill="1" applyBorder="1" applyAlignment="1">
      <alignment horizontal="center" vertical="center"/>
    </xf>
    <xf numFmtId="39" fontId="13" fillId="0" borderId="0" xfId="2" applyNumberFormat="1" applyFont="1" applyFill="1" applyBorder="1" applyAlignment="1">
      <alignment horizontal="center" vertical="center"/>
    </xf>
    <xf numFmtId="167" fontId="13" fillId="0" borderId="0" xfId="2" applyNumberFormat="1" applyFont="1" applyFill="1" applyBorder="1" applyAlignment="1">
      <alignment horizontal="center" vertical="center"/>
    </xf>
    <xf numFmtId="2" fontId="45" fillId="0" borderId="30" xfId="18" applyNumberFormat="1" applyFont="1" applyBorder="1" applyAlignment="1">
      <alignment horizontal="center" vertical="center"/>
    </xf>
    <xf numFmtId="2" fontId="45" fillId="0" borderId="41" xfId="18" applyNumberFormat="1" applyFont="1" applyBorder="1" applyAlignment="1">
      <alignment horizontal="center" vertical="center"/>
    </xf>
    <xf numFmtId="0" fontId="45" fillId="0" borderId="0" xfId="18" applyNumberFormat="1" applyFont="1" applyBorder="1" applyAlignment="1">
      <alignment horizontal="right" vertical="center"/>
    </xf>
    <xf numFmtId="1" fontId="45" fillId="0" borderId="0" xfId="18" applyNumberFormat="1" applyFont="1" applyBorder="1" applyAlignment="1">
      <alignment horizontal="left" vertical="center"/>
    </xf>
    <xf numFmtId="39" fontId="13" fillId="0" borderId="0" xfId="2" applyNumberFormat="1" applyFont="1" applyFill="1" applyBorder="1" applyAlignment="1">
      <alignment horizontal="right" vertical="center"/>
    </xf>
    <xf numFmtId="0" fontId="94" fillId="0" borderId="41" xfId="18" applyFont="1" applyBorder="1" applyAlignment="1">
      <alignment horizontal="center" vertical="center"/>
    </xf>
    <xf numFmtId="0" fontId="45" fillId="0" borderId="41" xfId="18" applyFont="1" applyBorder="1" applyAlignment="1">
      <alignment horizontal="center" vertical="center" wrapText="1"/>
    </xf>
    <xf numFmtId="43" fontId="13" fillId="2" borderId="0" xfId="1" applyFont="1" applyFill="1" applyBorder="1" applyAlignment="1">
      <alignment horizontal="center" vertical="center"/>
    </xf>
    <xf numFmtId="43" fontId="13" fillId="0" borderId="5" xfId="1" applyFont="1" applyFill="1" applyBorder="1" applyAlignment="1">
      <alignment horizontal="center" vertical="center"/>
    </xf>
    <xf numFmtId="43" fontId="13" fillId="0" borderId="24" xfId="1" applyFont="1" applyFill="1" applyBorder="1" applyAlignment="1">
      <alignment horizontal="center" vertical="center"/>
    </xf>
    <xf numFmtId="43" fontId="13" fillId="0" borderId="50" xfId="1" applyFont="1" applyFill="1" applyBorder="1" applyAlignment="1">
      <alignment horizontal="center" vertical="center"/>
    </xf>
    <xf numFmtId="189" fontId="13" fillId="0" borderId="0" xfId="18" applyNumberFormat="1" applyFont="1" applyFill="1" applyBorder="1" applyAlignment="1">
      <alignment horizontal="center" vertical="center"/>
    </xf>
    <xf numFmtId="2" fontId="124" fillId="0" borderId="1" xfId="17" applyNumberFormat="1" applyFont="1" applyFill="1" applyBorder="1" applyAlignment="1">
      <alignment horizontal="center" vertical="center" wrapText="1"/>
    </xf>
    <xf numFmtId="0" fontId="13" fillId="2" borderId="0" xfId="17" applyFont="1" applyFill="1" applyAlignment="1">
      <alignment vertical="center"/>
    </xf>
    <xf numFmtId="2" fontId="124" fillId="0" borderId="3" xfId="17" applyNumberFormat="1" applyFont="1" applyFill="1" applyBorder="1" applyAlignment="1">
      <alignment horizontal="center" vertical="center" wrapText="1"/>
    </xf>
    <xf numFmtId="43" fontId="45" fillId="2" borderId="0" xfId="1" applyFont="1" applyFill="1" applyBorder="1" applyAlignment="1">
      <alignment horizontal="center" vertical="center"/>
    </xf>
    <xf numFmtId="43" fontId="45" fillId="2" borderId="3" xfId="1" applyFont="1" applyFill="1" applyBorder="1" applyAlignment="1">
      <alignment horizontal="center" vertical="center"/>
    </xf>
    <xf numFmtId="187" fontId="3" fillId="2" borderId="0" xfId="2" applyNumberFormat="1" applyFont="1" applyFill="1" applyBorder="1" applyAlignment="1">
      <alignment horizontal="center" vertical="center" wrapText="1"/>
    </xf>
    <xf numFmtId="187" fontId="3" fillId="2" borderId="64" xfId="2" applyNumberFormat="1" applyFont="1" applyFill="1" applyBorder="1" applyAlignment="1">
      <alignment horizontal="left" vertical="center" wrapText="1"/>
    </xf>
    <xf numFmtId="3" fontId="3" fillId="2" borderId="0" xfId="2" applyNumberFormat="1" applyFont="1" applyFill="1" applyBorder="1" applyAlignment="1">
      <alignment horizontal="center" vertical="center" wrapText="1"/>
    </xf>
    <xf numFmtId="3" fontId="3" fillId="2" borderId="64" xfId="2" applyNumberFormat="1" applyFont="1" applyFill="1" applyBorder="1" applyAlignment="1">
      <alignment horizontal="center" vertical="center" wrapText="1"/>
    </xf>
    <xf numFmtId="167" fontId="3" fillId="2" borderId="0" xfId="2" applyNumberFormat="1" applyFont="1" applyFill="1" applyBorder="1" applyAlignment="1">
      <alignment horizontal="center" vertical="center" wrapText="1"/>
    </xf>
    <xf numFmtId="167" fontId="3" fillId="2" borderId="64" xfId="2" applyNumberFormat="1" applyFont="1" applyFill="1" applyBorder="1" applyAlignment="1">
      <alignment horizontal="center" vertical="center" wrapText="1"/>
    </xf>
    <xf numFmtId="165" fontId="3" fillId="2" borderId="0" xfId="2" applyNumberFormat="1" applyFont="1" applyFill="1" applyBorder="1" applyAlignment="1">
      <alignment horizontal="center" vertical="center" wrapText="1"/>
    </xf>
    <xf numFmtId="165" fontId="3" fillId="2" borderId="64" xfId="2" applyNumberFormat="1" applyFont="1" applyFill="1" applyBorder="1" applyAlignment="1">
      <alignment horizontal="center" vertical="center" wrapText="1"/>
    </xf>
    <xf numFmtId="43" fontId="11" fillId="2" borderId="0" xfId="1" applyFont="1" applyFill="1" applyBorder="1" applyAlignment="1">
      <alignment horizontal="center" vertical="center"/>
    </xf>
    <xf numFmtId="43" fontId="11" fillId="2" borderId="64" xfId="1" applyFont="1" applyFill="1" applyBorder="1" applyAlignment="1">
      <alignment horizontal="center" vertical="center"/>
    </xf>
    <xf numFmtId="3" fontId="3" fillId="2" borderId="0" xfId="2" applyNumberFormat="1" applyFont="1" applyFill="1" applyAlignment="1">
      <alignment horizontal="left" vertical="center" wrapText="1"/>
    </xf>
    <xf numFmtId="177" fontId="31" fillId="0" borderId="0" xfId="8" applyNumberFormat="1" applyFont="1" applyAlignment="1">
      <alignment horizontal="right" vertical="center"/>
    </xf>
    <xf numFmtId="177" fontId="31" fillId="0" borderId="0" xfId="8" applyNumberFormat="1" applyFont="1" applyAlignment="1">
      <alignment horizontal="center" vertical="center"/>
    </xf>
    <xf numFmtId="0" fontId="27" fillId="0" borderId="0" xfId="8" applyFont="1" applyAlignment="1">
      <alignment horizontal="left" vertical="top"/>
    </xf>
    <xf numFmtId="177" fontId="28" fillId="0" borderId="0" xfId="8" applyNumberFormat="1" applyFont="1" applyAlignment="1">
      <alignment horizontal="right" wrapText="1"/>
    </xf>
    <xf numFmtId="177" fontId="28" fillId="0" borderId="0" xfId="8" applyNumberFormat="1" applyFont="1" applyAlignment="1">
      <alignment horizontal="right" vertical="center" wrapText="1"/>
    </xf>
    <xf numFmtId="0" fontId="30" fillId="0" borderId="0" xfId="8" applyFont="1" applyAlignment="1">
      <alignment horizontal="right" vertical="center"/>
    </xf>
    <xf numFmtId="0" fontId="25" fillId="0" borderId="0" xfId="8" applyFont="1" applyAlignment="1">
      <alignment horizontal="right" vertical="center" wrapText="1"/>
    </xf>
    <xf numFmtId="177" fontId="33" fillId="0" borderId="0" xfId="8" applyNumberFormat="1" applyFont="1" applyAlignment="1">
      <alignment horizontal="right" vertical="top" wrapText="1"/>
    </xf>
    <xf numFmtId="0" fontId="31" fillId="0" borderId="0" xfId="8" applyFont="1" applyAlignment="1">
      <alignment horizontal="right" vertical="center"/>
    </xf>
    <xf numFmtId="0" fontId="33" fillId="0" borderId="0" xfId="8" applyFont="1" applyAlignment="1">
      <alignment horizontal="right" vertical="center"/>
    </xf>
    <xf numFmtId="177" fontId="33" fillId="0" borderId="0" xfId="8" applyNumberFormat="1" applyFont="1" applyAlignment="1">
      <alignment horizontal="right" vertical="center" wrapText="1"/>
    </xf>
    <xf numFmtId="177" fontId="31" fillId="0" borderId="0" xfId="8" applyNumberFormat="1" applyFont="1" applyFill="1" applyAlignment="1">
      <alignment horizontal="center" vertical="center"/>
    </xf>
    <xf numFmtId="0" fontId="38" fillId="0" borderId="0" xfId="3" applyFont="1" applyFill="1" applyAlignment="1">
      <alignment horizontal="left" vertical="center" wrapText="1"/>
    </xf>
    <xf numFmtId="0" fontId="40" fillId="0" borderId="0" xfId="3" applyFont="1" applyFill="1" applyAlignment="1">
      <alignment horizontal="right" vertical="center" wrapText="1"/>
    </xf>
    <xf numFmtId="0" fontId="3" fillId="0" borderId="3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40" fillId="0" borderId="0" xfId="3" applyFont="1" applyFill="1" applyAlignment="1">
      <alignment horizontal="left" vertical="center" wrapText="1"/>
    </xf>
    <xf numFmtId="0" fontId="34" fillId="0" borderId="0" xfId="3" applyFont="1" applyFill="1" applyAlignment="1">
      <alignment horizontal="right"/>
    </xf>
    <xf numFmtId="0" fontId="21" fillId="0" borderId="2" xfId="3" applyFont="1" applyFill="1" applyBorder="1" applyAlignment="1">
      <alignment horizontal="center" vertical="center"/>
    </xf>
    <xf numFmtId="0" fontId="61" fillId="0" borderId="0" xfId="3" applyFont="1" applyFill="1" applyAlignment="1">
      <alignment horizontal="left" vertical="center" wrapText="1"/>
    </xf>
    <xf numFmtId="176" fontId="18" fillId="0" borderId="0" xfId="3" applyNumberFormat="1" applyFont="1" applyFill="1" applyBorder="1" applyAlignment="1">
      <alignment horizontal="center" vertical="center" wrapText="1"/>
    </xf>
    <xf numFmtId="0" fontId="48" fillId="0" borderId="0" xfId="3" applyFont="1" applyFill="1" applyAlignment="1">
      <alignment horizontal="left"/>
    </xf>
    <xf numFmtId="0" fontId="11" fillId="0" borderId="2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43" fillId="0" borderId="0" xfId="3" applyFont="1" applyFill="1" applyBorder="1" applyAlignment="1">
      <alignment horizontal="center" vertical="center" wrapText="1"/>
    </xf>
    <xf numFmtId="0" fontId="43" fillId="0" borderId="1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200" fontId="34" fillId="0" borderId="0" xfId="3" applyNumberFormat="1" applyFont="1" applyFill="1" applyAlignment="1">
      <alignment horizontal="left"/>
    </xf>
    <xf numFmtId="0" fontId="3" fillId="0" borderId="1" xfId="3" applyFont="1" applyFill="1" applyBorder="1" applyAlignment="1">
      <alignment horizontal="right" vertical="center"/>
    </xf>
    <xf numFmtId="201" fontId="3" fillId="2" borderId="1" xfId="2" applyNumberFormat="1" applyFont="1" applyFill="1" applyBorder="1" applyAlignment="1">
      <alignment horizontal="center" vertical="center"/>
    </xf>
    <xf numFmtId="166" fontId="3" fillId="2" borderId="1" xfId="2" applyNumberFormat="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167" fontId="3" fillId="2" borderId="7" xfId="2" applyNumberFormat="1" applyFont="1" applyFill="1" applyBorder="1" applyAlignment="1">
      <alignment horizontal="left" vertical="center" wrapText="1"/>
    </xf>
    <xf numFmtId="167" fontId="3" fillId="2" borderId="2" xfId="2" applyNumberFormat="1" applyFont="1" applyFill="1" applyBorder="1" applyAlignment="1">
      <alignment horizontal="left" vertical="center" wrapText="1"/>
    </xf>
    <xf numFmtId="0" fontId="43" fillId="0" borderId="2" xfId="3" applyFont="1" applyFill="1" applyBorder="1" applyAlignment="1">
      <alignment horizontal="center" vertical="center" wrapText="1"/>
    </xf>
    <xf numFmtId="0" fontId="122" fillId="0" borderId="0" xfId="4" applyFont="1" applyBorder="1" applyAlignment="1">
      <alignment horizontal="justify" vertical="center"/>
    </xf>
    <xf numFmtId="167" fontId="41" fillId="0" borderId="0" xfId="4" applyNumberFormat="1" applyFont="1" applyFill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167" fontId="121" fillId="0" borderId="0" xfId="4" applyNumberFormat="1" applyFont="1" applyFill="1" applyBorder="1" applyAlignment="1">
      <alignment horizontal="left" vertical="center"/>
    </xf>
    <xf numFmtId="167" fontId="22" fillId="0" borderId="0" xfId="4" applyNumberFormat="1" applyFont="1" applyBorder="1" applyAlignment="1">
      <alignment horizontal="right" vertical="center"/>
    </xf>
    <xf numFmtId="168" fontId="22" fillId="0" borderId="0" xfId="4" applyNumberFormat="1" applyFont="1" applyBorder="1" applyAlignment="1">
      <alignment horizontal="center" vertical="center"/>
    </xf>
    <xf numFmtId="168" fontId="22" fillId="0" borderId="1" xfId="4" applyNumberFormat="1" applyFont="1" applyBorder="1" applyAlignment="1">
      <alignment horizontal="center" vertical="center"/>
    </xf>
    <xf numFmtId="169" fontId="22" fillId="0" borderId="0" xfId="4" applyNumberFormat="1" applyFont="1" applyBorder="1" applyAlignment="1">
      <alignment horizontal="right" vertical="center"/>
    </xf>
    <xf numFmtId="0" fontId="41" fillId="0" borderId="0" xfId="4" applyFont="1" applyBorder="1" applyAlignment="1">
      <alignment horizontal="justify" vertical="center"/>
    </xf>
    <xf numFmtId="168" fontId="24" fillId="0" borderId="0" xfId="4" applyNumberFormat="1" applyFont="1" applyBorder="1" applyAlignment="1">
      <alignment horizontal="center" vertical="center" wrapText="1"/>
    </xf>
    <xf numFmtId="168" fontId="22" fillId="0" borderId="3" xfId="4" applyNumberFormat="1" applyFont="1" applyBorder="1" applyAlignment="1">
      <alignment horizontal="center" vertical="center"/>
    </xf>
    <xf numFmtId="164" fontId="22" fillId="0" borderId="0" xfId="3" applyNumberFormat="1" applyFont="1" applyBorder="1" applyAlignment="1">
      <alignment horizontal="right" vertical="center" wrapText="1"/>
    </xf>
    <xf numFmtId="0" fontId="120" fillId="0" borderId="0" xfId="4" applyFont="1" applyBorder="1" applyAlignment="1">
      <alignment horizontal="justify" vertical="center"/>
    </xf>
    <xf numFmtId="168" fontId="24" fillId="0" borderId="0" xfId="4" applyNumberFormat="1" applyFont="1" applyBorder="1" applyAlignment="1">
      <alignment horizontal="center" vertical="center"/>
    </xf>
    <xf numFmtId="168" fontId="24" fillId="0" borderId="3" xfId="4" applyNumberFormat="1" applyFont="1" applyBorder="1" applyAlignment="1">
      <alignment horizontal="center" vertical="center"/>
    </xf>
    <xf numFmtId="164" fontId="24" fillId="0" borderId="0" xfId="3" applyNumberFormat="1" applyFont="1" applyBorder="1" applyAlignment="1">
      <alignment horizontal="right" vertical="center" wrapText="1"/>
    </xf>
    <xf numFmtId="0" fontId="13" fillId="5" borderId="0" xfId="17" applyFont="1" applyFill="1" applyBorder="1" applyAlignment="1">
      <alignment horizontal="center" vertical="center" wrapText="1"/>
    </xf>
    <xf numFmtId="0" fontId="13" fillId="5" borderId="1" xfId="17" applyFont="1" applyFill="1" applyBorder="1" applyAlignment="1">
      <alignment horizontal="center" vertical="center" wrapText="1"/>
    </xf>
    <xf numFmtId="0" fontId="13" fillId="0" borderId="14" xfId="17" applyFont="1" applyBorder="1" applyAlignment="1">
      <alignment horizontal="center" vertical="center"/>
    </xf>
    <xf numFmtId="0" fontId="13" fillId="0" borderId="16" xfId="17" applyFont="1" applyBorder="1" applyAlignment="1">
      <alignment horizontal="center" vertical="center"/>
    </xf>
    <xf numFmtId="2" fontId="46" fillId="0" borderId="17" xfId="1" applyNumberFormat="1" applyFont="1" applyFill="1" applyBorder="1" applyAlignment="1">
      <alignment horizontal="center" vertical="center" wrapText="1"/>
    </xf>
    <xf numFmtId="2" fontId="46" fillId="0" borderId="0" xfId="1" applyNumberFormat="1" applyFont="1" applyFill="1" applyBorder="1" applyAlignment="1">
      <alignment horizontal="center" vertical="center" wrapText="1"/>
    </xf>
    <xf numFmtId="43" fontId="13" fillId="0" borderId="0" xfId="17" applyNumberFormat="1" applyFont="1" applyFill="1" applyBorder="1" applyAlignment="1">
      <alignment horizontal="left" vertical="top" wrapText="1"/>
    </xf>
    <xf numFmtId="43" fontId="13" fillId="0" borderId="0" xfId="17" applyNumberFormat="1" applyFont="1" applyFill="1" applyBorder="1" applyAlignment="1">
      <alignment horizontal="left" vertical="center" wrapText="1"/>
    </xf>
    <xf numFmtId="43" fontId="13" fillId="0" borderId="0" xfId="17" applyNumberFormat="1" applyFont="1" applyFill="1" applyBorder="1" applyAlignment="1">
      <alignment horizontal="right" vertical="top" wrapText="1"/>
    </xf>
    <xf numFmtId="0" fontId="49" fillId="0" borderId="0" xfId="17" applyFont="1" applyAlignment="1">
      <alignment horizontal="center" vertical="center" textRotation="90" wrapText="1"/>
    </xf>
    <xf numFmtId="182" fontId="13" fillId="0" borderId="0" xfId="17" applyNumberFormat="1" applyFont="1" applyFill="1" applyBorder="1" applyAlignment="1">
      <alignment horizontal="left" vertical="center" wrapText="1"/>
    </xf>
    <xf numFmtId="192" fontId="13" fillId="0" borderId="0" xfId="18" applyNumberFormat="1" applyFont="1" applyFill="1" applyBorder="1" applyAlignment="1">
      <alignment horizontal="right" vertical="center" wrapText="1"/>
    </xf>
    <xf numFmtId="193" fontId="13" fillId="0" borderId="0" xfId="17" applyNumberFormat="1" applyFont="1" applyFill="1" applyBorder="1" applyAlignment="1">
      <alignment horizontal="right" vertical="center" wrapText="1"/>
    </xf>
    <xf numFmtId="43" fontId="13" fillId="0" borderId="0" xfId="17" applyNumberFormat="1" applyFont="1" applyFill="1" applyBorder="1" applyAlignment="1">
      <alignment horizontal="center" vertical="center" wrapText="1"/>
    </xf>
    <xf numFmtId="0" fontId="10" fillId="0" borderId="0" xfId="17" applyFont="1" applyFill="1" applyBorder="1" applyAlignment="1">
      <alignment horizontal="center"/>
    </xf>
    <xf numFmtId="180" fontId="13" fillId="0" borderId="0" xfId="2" applyNumberFormat="1" applyFont="1" applyFill="1" applyBorder="1" applyAlignment="1">
      <alignment horizontal="left" vertical="center" wrapText="1"/>
    </xf>
    <xf numFmtId="0" fontId="8" fillId="2" borderId="14" xfId="17" applyFont="1" applyFill="1" applyBorder="1" applyAlignment="1">
      <alignment horizontal="center" vertical="center" wrapText="1"/>
    </xf>
    <xf numFmtId="0" fontId="8" fillId="2" borderId="16" xfId="17" applyFont="1" applyFill="1" applyBorder="1" applyAlignment="1">
      <alignment horizontal="center" vertical="center" wrapText="1"/>
    </xf>
    <xf numFmtId="0" fontId="13" fillId="5" borderId="61" xfId="17" applyFont="1" applyFill="1" applyBorder="1" applyAlignment="1">
      <alignment horizontal="center" vertical="center" wrapText="1"/>
    </xf>
    <xf numFmtId="0" fontId="13" fillId="5" borderId="62" xfId="17" applyFont="1" applyFill="1" applyBorder="1" applyAlignment="1">
      <alignment horizontal="center" vertical="center" wrapText="1"/>
    </xf>
    <xf numFmtId="43" fontId="8" fillId="0" borderId="14" xfId="17" applyNumberFormat="1" applyFont="1" applyFill="1" applyBorder="1" applyAlignment="1">
      <alignment horizontal="center" vertical="center" wrapText="1"/>
    </xf>
    <xf numFmtId="43" fontId="8" fillId="0" borderId="15" xfId="17" applyNumberFormat="1" applyFont="1" applyFill="1" applyBorder="1" applyAlignment="1">
      <alignment horizontal="center" vertical="center" wrapText="1"/>
    </xf>
    <xf numFmtId="43" fontId="8" fillId="0" borderId="16" xfId="17" applyNumberFormat="1" applyFont="1" applyFill="1" applyBorder="1" applyAlignment="1">
      <alignment horizontal="center" vertical="center" wrapText="1"/>
    </xf>
    <xf numFmtId="43" fontId="13" fillId="0" borderId="0" xfId="17" applyNumberFormat="1" applyFont="1" applyFill="1" applyBorder="1" applyAlignment="1">
      <alignment horizontal="left" wrapText="1"/>
    </xf>
    <xf numFmtId="183" fontId="39" fillId="0" borderId="0" xfId="17" applyNumberFormat="1" applyFont="1" applyFill="1" applyBorder="1" applyAlignment="1">
      <alignment horizontal="center" vertical="center" wrapText="1"/>
    </xf>
    <xf numFmtId="43" fontId="88" fillId="0" borderId="14" xfId="17" applyNumberFormat="1" applyFont="1" applyFill="1" applyBorder="1" applyAlignment="1">
      <alignment horizontal="center" vertical="center" wrapText="1"/>
    </xf>
    <xf numFmtId="43" fontId="88" fillId="0" borderId="15" xfId="17" applyNumberFormat="1" applyFont="1" applyFill="1" applyBorder="1" applyAlignment="1">
      <alignment horizontal="center" vertical="center" wrapText="1"/>
    </xf>
    <xf numFmtId="43" fontId="88" fillId="0" borderId="16" xfId="17" applyNumberFormat="1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12" fillId="0" borderId="0" xfId="3" applyFont="1" applyFill="1" applyBorder="1" applyAlignment="1">
      <alignment horizontal="center" vertical="center" wrapText="1"/>
    </xf>
    <xf numFmtId="197" fontId="106" fillId="0" borderId="27" xfId="3" applyNumberFormat="1" applyFont="1" applyFill="1" applyBorder="1" applyAlignment="1">
      <alignment horizontal="center" vertical="center" wrapText="1"/>
    </xf>
    <xf numFmtId="197" fontId="106" fillId="0" borderId="0" xfId="3" applyNumberFormat="1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right" vertical="center" wrapText="1"/>
    </xf>
    <xf numFmtId="181" fontId="109" fillId="3" borderId="4" xfId="3" applyNumberFormat="1" applyFont="1" applyFill="1" applyBorder="1" applyAlignment="1">
      <alignment horizontal="center" vertical="center" wrapText="1"/>
    </xf>
    <xf numFmtId="165" fontId="49" fillId="6" borderId="4" xfId="3" applyNumberFormat="1" applyFont="1" applyFill="1" applyBorder="1" applyAlignment="1">
      <alignment horizontal="center" vertical="center" wrapText="1"/>
    </xf>
    <xf numFmtId="181" fontId="49" fillId="3" borderId="24" xfId="3" applyNumberFormat="1" applyFont="1" applyFill="1" applyBorder="1" applyAlignment="1">
      <alignment horizontal="center" vertical="center" wrapText="1"/>
    </xf>
    <xf numFmtId="181" fontId="49" fillId="3" borderId="11" xfId="3" applyNumberFormat="1" applyFont="1" applyFill="1" applyBorder="1" applyAlignment="1">
      <alignment horizontal="center" vertical="center" wrapText="1"/>
    </xf>
    <xf numFmtId="165" fontId="116" fillId="6" borderId="4" xfId="3" applyNumberFormat="1" applyFont="1" applyFill="1" applyBorder="1" applyAlignment="1">
      <alignment horizontal="center" vertical="center" wrapText="1"/>
    </xf>
    <xf numFmtId="165" fontId="49" fillId="3" borderId="4" xfId="3" applyNumberFormat="1" applyFont="1" applyFill="1" applyBorder="1" applyAlignment="1">
      <alignment horizontal="center" vertical="center" wrapText="1"/>
    </xf>
    <xf numFmtId="165" fontId="116" fillId="3" borderId="4" xfId="3" applyNumberFormat="1" applyFont="1" applyFill="1" applyBorder="1" applyAlignment="1">
      <alignment horizontal="center" vertical="center" wrapText="1"/>
    </xf>
    <xf numFmtId="4" fontId="49" fillId="0" borderId="0" xfId="3" applyNumberFormat="1" applyFont="1" applyFill="1" applyAlignment="1">
      <alignment horizontal="left" vertical="center" wrapText="1"/>
    </xf>
    <xf numFmtId="4" fontId="105" fillId="3" borderId="18" xfId="3" applyNumberFormat="1" applyFont="1" applyFill="1" applyBorder="1" applyAlignment="1">
      <alignment horizontal="center" vertical="center" wrapText="1"/>
    </xf>
    <xf numFmtId="4" fontId="105" fillId="3" borderId="19" xfId="3" applyNumberFormat="1" applyFont="1" applyFill="1" applyBorder="1" applyAlignment="1">
      <alignment horizontal="center" vertical="center" wrapText="1"/>
    </xf>
    <xf numFmtId="4" fontId="105" fillId="3" borderId="20" xfId="3" applyNumberFormat="1" applyFont="1" applyFill="1" applyBorder="1" applyAlignment="1">
      <alignment horizontal="center" vertical="center" wrapText="1"/>
    </xf>
    <xf numFmtId="4" fontId="105" fillId="6" borderId="58" xfId="3" applyNumberFormat="1" applyFont="1" applyFill="1" applyBorder="1" applyAlignment="1">
      <alignment horizontal="center" vertical="center" wrapText="1"/>
    </xf>
    <xf numFmtId="4" fontId="105" fillId="6" borderId="59" xfId="3" applyNumberFormat="1" applyFont="1" applyFill="1" applyBorder="1" applyAlignment="1">
      <alignment horizontal="center" vertical="center" wrapText="1"/>
    </xf>
    <xf numFmtId="4" fontId="105" fillId="6" borderId="18" xfId="3" applyNumberFormat="1" applyFont="1" applyFill="1" applyBorder="1" applyAlignment="1">
      <alignment horizontal="center" vertical="center" wrapText="1"/>
    </xf>
    <xf numFmtId="4" fontId="105" fillId="6" borderId="19" xfId="3" applyNumberFormat="1" applyFont="1" applyFill="1" applyBorder="1" applyAlignment="1">
      <alignment horizontal="center" vertical="center" wrapText="1"/>
    </xf>
    <xf numFmtId="4" fontId="105" fillId="6" borderId="20" xfId="3" applyNumberFormat="1" applyFont="1" applyFill="1" applyBorder="1" applyAlignment="1">
      <alignment horizontal="center" vertical="center" wrapText="1"/>
    </xf>
    <xf numFmtId="4" fontId="114" fillId="6" borderId="18" xfId="3" applyNumberFormat="1" applyFont="1" applyFill="1" applyBorder="1" applyAlignment="1">
      <alignment horizontal="center" vertical="center" wrapText="1"/>
    </xf>
    <xf numFmtId="4" fontId="114" fillId="6" borderId="19" xfId="3" applyNumberFormat="1" applyFont="1" applyFill="1" applyBorder="1" applyAlignment="1">
      <alignment horizontal="center" vertical="center" wrapText="1"/>
    </xf>
    <xf numFmtId="4" fontId="114" fillId="6" borderId="20" xfId="3" applyNumberFormat="1" applyFont="1" applyFill="1" applyBorder="1" applyAlignment="1">
      <alignment horizontal="center" vertical="center" wrapText="1"/>
    </xf>
    <xf numFmtId="165" fontId="49" fillId="3" borderId="11" xfId="3" applyNumberFormat="1" applyFont="1" applyFill="1" applyBorder="1" applyAlignment="1">
      <alignment horizontal="center" vertical="center" wrapText="1"/>
    </xf>
    <xf numFmtId="181" fontId="109" fillId="3" borderId="11" xfId="3" applyNumberFormat="1" applyFont="1" applyFill="1" applyBorder="1" applyAlignment="1">
      <alignment horizontal="center" vertical="center" wrapText="1"/>
    </xf>
    <xf numFmtId="165" fontId="49" fillId="6" borderId="11" xfId="3" applyNumberFormat="1" applyFont="1" applyFill="1" applyBorder="1" applyAlignment="1">
      <alignment horizontal="center" vertical="center" wrapText="1"/>
    </xf>
    <xf numFmtId="181" fontId="49" fillId="3" borderId="60" xfId="3" applyNumberFormat="1" applyFont="1" applyFill="1" applyBorder="1" applyAlignment="1">
      <alignment horizontal="center" vertical="center" wrapText="1"/>
    </xf>
    <xf numFmtId="0" fontId="0" fillId="0" borderId="11" xfId="0" applyBorder="1"/>
    <xf numFmtId="165" fontId="116" fillId="3" borderId="11" xfId="3" applyNumberFormat="1" applyFont="1" applyFill="1" applyBorder="1" applyAlignment="1">
      <alignment horizontal="center" vertical="center" wrapText="1"/>
    </xf>
    <xf numFmtId="165" fontId="116" fillId="0" borderId="4" xfId="3" applyNumberFormat="1" applyFont="1" applyFill="1" applyBorder="1" applyAlignment="1">
      <alignment horizontal="center" vertical="center" wrapText="1"/>
    </xf>
    <xf numFmtId="165" fontId="49" fillId="0" borderId="4" xfId="3" applyNumberFormat="1" applyFont="1" applyFill="1" applyBorder="1" applyAlignment="1">
      <alignment horizontal="center" vertical="center" wrapText="1"/>
    </xf>
    <xf numFmtId="181" fontId="109" fillId="0" borderId="4" xfId="3" applyNumberFormat="1" applyFont="1" applyFill="1" applyBorder="1" applyAlignment="1">
      <alignment horizontal="center" vertical="center" wrapText="1"/>
    </xf>
    <xf numFmtId="181" fontId="49" fillId="0" borderId="24" xfId="3" applyNumberFormat="1" applyFont="1" applyFill="1" applyBorder="1" applyAlignment="1">
      <alignment horizontal="center" vertical="center" wrapText="1"/>
    </xf>
    <xf numFmtId="181" fontId="49" fillId="0" borderId="11" xfId="3" applyNumberFormat="1" applyFont="1" applyFill="1" applyBorder="1" applyAlignment="1">
      <alignment horizontal="center" vertical="center" wrapText="1"/>
    </xf>
    <xf numFmtId="4" fontId="105" fillId="0" borderId="18" xfId="3" applyNumberFormat="1" applyFont="1" applyFill="1" applyBorder="1" applyAlignment="1">
      <alignment horizontal="center" vertical="center" wrapText="1"/>
    </xf>
    <xf numFmtId="4" fontId="105" fillId="0" borderId="19" xfId="3" applyNumberFormat="1" applyFont="1" applyFill="1" applyBorder="1" applyAlignment="1">
      <alignment horizontal="center" vertical="center" wrapText="1"/>
    </xf>
    <xf numFmtId="4" fontId="105" fillId="0" borderId="20" xfId="3" applyNumberFormat="1" applyFont="1" applyFill="1" applyBorder="1" applyAlignment="1">
      <alignment horizontal="center" vertical="center" wrapText="1"/>
    </xf>
    <xf numFmtId="4" fontId="105" fillId="0" borderId="58" xfId="3" applyNumberFormat="1" applyFont="1" applyFill="1" applyBorder="1" applyAlignment="1">
      <alignment horizontal="center" vertical="center" wrapText="1"/>
    </xf>
    <xf numFmtId="4" fontId="105" fillId="0" borderId="59" xfId="3" applyNumberFormat="1" applyFont="1" applyFill="1" applyBorder="1" applyAlignment="1">
      <alignment horizontal="center" vertical="center" wrapText="1"/>
    </xf>
    <xf numFmtId="4" fontId="114" fillId="0" borderId="18" xfId="3" applyNumberFormat="1" applyFont="1" applyFill="1" applyBorder="1" applyAlignment="1">
      <alignment horizontal="center" vertical="center" wrapText="1"/>
    </xf>
    <xf numFmtId="4" fontId="114" fillId="0" borderId="19" xfId="3" applyNumberFormat="1" applyFont="1" applyFill="1" applyBorder="1" applyAlignment="1">
      <alignment horizontal="center" vertical="center" wrapText="1"/>
    </xf>
    <xf numFmtId="4" fontId="114" fillId="0" borderId="20" xfId="3" applyNumberFormat="1" applyFont="1" applyFill="1" applyBorder="1" applyAlignment="1">
      <alignment horizontal="center" vertical="center" wrapText="1"/>
    </xf>
    <xf numFmtId="165" fontId="49" fillId="0" borderId="11" xfId="3" applyNumberFormat="1" applyFont="1" applyFill="1" applyBorder="1" applyAlignment="1">
      <alignment horizontal="center" vertical="center" wrapText="1"/>
    </xf>
    <xf numFmtId="181" fontId="109" fillId="0" borderId="11" xfId="3" applyNumberFormat="1" applyFont="1" applyFill="1" applyBorder="1" applyAlignment="1">
      <alignment horizontal="center" vertical="center" wrapText="1"/>
    </xf>
    <xf numFmtId="181" fontId="49" fillId="0" borderId="60" xfId="3" applyNumberFormat="1" applyFont="1" applyFill="1" applyBorder="1" applyAlignment="1">
      <alignment horizontal="center" vertical="center" wrapText="1"/>
    </xf>
    <xf numFmtId="0" fontId="0" fillId="0" borderId="11" xfId="0" applyFill="1" applyBorder="1"/>
    <xf numFmtId="165" fontId="116" fillId="0" borderId="11" xfId="3" applyNumberFormat="1" applyFont="1" applyFill="1" applyBorder="1" applyAlignment="1">
      <alignment horizontal="center" vertical="center" wrapText="1"/>
    </xf>
    <xf numFmtId="185" fontId="55" fillId="0" borderId="18" xfId="3" applyNumberFormat="1" applyFont="1" applyFill="1" applyBorder="1" applyAlignment="1">
      <alignment horizontal="center" vertical="center" wrapText="1"/>
    </xf>
    <xf numFmtId="185" fontId="55" fillId="0" borderId="19" xfId="3" applyNumberFormat="1" applyFont="1" applyFill="1" applyBorder="1" applyAlignment="1">
      <alignment horizontal="center" vertical="center" wrapText="1"/>
    </xf>
    <xf numFmtId="185" fontId="55" fillId="0" borderId="20" xfId="3" applyNumberFormat="1" applyFont="1" applyFill="1" applyBorder="1" applyAlignment="1">
      <alignment horizontal="center" vertical="center" wrapText="1"/>
    </xf>
    <xf numFmtId="181" fontId="51" fillId="0" borderId="18" xfId="3" applyNumberFormat="1" applyFont="1" applyFill="1" applyBorder="1" applyAlignment="1">
      <alignment horizontal="center" vertical="center" wrapText="1"/>
    </xf>
    <xf numFmtId="181" fontId="51" fillId="0" borderId="19" xfId="3" applyNumberFormat="1" applyFont="1" applyFill="1" applyBorder="1" applyAlignment="1">
      <alignment horizontal="center" vertical="center" wrapText="1"/>
    </xf>
    <xf numFmtId="181" fontId="51" fillId="0" borderId="20" xfId="3" applyNumberFormat="1" applyFont="1" applyFill="1" applyBorder="1" applyAlignment="1">
      <alignment horizontal="center" vertical="center" wrapText="1"/>
    </xf>
    <xf numFmtId="181" fontId="55" fillId="0" borderId="4" xfId="3" applyNumberFormat="1" applyFont="1" applyFill="1" applyBorder="1" applyAlignment="1">
      <alignment horizontal="center" vertical="center" wrapText="1"/>
    </xf>
    <xf numFmtId="181" fontId="51" fillId="0" borderId="10" xfId="2" applyNumberFormat="1" applyFont="1" applyFill="1" applyBorder="1" applyAlignment="1">
      <alignment horizontal="center" vertical="center" wrapText="1"/>
    </xf>
    <xf numFmtId="181" fontId="51" fillId="0" borderId="0" xfId="2" applyNumberFormat="1" applyFont="1" applyFill="1" applyBorder="1" applyAlignment="1">
      <alignment horizontal="center" vertical="center" wrapText="1"/>
    </xf>
    <xf numFmtId="181" fontId="51" fillId="0" borderId="8" xfId="2" applyNumberFormat="1" applyFont="1" applyFill="1" applyBorder="1" applyAlignment="1">
      <alignment horizontal="center" vertical="center" wrapText="1"/>
    </xf>
    <xf numFmtId="194" fontId="51" fillId="0" borderId="13" xfId="2" applyNumberFormat="1" applyFont="1" applyFill="1" applyBorder="1" applyAlignment="1">
      <alignment horizontal="center" vertical="center" wrapText="1"/>
    </xf>
    <xf numFmtId="167" fontId="51" fillId="0" borderId="21" xfId="3" applyNumberFormat="1" applyFont="1" applyFill="1" applyBorder="1" applyAlignment="1">
      <alignment horizontal="center" vertical="center" wrapText="1"/>
    </xf>
    <xf numFmtId="167" fontId="51" fillId="0" borderId="17" xfId="3" applyNumberFormat="1" applyFont="1" applyFill="1" applyBorder="1" applyAlignment="1">
      <alignment horizontal="center" vertical="center" wrapText="1"/>
    </xf>
    <xf numFmtId="167" fontId="51" fillId="0" borderId="22" xfId="3" applyNumberFormat="1" applyFont="1" applyFill="1" applyBorder="1" applyAlignment="1">
      <alignment horizontal="center" vertical="center" wrapText="1"/>
    </xf>
    <xf numFmtId="4" fontId="105" fillId="0" borderId="0" xfId="3" applyNumberFormat="1" applyFont="1" applyFill="1" applyBorder="1" applyAlignment="1">
      <alignment horizontal="right" vertical="center" wrapText="1"/>
    </xf>
    <xf numFmtId="4" fontId="105" fillId="0" borderId="40" xfId="3" applyNumberFormat="1" applyFont="1" applyFill="1" applyBorder="1" applyAlignment="1">
      <alignment horizontal="left" vertical="center" wrapText="1"/>
    </xf>
    <xf numFmtId="4" fontId="105" fillId="0" borderId="0" xfId="3" applyNumberFormat="1" applyFont="1" applyFill="1" applyBorder="1" applyAlignment="1">
      <alignment horizontal="center" vertical="center" wrapText="1"/>
    </xf>
    <xf numFmtId="4" fontId="55" fillId="0" borderId="0" xfId="3" applyNumberFormat="1" applyFont="1" applyFill="1" applyBorder="1" applyAlignment="1">
      <alignment horizontal="left" vertical="center" wrapText="1"/>
    </xf>
    <xf numFmtId="164" fontId="117" fillId="0" borderId="19" xfId="3" applyNumberFormat="1" applyFont="1" applyFill="1" applyBorder="1" applyAlignment="1">
      <alignment horizontal="center" vertical="center" wrapText="1"/>
    </xf>
    <xf numFmtId="3" fontId="45" fillId="0" borderId="3" xfId="17" applyNumberFormat="1" applyFont="1" applyBorder="1" applyAlignment="1">
      <alignment horizontal="left" vertical="center"/>
    </xf>
    <xf numFmtId="0" fontId="45" fillId="0" borderId="1" xfId="17" applyFont="1" applyBorder="1" applyAlignment="1">
      <alignment horizontal="left" vertical="center"/>
    </xf>
    <xf numFmtId="0" fontId="90" fillId="0" borderId="26" xfId="17" applyFont="1" applyFill="1" applyBorder="1" applyAlignment="1">
      <alignment horizontal="center" vertical="center" wrapText="1"/>
    </xf>
    <xf numFmtId="0" fontId="90" fillId="0" borderId="44" xfId="17" applyFont="1" applyFill="1" applyBorder="1" applyAlignment="1">
      <alignment horizontal="center" vertical="center" wrapText="1"/>
    </xf>
    <xf numFmtId="0" fontId="12" fillId="0" borderId="26" xfId="17" applyFont="1" applyFill="1" applyBorder="1" applyAlignment="1">
      <alignment horizontal="center" vertical="center" wrapText="1"/>
    </xf>
    <xf numFmtId="0" fontId="12" fillId="0" borderId="44" xfId="17" applyFont="1" applyFill="1" applyBorder="1" applyAlignment="1">
      <alignment horizontal="center" vertical="center" wrapText="1"/>
    </xf>
    <xf numFmtId="0" fontId="93" fillId="0" borderId="26" xfId="17" applyFont="1" applyFill="1" applyBorder="1" applyAlignment="1">
      <alignment horizontal="center" vertical="center" wrapText="1"/>
    </xf>
    <xf numFmtId="0" fontId="93" fillId="0" borderId="44" xfId="17" applyFont="1" applyFill="1" applyBorder="1" applyAlignment="1">
      <alignment horizontal="center" vertical="center" wrapText="1"/>
    </xf>
    <xf numFmtId="3" fontId="45" fillId="0" borderId="40" xfId="17" applyNumberFormat="1" applyFont="1" applyBorder="1" applyAlignment="1">
      <alignment horizontal="left" vertical="center"/>
    </xf>
    <xf numFmtId="3" fontId="45" fillId="0" borderId="0" xfId="17" applyNumberFormat="1" applyFont="1" applyBorder="1" applyAlignment="1">
      <alignment horizontal="left" vertical="center"/>
    </xf>
    <xf numFmtId="0" fontId="12" fillId="0" borderId="31" xfId="17" applyFont="1" applyFill="1" applyBorder="1" applyAlignment="1">
      <alignment horizontal="center" vertical="center" wrapText="1"/>
    </xf>
    <xf numFmtId="0" fontId="12" fillId="0" borderId="40" xfId="17" applyFont="1" applyFill="1" applyBorder="1" applyAlignment="1">
      <alignment horizontal="center" vertical="center" wrapText="1"/>
    </xf>
    <xf numFmtId="0" fontId="12" fillId="0" borderId="32" xfId="17" applyFont="1" applyFill="1" applyBorder="1" applyAlignment="1">
      <alignment horizontal="center" vertical="center" wrapText="1"/>
    </xf>
    <xf numFmtId="0" fontId="12" fillId="0" borderId="42" xfId="17" applyFont="1" applyFill="1" applyBorder="1" applyAlignment="1">
      <alignment horizontal="center" vertical="center" wrapText="1"/>
    </xf>
    <xf numFmtId="0" fontId="12" fillId="0" borderId="27" xfId="17" applyFont="1" applyFill="1" applyBorder="1" applyAlignment="1">
      <alignment horizontal="center" vertical="center" wrapText="1"/>
    </xf>
    <xf numFmtId="0" fontId="12" fillId="0" borderId="43" xfId="17" applyFont="1" applyFill="1" applyBorder="1" applyAlignment="1">
      <alignment horizontal="center" vertical="center" wrapText="1"/>
    </xf>
    <xf numFmtId="3" fontId="45" fillId="0" borderId="3" xfId="17" applyNumberFormat="1" applyFont="1" applyBorder="1" applyAlignment="1">
      <alignment horizontal="right" vertical="center"/>
    </xf>
    <xf numFmtId="0" fontId="45" fillId="0" borderId="1" xfId="17" applyFont="1" applyBorder="1" applyAlignment="1">
      <alignment horizontal="right" vertical="center"/>
    </xf>
    <xf numFmtId="3" fontId="45" fillId="0" borderId="40" xfId="17" applyNumberFormat="1" applyFont="1" applyBorder="1" applyAlignment="1">
      <alignment horizontal="right" vertical="center"/>
    </xf>
    <xf numFmtId="3" fontId="45" fillId="0" borderId="0" xfId="17" applyNumberFormat="1" applyFont="1" applyBorder="1" applyAlignment="1">
      <alignment horizontal="right" vertical="center"/>
    </xf>
    <xf numFmtId="188" fontId="13" fillId="0" borderId="3" xfId="17" applyNumberFormat="1" applyFont="1" applyFill="1" applyBorder="1" applyAlignment="1">
      <alignment horizontal="center" vertical="center"/>
    </xf>
    <xf numFmtId="188" fontId="13" fillId="0" borderId="1" xfId="17" applyNumberFormat="1" applyFont="1" applyFill="1" applyBorder="1" applyAlignment="1">
      <alignment horizontal="center" vertical="center"/>
    </xf>
    <xf numFmtId="188" fontId="13" fillId="0" borderId="40" xfId="17" applyNumberFormat="1" applyFont="1" applyFill="1" applyBorder="1" applyAlignment="1">
      <alignment horizontal="center" vertical="center"/>
    </xf>
    <xf numFmtId="0" fontId="53" fillId="0" borderId="27" xfId="17" applyFont="1" applyBorder="1" applyAlignment="1">
      <alignment horizontal="left" vertical="center"/>
    </xf>
    <xf numFmtId="0" fontId="9" fillId="0" borderId="0" xfId="18" applyFont="1" applyBorder="1" applyAlignment="1">
      <alignment horizontal="left" vertical="center"/>
    </xf>
    <xf numFmtId="0" fontId="45" fillId="0" borderId="29" xfId="18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45" fillId="0" borderId="26" xfId="18" applyFont="1" applyBorder="1" applyAlignment="1">
      <alignment horizontal="center" vertical="center" wrapText="1"/>
    </xf>
    <xf numFmtId="0" fontId="0" fillId="0" borderId="44" xfId="0" applyBorder="1"/>
    <xf numFmtId="0" fontId="104" fillId="0" borderId="26" xfId="18" applyFont="1" applyFill="1" applyBorder="1" applyAlignment="1">
      <alignment horizontal="center" vertical="center" wrapText="1"/>
    </xf>
    <xf numFmtId="0" fontId="105" fillId="0" borderId="29" xfId="18" applyFont="1" applyBorder="1" applyAlignment="1">
      <alignment horizontal="center" vertical="center" wrapText="1"/>
    </xf>
    <xf numFmtId="0" fontId="105" fillId="0" borderId="30" xfId="18" applyFont="1" applyBorder="1" applyAlignment="1">
      <alignment horizontal="center" vertical="center" wrapText="1"/>
    </xf>
    <xf numFmtId="0" fontId="13" fillId="0" borderId="15" xfId="18" applyFont="1" applyBorder="1" applyAlignment="1">
      <alignment horizontal="center" vertical="center" wrapText="1"/>
    </xf>
    <xf numFmtId="0" fontId="13" fillId="0" borderId="54" xfId="18" applyFont="1" applyBorder="1" applyAlignment="1">
      <alignment horizontal="center" vertical="center" wrapText="1"/>
    </xf>
    <xf numFmtId="0" fontId="45" fillId="0" borderId="29" xfId="18" applyFont="1" applyBorder="1" applyAlignment="1">
      <alignment horizontal="center" vertical="center"/>
    </xf>
    <xf numFmtId="0" fontId="45" fillId="0" borderId="31" xfId="18" applyFont="1" applyBorder="1" applyAlignment="1">
      <alignment horizontal="center" vertical="center" wrapText="1"/>
    </xf>
    <xf numFmtId="0" fontId="0" fillId="0" borderId="32" xfId="0" applyBorder="1"/>
    <xf numFmtId="0" fontId="0" fillId="0" borderId="42" xfId="0" applyBorder="1"/>
    <xf numFmtId="0" fontId="0" fillId="0" borderId="43" xfId="0" applyBorder="1"/>
    <xf numFmtId="0" fontId="45" fillId="0" borderId="28" xfId="18" applyFont="1" applyBorder="1" applyAlignment="1">
      <alignment horizontal="center" vertical="center" wrapText="1"/>
    </xf>
    <xf numFmtId="0" fontId="45" fillId="0" borderId="30" xfId="18" applyFont="1" applyBorder="1" applyAlignment="1">
      <alignment horizontal="center" vertical="center" wrapText="1"/>
    </xf>
    <xf numFmtId="0" fontId="0" fillId="0" borderId="40" xfId="0" applyBorder="1"/>
    <xf numFmtId="0" fontId="3" fillId="0" borderId="44" xfId="0" applyFont="1" applyBorder="1"/>
    <xf numFmtId="0" fontId="68" fillId="0" borderId="51" xfId="19" applyFont="1" applyBorder="1" applyAlignment="1">
      <alignment horizontal="center"/>
    </xf>
    <xf numFmtId="0" fontId="68" fillId="0" borderId="52" xfId="19" applyFont="1" applyBorder="1" applyAlignment="1">
      <alignment horizontal="center"/>
    </xf>
    <xf numFmtId="0" fontId="68" fillId="0" borderId="53" xfId="19" applyFont="1" applyBorder="1" applyAlignment="1">
      <alignment horizontal="center"/>
    </xf>
    <xf numFmtId="0" fontId="68" fillId="0" borderId="0" xfId="19" applyFont="1" applyAlignment="1">
      <alignment horizontal="center"/>
    </xf>
    <xf numFmtId="0" fontId="70" fillId="4" borderId="26" xfId="19" applyFont="1" applyFill="1" applyBorder="1" applyAlignment="1">
      <alignment horizontal="center" vertical="center" wrapText="1"/>
    </xf>
    <xf numFmtId="0" fontId="70" fillId="4" borderId="44" xfId="19" applyFont="1" applyFill="1" applyBorder="1" applyAlignment="1">
      <alignment horizontal="center" vertical="center" wrapText="1"/>
    </xf>
    <xf numFmtId="190" fontId="71" fillId="4" borderId="41" xfId="19" applyNumberFormat="1" applyFont="1" applyFill="1" applyBorder="1" applyAlignment="1">
      <alignment horizontal="center"/>
    </xf>
    <xf numFmtId="190" fontId="71" fillId="4" borderId="29" xfId="19" applyNumberFormat="1" applyFont="1" applyFill="1" applyBorder="1" applyAlignment="1">
      <alignment horizontal="center"/>
    </xf>
    <xf numFmtId="190" fontId="71" fillId="4" borderId="28" xfId="19" applyNumberFormat="1" applyFont="1" applyFill="1" applyBorder="1" applyAlignment="1">
      <alignment horizontal="center"/>
    </xf>
    <xf numFmtId="190" fontId="71" fillId="4" borderId="30" xfId="19" applyNumberFormat="1" applyFont="1" applyFill="1" applyBorder="1" applyAlignment="1">
      <alignment horizontal="center"/>
    </xf>
    <xf numFmtId="191" fontId="71" fillId="4" borderId="29" xfId="19" applyNumberFormat="1" applyFont="1" applyFill="1" applyBorder="1" applyAlignment="1">
      <alignment horizontal="center"/>
    </xf>
    <xf numFmtId="191" fontId="71" fillId="4" borderId="28" xfId="19" applyNumberFormat="1" applyFont="1" applyFill="1" applyBorder="1" applyAlignment="1">
      <alignment horizontal="center"/>
    </xf>
    <xf numFmtId="191" fontId="71" fillId="4" borderId="30" xfId="19" applyNumberFormat="1" applyFont="1" applyFill="1" applyBorder="1" applyAlignment="1">
      <alignment horizontal="center"/>
    </xf>
    <xf numFmtId="0" fontId="59" fillId="4" borderId="26" xfId="19" applyFont="1" applyFill="1" applyBorder="1" applyAlignment="1">
      <alignment horizontal="center" vertical="center" wrapText="1"/>
    </xf>
    <xf numFmtId="0" fontId="59" fillId="4" borderId="44" xfId="19" applyFont="1" applyFill="1" applyBorder="1" applyAlignment="1">
      <alignment horizontal="center" vertical="center" wrapText="1"/>
    </xf>
    <xf numFmtId="0" fontId="73" fillId="0" borderId="29" xfId="19" applyFont="1" applyBorder="1" applyAlignment="1">
      <alignment horizontal="center" vertical="center" wrapText="1"/>
    </xf>
    <xf numFmtId="0" fontId="73" fillId="0" borderId="30" xfId="19" applyFont="1" applyBorder="1" applyAlignment="1">
      <alignment horizontal="center" vertical="center" wrapText="1"/>
    </xf>
    <xf numFmtId="0" fontId="73" fillId="0" borderId="28" xfId="19" applyFont="1" applyBorder="1" applyAlignment="1">
      <alignment horizontal="center" vertical="center" wrapText="1"/>
    </xf>
  </cellXfs>
  <cellStyles count="21">
    <cellStyle name="Comma" xfId="1" builtinId="3"/>
    <cellStyle name="Millares 2" xfId="2"/>
    <cellStyle name="Millares 2 2" xfId="9"/>
    <cellStyle name="Millares 3" xfId="5"/>
    <cellStyle name="Moneda 2" xfId="10"/>
    <cellStyle name="Normal" xfId="0" builtinId="0"/>
    <cellStyle name="Normal 2" xfId="3"/>
    <cellStyle name="Normal 2 2" xfId="6"/>
    <cellStyle name="Normal 3" xfId="7"/>
    <cellStyle name="Normal 3 2" xfId="11"/>
    <cellStyle name="Normal 3 2 2" xfId="12"/>
    <cellStyle name="Normal 3 2 2 2" xfId="13"/>
    <cellStyle name="Normal 4" xfId="8"/>
    <cellStyle name="Normal 4 2" xfId="14"/>
    <cellStyle name="Normal 5" xfId="17"/>
    <cellStyle name="Normal 5 2" xfId="18"/>
    <cellStyle name="Normal 6" xfId="20"/>
    <cellStyle name="Normal_2001-07 Analisis de cargas" xfId="4"/>
    <cellStyle name="Normal_TABLAS DE HORMIGON  ARMADO" xfId="19"/>
    <cellStyle name="Porcentual 2" xfId="15"/>
    <cellStyle name="Porcentual 3" xfId="16"/>
  </cellStyles>
  <dxfs count="0"/>
  <tableStyles count="0" defaultTableStyle="TableStyleMedium9" defaultPivotStyle="PivotStyleLight16"/>
  <colors>
    <mruColors>
      <color rgb="FFFFFF99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3</xdr:row>
      <xdr:rowOff>152400</xdr:rowOff>
    </xdr:from>
    <xdr:to>
      <xdr:col>16</xdr:col>
      <xdr:colOff>771525</xdr:colOff>
      <xdr:row>10</xdr:row>
      <xdr:rowOff>180975</xdr:rowOff>
    </xdr:to>
    <xdr:sp macro="" textlink="">
      <xdr:nvSpPr>
        <xdr:cNvPr id="81921" name="AutoShape 1"/>
        <xdr:cNvSpPr>
          <a:spLocks noChangeAspect="1" noChangeArrowheads="1"/>
        </xdr:cNvSpPr>
      </xdr:nvSpPr>
      <xdr:spPr bwMode="auto">
        <a:xfrm>
          <a:off x="8277225" y="981075"/>
          <a:ext cx="636270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3</xdr:row>
      <xdr:rowOff>200024</xdr:rowOff>
    </xdr:from>
    <xdr:to>
      <xdr:col>3</xdr:col>
      <xdr:colOff>238126</xdr:colOff>
      <xdr:row>7</xdr:row>
      <xdr:rowOff>4732</xdr:rowOff>
    </xdr:to>
    <xdr:grpSp>
      <xdr:nvGrpSpPr>
        <xdr:cNvPr id="2" name="Group 273"/>
        <xdr:cNvGrpSpPr>
          <a:grpSpLocks/>
        </xdr:cNvGrpSpPr>
      </xdr:nvGrpSpPr>
      <xdr:grpSpPr bwMode="auto">
        <a:xfrm rot="5400000">
          <a:off x="1216835" y="1050115"/>
          <a:ext cx="604808" cy="104775"/>
          <a:chOff x="88" y="155"/>
          <a:chExt cx="74" cy="11"/>
        </a:xfrm>
      </xdr:grpSpPr>
      <xdr:sp macro="" textlink="">
        <xdr:nvSpPr>
          <xdr:cNvPr id="3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5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9525</xdr:colOff>
      <xdr:row>8</xdr:row>
      <xdr:rowOff>6310</xdr:rowOff>
    </xdr:from>
    <xdr:to>
      <xdr:col>3</xdr:col>
      <xdr:colOff>9525</xdr:colOff>
      <xdr:row>8</xdr:row>
      <xdr:rowOff>115512</xdr:rowOff>
    </xdr:to>
    <xdr:grpSp>
      <xdr:nvGrpSpPr>
        <xdr:cNvPr id="10" name="Group 272"/>
        <xdr:cNvGrpSpPr>
          <a:grpSpLocks/>
        </xdr:cNvGrpSpPr>
      </xdr:nvGrpSpPr>
      <xdr:grpSpPr bwMode="auto">
        <a:xfrm>
          <a:off x="638175" y="1606510"/>
          <a:ext cx="704850" cy="109202"/>
          <a:chOff x="88" y="155"/>
          <a:chExt cx="74" cy="11"/>
        </a:xfrm>
      </xdr:grpSpPr>
      <xdr:sp macro="" textlink="">
        <xdr:nvSpPr>
          <xdr:cNvPr id="11" name="Line 269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2" name="Line 27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3" name="Line 27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32</xdr:row>
      <xdr:rowOff>69372</xdr:rowOff>
    </xdr:from>
    <xdr:to>
      <xdr:col>3</xdr:col>
      <xdr:colOff>0</xdr:colOff>
      <xdr:row>32</xdr:row>
      <xdr:rowOff>178574</xdr:rowOff>
    </xdr:to>
    <xdr:grpSp>
      <xdr:nvGrpSpPr>
        <xdr:cNvPr id="34" name="Group 704"/>
        <xdr:cNvGrpSpPr>
          <a:grpSpLocks/>
        </xdr:cNvGrpSpPr>
      </xdr:nvGrpSpPr>
      <xdr:grpSpPr bwMode="auto">
        <a:xfrm>
          <a:off x="628650" y="6470172"/>
          <a:ext cx="704850" cy="109202"/>
          <a:chOff x="88" y="155"/>
          <a:chExt cx="74" cy="11"/>
        </a:xfrm>
      </xdr:grpSpPr>
      <xdr:sp macro="" textlink="">
        <xdr:nvSpPr>
          <xdr:cNvPr id="35" name="Line 705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6" name="Line 706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7" name="Line 707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9525</xdr:colOff>
      <xdr:row>40</xdr:row>
      <xdr:rowOff>73592</xdr:rowOff>
    </xdr:from>
    <xdr:to>
      <xdr:col>3</xdr:col>
      <xdr:colOff>9525</xdr:colOff>
      <xdr:row>40</xdr:row>
      <xdr:rowOff>182794</xdr:rowOff>
    </xdr:to>
    <xdr:grpSp>
      <xdr:nvGrpSpPr>
        <xdr:cNvPr id="38" name="Group 708"/>
        <xdr:cNvGrpSpPr>
          <a:grpSpLocks/>
        </xdr:cNvGrpSpPr>
      </xdr:nvGrpSpPr>
      <xdr:grpSpPr bwMode="auto">
        <a:xfrm>
          <a:off x="638175" y="8074592"/>
          <a:ext cx="704850" cy="109202"/>
          <a:chOff x="88" y="155"/>
          <a:chExt cx="74" cy="11"/>
        </a:xfrm>
      </xdr:grpSpPr>
      <xdr:sp macro="" textlink="">
        <xdr:nvSpPr>
          <xdr:cNvPr id="39" name="Line 709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0" name="Line 71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1" name="Line 71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48</xdr:row>
      <xdr:rowOff>86212</xdr:rowOff>
    </xdr:from>
    <xdr:to>
      <xdr:col>3</xdr:col>
      <xdr:colOff>0</xdr:colOff>
      <xdr:row>48</xdr:row>
      <xdr:rowOff>195414</xdr:rowOff>
    </xdr:to>
    <xdr:grpSp>
      <xdr:nvGrpSpPr>
        <xdr:cNvPr id="42" name="Group 712"/>
        <xdr:cNvGrpSpPr>
          <a:grpSpLocks/>
        </xdr:cNvGrpSpPr>
      </xdr:nvGrpSpPr>
      <xdr:grpSpPr bwMode="auto">
        <a:xfrm>
          <a:off x="628650" y="9687412"/>
          <a:ext cx="704850" cy="109202"/>
          <a:chOff x="88" y="155"/>
          <a:chExt cx="74" cy="11"/>
        </a:xfrm>
      </xdr:grpSpPr>
      <xdr:sp macro="" textlink="">
        <xdr:nvSpPr>
          <xdr:cNvPr id="43" name="Line 713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4" name="Line 71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5" name="Line 71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9525</xdr:colOff>
      <xdr:row>64</xdr:row>
      <xdr:rowOff>74704</xdr:rowOff>
    </xdr:from>
    <xdr:to>
      <xdr:col>3</xdr:col>
      <xdr:colOff>9525</xdr:colOff>
      <xdr:row>64</xdr:row>
      <xdr:rowOff>183906</xdr:rowOff>
    </xdr:to>
    <xdr:grpSp>
      <xdr:nvGrpSpPr>
        <xdr:cNvPr id="62" name="Group 732"/>
        <xdr:cNvGrpSpPr>
          <a:grpSpLocks/>
        </xdr:cNvGrpSpPr>
      </xdr:nvGrpSpPr>
      <xdr:grpSpPr bwMode="auto">
        <a:xfrm>
          <a:off x="638175" y="12876304"/>
          <a:ext cx="704850" cy="109202"/>
          <a:chOff x="88" y="155"/>
          <a:chExt cx="74" cy="11"/>
        </a:xfrm>
      </xdr:grpSpPr>
      <xdr:sp macro="" textlink="">
        <xdr:nvSpPr>
          <xdr:cNvPr id="63" name="Line 733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4" name="Line 73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5" name="Line 73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80</xdr:row>
      <xdr:rowOff>70102</xdr:rowOff>
    </xdr:from>
    <xdr:to>
      <xdr:col>3</xdr:col>
      <xdr:colOff>0</xdr:colOff>
      <xdr:row>80</xdr:row>
      <xdr:rowOff>179304</xdr:rowOff>
    </xdr:to>
    <xdr:grpSp>
      <xdr:nvGrpSpPr>
        <xdr:cNvPr id="82" name="Group 752"/>
        <xdr:cNvGrpSpPr>
          <a:grpSpLocks/>
        </xdr:cNvGrpSpPr>
      </xdr:nvGrpSpPr>
      <xdr:grpSpPr bwMode="auto">
        <a:xfrm>
          <a:off x="628650" y="16072102"/>
          <a:ext cx="704850" cy="109202"/>
          <a:chOff x="88" y="155"/>
          <a:chExt cx="74" cy="11"/>
        </a:xfrm>
      </xdr:grpSpPr>
      <xdr:sp macro="" textlink="">
        <xdr:nvSpPr>
          <xdr:cNvPr id="83" name="Line 753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84" name="Line 75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85" name="Line 75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142876</xdr:colOff>
      <xdr:row>172</xdr:row>
      <xdr:rowOff>4697</xdr:rowOff>
    </xdr:from>
    <xdr:to>
      <xdr:col>3</xdr:col>
      <xdr:colOff>247651</xdr:colOff>
      <xdr:row>175</xdr:row>
      <xdr:rowOff>9430</xdr:rowOff>
    </xdr:to>
    <xdr:grpSp>
      <xdr:nvGrpSpPr>
        <xdr:cNvPr id="118" name="Group 788"/>
        <xdr:cNvGrpSpPr>
          <a:grpSpLocks/>
        </xdr:cNvGrpSpPr>
      </xdr:nvGrpSpPr>
      <xdr:grpSpPr bwMode="auto">
        <a:xfrm rot="5400000">
          <a:off x="1226360" y="34659013"/>
          <a:ext cx="604808" cy="104775"/>
          <a:chOff x="88" y="155"/>
          <a:chExt cx="74" cy="11"/>
        </a:xfrm>
      </xdr:grpSpPr>
      <xdr:sp macro="" textlink="">
        <xdr:nvSpPr>
          <xdr:cNvPr id="119" name="Line 789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20" name="Line 79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21" name="Line 79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179</xdr:row>
      <xdr:rowOff>91267</xdr:rowOff>
    </xdr:from>
    <xdr:to>
      <xdr:col>3</xdr:col>
      <xdr:colOff>238126</xdr:colOff>
      <xdr:row>182</xdr:row>
      <xdr:rowOff>96000</xdr:rowOff>
    </xdr:to>
    <xdr:grpSp>
      <xdr:nvGrpSpPr>
        <xdr:cNvPr id="122" name="Group 792"/>
        <xdr:cNvGrpSpPr>
          <a:grpSpLocks/>
        </xdr:cNvGrpSpPr>
      </xdr:nvGrpSpPr>
      <xdr:grpSpPr bwMode="auto">
        <a:xfrm rot="5400000">
          <a:off x="1216835" y="36145758"/>
          <a:ext cx="604808" cy="104775"/>
          <a:chOff x="88" y="155"/>
          <a:chExt cx="74" cy="11"/>
        </a:xfrm>
      </xdr:grpSpPr>
      <xdr:sp macro="" textlink="">
        <xdr:nvSpPr>
          <xdr:cNvPr id="123" name="Line 793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24" name="Line 79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25" name="Line 79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133349</xdr:colOff>
      <xdr:row>187</xdr:row>
      <xdr:rowOff>112288</xdr:rowOff>
    </xdr:from>
    <xdr:to>
      <xdr:col>3</xdr:col>
      <xdr:colOff>238124</xdr:colOff>
      <xdr:row>190</xdr:row>
      <xdr:rowOff>108620</xdr:rowOff>
    </xdr:to>
    <xdr:grpSp>
      <xdr:nvGrpSpPr>
        <xdr:cNvPr id="126" name="Group 796"/>
        <xdr:cNvGrpSpPr>
          <a:grpSpLocks/>
        </xdr:cNvGrpSpPr>
      </xdr:nvGrpSpPr>
      <xdr:grpSpPr bwMode="auto">
        <a:xfrm rot="5400000">
          <a:off x="1221033" y="37762779"/>
          <a:ext cx="596407" cy="104775"/>
          <a:chOff x="88" y="155"/>
          <a:chExt cx="74" cy="11"/>
        </a:xfrm>
      </xdr:grpSpPr>
      <xdr:sp macro="" textlink="">
        <xdr:nvSpPr>
          <xdr:cNvPr id="127" name="Line 797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28" name="Line 79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29" name="Line 79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195</xdr:row>
      <xdr:rowOff>116507</xdr:rowOff>
    </xdr:from>
    <xdr:to>
      <xdr:col>3</xdr:col>
      <xdr:colOff>238126</xdr:colOff>
      <xdr:row>198</xdr:row>
      <xdr:rowOff>121240</xdr:rowOff>
    </xdr:to>
    <xdr:grpSp>
      <xdr:nvGrpSpPr>
        <xdr:cNvPr id="142" name="Group 812"/>
        <xdr:cNvGrpSpPr>
          <a:grpSpLocks/>
        </xdr:cNvGrpSpPr>
      </xdr:nvGrpSpPr>
      <xdr:grpSpPr bwMode="auto">
        <a:xfrm rot="5400000">
          <a:off x="1216835" y="39371398"/>
          <a:ext cx="604808" cy="104775"/>
          <a:chOff x="88" y="155"/>
          <a:chExt cx="74" cy="11"/>
        </a:xfrm>
      </xdr:grpSpPr>
      <xdr:sp macro="" textlink="">
        <xdr:nvSpPr>
          <xdr:cNvPr id="143" name="Line 813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44" name="Line 81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45" name="Line 81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112</xdr:row>
      <xdr:rowOff>103782</xdr:rowOff>
    </xdr:from>
    <xdr:to>
      <xdr:col>3</xdr:col>
      <xdr:colOff>0</xdr:colOff>
      <xdr:row>113</xdr:row>
      <xdr:rowOff>12959</xdr:rowOff>
    </xdr:to>
    <xdr:grpSp>
      <xdr:nvGrpSpPr>
        <xdr:cNvPr id="158" name="Group 876"/>
        <xdr:cNvGrpSpPr>
          <a:grpSpLocks/>
        </xdr:cNvGrpSpPr>
      </xdr:nvGrpSpPr>
      <xdr:grpSpPr bwMode="auto">
        <a:xfrm>
          <a:off x="628650" y="22506582"/>
          <a:ext cx="704850" cy="109202"/>
          <a:chOff x="88" y="155"/>
          <a:chExt cx="74" cy="11"/>
        </a:xfrm>
      </xdr:grpSpPr>
      <xdr:sp macro="" textlink="">
        <xdr:nvSpPr>
          <xdr:cNvPr id="159" name="Line 8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60" name="Line 8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61" name="Line 8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115</xdr:row>
      <xdr:rowOff>193704</xdr:rowOff>
    </xdr:from>
    <xdr:to>
      <xdr:col>3</xdr:col>
      <xdr:colOff>238126</xdr:colOff>
      <xdr:row>118</xdr:row>
      <xdr:rowOff>198437</xdr:rowOff>
    </xdr:to>
    <xdr:grpSp>
      <xdr:nvGrpSpPr>
        <xdr:cNvPr id="166" name="Group 884"/>
        <xdr:cNvGrpSpPr>
          <a:grpSpLocks/>
        </xdr:cNvGrpSpPr>
      </xdr:nvGrpSpPr>
      <xdr:grpSpPr bwMode="auto">
        <a:xfrm rot="5400000">
          <a:off x="1216835" y="23446595"/>
          <a:ext cx="604808" cy="104775"/>
          <a:chOff x="88" y="155"/>
          <a:chExt cx="74" cy="11"/>
        </a:xfrm>
      </xdr:grpSpPr>
      <xdr:sp macro="" textlink="">
        <xdr:nvSpPr>
          <xdr:cNvPr id="167" name="Line 885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68" name="Line 886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69" name="Line 887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123</xdr:row>
      <xdr:rowOff>195675</xdr:rowOff>
    </xdr:from>
    <xdr:to>
      <xdr:col>3</xdr:col>
      <xdr:colOff>238126</xdr:colOff>
      <xdr:row>127</xdr:row>
      <xdr:rowOff>383</xdr:rowOff>
    </xdr:to>
    <xdr:grpSp>
      <xdr:nvGrpSpPr>
        <xdr:cNvPr id="170" name="Group 888"/>
        <xdr:cNvGrpSpPr>
          <a:grpSpLocks/>
        </xdr:cNvGrpSpPr>
      </xdr:nvGrpSpPr>
      <xdr:grpSpPr bwMode="auto">
        <a:xfrm rot="5400000">
          <a:off x="1216835" y="25048766"/>
          <a:ext cx="604808" cy="104775"/>
          <a:chOff x="88" y="155"/>
          <a:chExt cx="74" cy="11"/>
        </a:xfrm>
      </xdr:grpSpPr>
      <xdr:sp macro="" textlink="">
        <xdr:nvSpPr>
          <xdr:cNvPr id="171" name="Line 889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172" name="Line 89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173" name="Line 89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12</xdr:row>
      <xdr:rowOff>12620</xdr:rowOff>
    </xdr:from>
    <xdr:to>
      <xdr:col>3</xdr:col>
      <xdr:colOff>238126</xdr:colOff>
      <xdr:row>15</xdr:row>
      <xdr:rowOff>17353</xdr:rowOff>
    </xdr:to>
    <xdr:grpSp>
      <xdr:nvGrpSpPr>
        <xdr:cNvPr id="202" name="Group 273"/>
        <xdr:cNvGrpSpPr>
          <a:grpSpLocks/>
        </xdr:cNvGrpSpPr>
      </xdr:nvGrpSpPr>
      <xdr:grpSpPr bwMode="auto">
        <a:xfrm rot="5400000">
          <a:off x="1216835" y="2662936"/>
          <a:ext cx="604808" cy="104775"/>
          <a:chOff x="88" y="155"/>
          <a:chExt cx="74" cy="11"/>
        </a:xfrm>
      </xdr:grpSpPr>
      <xdr:sp macro="" textlink="">
        <xdr:nvSpPr>
          <xdr:cNvPr id="203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04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05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20</xdr:row>
      <xdr:rowOff>6190</xdr:rowOff>
    </xdr:from>
    <xdr:to>
      <xdr:col>3</xdr:col>
      <xdr:colOff>238126</xdr:colOff>
      <xdr:row>23</xdr:row>
      <xdr:rowOff>10923</xdr:rowOff>
    </xdr:to>
    <xdr:grpSp>
      <xdr:nvGrpSpPr>
        <xdr:cNvPr id="206" name="Group 273"/>
        <xdr:cNvGrpSpPr>
          <a:grpSpLocks/>
        </xdr:cNvGrpSpPr>
      </xdr:nvGrpSpPr>
      <xdr:grpSpPr bwMode="auto">
        <a:xfrm rot="5400000">
          <a:off x="1216835" y="4256706"/>
          <a:ext cx="604808" cy="104775"/>
          <a:chOff x="88" y="155"/>
          <a:chExt cx="74" cy="11"/>
        </a:xfrm>
      </xdr:grpSpPr>
      <xdr:sp macro="" textlink="">
        <xdr:nvSpPr>
          <xdr:cNvPr id="207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08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09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27</xdr:row>
      <xdr:rowOff>180735</xdr:rowOff>
    </xdr:from>
    <xdr:to>
      <xdr:col>3</xdr:col>
      <xdr:colOff>238126</xdr:colOff>
      <xdr:row>30</xdr:row>
      <xdr:rowOff>185468</xdr:rowOff>
    </xdr:to>
    <xdr:grpSp>
      <xdr:nvGrpSpPr>
        <xdr:cNvPr id="210" name="Group 273"/>
        <xdr:cNvGrpSpPr>
          <a:grpSpLocks/>
        </xdr:cNvGrpSpPr>
      </xdr:nvGrpSpPr>
      <xdr:grpSpPr bwMode="auto">
        <a:xfrm rot="5400000">
          <a:off x="1216835" y="5831426"/>
          <a:ext cx="604808" cy="104775"/>
          <a:chOff x="88" y="155"/>
          <a:chExt cx="74" cy="11"/>
        </a:xfrm>
      </xdr:grpSpPr>
      <xdr:sp macro="" textlink="">
        <xdr:nvSpPr>
          <xdr:cNvPr id="211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12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13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35</xdr:row>
      <xdr:rowOff>193356</xdr:rowOff>
    </xdr:from>
    <xdr:to>
      <xdr:col>3</xdr:col>
      <xdr:colOff>238126</xdr:colOff>
      <xdr:row>38</xdr:row>
      <xdr:rowOff>198089</xdr:rowOff>
    </xdr:to>
    <xdr:grpSp>
      <xdr:nvGrpSpPr>
        <xdr:cNvPr id="214" name="Group 273"/>
        <xdr:cNvGrpSpPr>
          <a:grpSpLocks/>
        </xdr:cNvGrpSpPr>
      </xdr:nvGrpSpPr>
      <xdr:grpSpPr bwMode="auto">
        <a:xfrm rot="5400000">
          <a:off x="1216835" y="7444247"/>
          <a:ext cx="604808" cy="104775"/>
          <a:chOff x="88" y="155"/>
          <a:chExt cx="74" cy="11"/>
        </a:xfrm>
      </xdr:grpSpPr>
      <xdr:sp macro="" textlink="">
        <xdr:nvSpPr>
          <xdr:cNvPr id="215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16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17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43</xdr:row>
      <xdr:rowOff>196451</xdr:rowOff>
    </xdr:from>
    <xdr:to>
      <xdr:col>3</xdr:col>
      <xdr:colOff>238126</xdr:colOff>
      <xdr:row>47</xdr:row>
      <xdr:rowOff>1159</xdr:rowOff>
    </xdr:to>
    <xdr:grpSp>
      <xdr:nvGrpSpPr>
        <xdr:cNvPr id="218" name="Group 273"/>
        <xdr:cNvGrpSpPr>
          <a:grpSpLocks/>
        </xdr:cNvGrpSpPr>
      </xdr:nvGrpSpPr>
      <xdr:grpSpPr bwMode="auto">
        <a:xfrm rot="5400000">
          <a:off x="1216835" y="9047542"/>
          <a:ext cx="604808" cy="104775"/>
          <a:chOff x="88" y="155"/>
          <a:chExt cx="74" cy="11"/>
        </a:xfrm>
      </xdr:grpSpPr>
      <xdr:sp macro="" textlink="">
        <xdr:nvSpPr>
          <xdr:cNvPr id="219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20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9525</xdr:colOff>
      <xdr:row>24</xdr:row>
      <xdr:rowOff>61887</xdr:rowOff>
    </xdr:from>
    <xdr:to>
      <xdr:col>3</xdr:col>
      <xdr:colOff>9525</xdr:colOff>
      <xdr:row>24</xdr:row>
      <xdr:rowOff>165255</xdr:rowOff>
    </xdr:to>
    <xdr:grpSp>
      <xdr:nvGrpSpPr>
        <xdr:cNvPr id="342" name="Group 279"/>
        <xdr:cNvGrpSpPr>
          <a:grpSpLocks/>
        </xdr:cNvGrpSpPr>
      </xdr:nvGrpSpPr>
      <xdr:grpSpPr bwMode="auto">
        <a:xfrm>
          <a:off x="638175" y="4862487"/>
          <a:ext cx="704850" cy="103368"/>
          <a:chOff x="88" y="155"/>
          <a:chExt cx="74" cy="11"/>
        </a:xfrm>
      </xdr:grpSpPr>
      <xdr:sp macro="" textlink="">
        <xdr:nvSpPr>
          <xdr:cNvPr id="343" name="Line 280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44" name="Line 281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45" name="Line 282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227</xdr:row>
      <xdr:rowOff>150189</xdr:rowOff>
    </xdr:from>
    <xdr:to>
      <xdr:col>3</xdr:col>
      <xdr:colOff>238126</xdr:colOff>
      <xdr:row>230</xdr:row>
      <xdr:rowOff>154922</xdr:rowOff>
    </xdr:to>
    <xdr:grpSp>
      <xdr:nvGrpSpPr>
        <xdr:cNvPr id="242" name="Group 768"/>
        <xdr:cNvGrpSpPr>
          <a:grpSpLocks/>
        </xdr:cNvGrpSpPr>
      </xdr:nvGrpSpPr>
      <xdr:grpSpPr bwMode="auto">
        <a:xfrm rot="5400000">
          <a:off x="1216835" y="45805880"/>
          <a:ext cx="604808" cy="104775"/>
          <a:chOff x="88" y="155"/>
          <a:chExt cx="74" cy="11"/>
        </a:xfrm>
      </xdr:grpSpPr>
      <xdr:sp macro="" textlink="">
        <xdr:nvSpPr>
          <xdr:cNvPr id="243" name="Line 769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44" name="Line 77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45" name="Line 77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133349</xdr:colOff>
      <xdr:row>235</xdr:row>
      <xdr:rowOff>171210</xdr:rowOff>
    </xdr:from>
    <xdr:to>
      <xdr:col>3</xdr:col>
      <xdr:colOff>238124</xdr:colOff>
      <xdr:row>238</xdr:row>
      <xdr:rowOff>167542</xdr:rowOff>
    </xdr:to>
    <xdr:grpSp>
      <xdr:nvGrpSpPr>
        <xdr:cNvPr id="246" name="Group 772"/>
        <xdr:cNvGrpSpPr>
          <a:grpSpLocks/>
        </xdr:cNvGrpSpPr>
      </xdr:nvGrpSpPr>
      <xdr:grpSpPr bwMode="auto">
        <a:xfrm rot="5400000">
          <a:off x="1221033" y="47422901"/>
          <a:ext cx="596407" cy="104775"/>
          <a:chOff x="88" y="155"/>
          <a:chExt cx="74" cy="11"/>
        </a:xfrm>
      </xdr:grpSpPr>
      <xdr:sp macro="" textlink="">
        <xdr:nvSpPr>
          <xdr:cNvPr id="247" name="Line 773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48" name="Line 77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49" name="Line 77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232</xdr:row>
      <xdr:rowOff>3117</xdr:rowOff>
    </xdr:from>
    <xdr:to>
      <xdr:col>3</xdr:col>
      <xdr:colOff>0</xdr:colOff>
      <xdr:row>232</xdr:row>
      <xdr:rowOff>112319</xdr:rowOff>
    </xdr:to>
    <xdr:grpSp>
      <xdr:nvGrpSpPr>
        <xdr:cNvPr id="250" name="Group 776"/>
        <xdr:cNvGrpSpPr>
          <a:grpSpLocks/>
        </xdr:cNvGrpSpPr>
      </xdr:nvGrpSpPr>
      <xdr:grpSpPr bwMode="auto">
        <a:xfrm>
          <a:off x="628650" y="46408917"/>
          <a:ext cx="704850" cy="109202"/>
          <a:chOff x="88" y="155"/>
          <a:chExt cx="74" cy="11"/>
        </a:xfrm>
      </xdr:grpSpPr>
      <xdr:sp macro="" textlink="">
        <xdr:nvSpPr>
          <xdr:cNvPr id="251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52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53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243</xdr:row>
      <xdr:rowOff>175430</xdr:rowOff>
    </xdr:from>
    <xdr:to>
      <xdr:col>3</xdr:col>
      <xdr:colOff>238126</xdr:colOff>
      <xdr:row>246</xdr:row>
      <xdr:rowOff>180163</xdr:rowOff>
    </xdr:to>
    <xdr:grpSp>
      <xdr:nvGrpSpPr>
        <xdr:cNvPr id="262" name="Group 788"/>
        <xdr:cNvGrpSpPr>
          <a:grpSpLocks/>
        </xdr:cNvGrpSpPr>
      </xdr:nvGrpSpPr>
      <xdr:grpSpPr bwMode="auto">
        <a:xfrm rot="5400000">
          <a:off x="1216835" y="49031521"/>
          <a:ext cx="604808" cy="104775"/>
          <a:chOff x="88" y="155"/>
          <a:chExt cx="74" cy="11"/>
        </a:xfrm>
      </xdr:grpSpPr>
      <xdr:sp macro="" textlink="">
        <xdr:nvSpPr>
          <xdr:cNvPr id="263" name="Line 789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64" name="Line 79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65" name="Line 79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252</xdr:row>
      <xdr:rowOff>4825</xdr:rowOff>
    </xdr:from>
    <xdr:to>
      <xdr:col>3</xdr:col>
      <xdr:colOff>238126</xdr:colOff>
      <xdr:row>255</xdr:row>
      <xdr:rowOff>9558</xdr:rowOff>
    </xdr:to>
    <xdr:grpSp>
      <xdr:nvGrpSpPr>
        <xdr:cNvPr id="266" name="Group 792"/>
        <xdr:cNvGrpSpPr>
          <a:grpSpLocks/>
        </xdr:cNvGrpSpPr>
      </xdr:nvGrpSpPr>
      <xdr:grpSpPr bwMode="auto">
        <a:xfrm rot="5400000">
          <a:off x="1216835" y="50661141"/>
          <a:ext cx="604808" cy="104775"/>
          <a:chOff x="88" y="155"/>
          <a:chExt cx="74" cy="11"/>
        </a:xfrm>
      </xdr:grpSpPr>
      <xdr:sp macro="" textlink="">
        <xdr:nvSpPr>
          <xdr:cNvPr id="267" name="Line 793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68" name="Line 79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69" name="Line 79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256</xdr:row>
      <xdr:rowOff>38657</xdr:rowOff>
    </xdr:from>
    <xdr:to>
      <xdr:col>3</xdr:col>
      <xdr:colOff>0</xdr:colOff>
      <xdr:row>256</xdr:row>
      <xdr:rowOff>147859</xdr:rowOff>
    </xdr:to>
    <xdr:grpSp>
      <xdr:nvGrpSpPr>
        <xdr:cNvPr id="274" name="Group 800"/>
        <xdr:cNvGrpSpPr>
          <a:grpSpLocks/>
        </xdr:cNvGrpSpPr>
      </xdr:nvGrpSpPr>
      <xdr:grpSpPr bwMode="auto">
        <a:xfrm>
          <a:off x="628650" y="51245057"/>
          <a:ext cx="704850" cy="109202"/>
          <a:chOff x="88" y="155"/>
          <a:chExt cx="74" cy="11"/>
        </a:xfrm>
      </xdr:grpSpPr>
      <xdr:sp macro="" textlink="">
        <xdr:nvSpPr>
          <xdr:cNvPr id="275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76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77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133349</xdr:colOff>
      <xdr:row>203</xdr:row>
      <xdr:rowOff>112328</xdr:rowOff>
    </xdr:from>
    <xdr:to>
      <xdr:col>3</xdr:col>
      <xdr:colOff>238124</xdr:colOff>
      <xdr:row>206</xdr:row>
      <xdr:rowOff>108660</xdr:rowOff>
    </xdr:to>
    <xdr:grpSp>
      <xdr:nvGrpSpPr>
        <xdr:cNvPr id="290" name="Group 892"/>
        <xdr:cNvGrpSpPr>
          <a:grpSpLocks/>
        </xdr:cNvGrpSpPr>
      </xdr:nvGrpSpPr>
      <xdr:grpSpPr bwMode="auto">
        <a:xfrm rot="5400000">
          <a:off x="1221033" y="40963219"/>
          <a:ext cx="596407" cy="104775"/>
          <a:chOff x="88" y="155"/>
          <a:chExt cx="74" cy="11"/>
        </a:xfrm>
      </xdr:grpSpPr>
      <xdr:sp macro="" textlink="">
        <xdr:nvSpPr>
          <xdr:cNvPr id="291" name="Line 893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292" name="Line 89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293" name="Line 89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211</xdr:row>
      <xdr:rowOff>116548</xdr:rowOff>
    </xdr:from>
    <xdr:to>
      <xdr:col>3</xdr:col>
      <xdr:colOff>238126</xdr:colOff>
      <xdr:row>214</xdr:row>
      <xdr:rowOff>121281</xdr:rowOff>
    </xdr:to>
    <xdr:grpSp>
      <xdr:nvGrpSpPr>
        <xdr:cNvPr id="302" name="Group 908"/>
        <xdr:cNvGrpSpPr>
          <a:grpSpLocks/>
        </xdr:cNvGrpSpPr>
      </xdr:nvGrpSpPr>
      <xdr:grpSpPr bwMode="auto">
        <a:xfrm rot="5400000">
          <a:off x="1216835" y="42571839"/>
          <a:ext cx="604808" cy="104775"/>
          <a:chOff x="88" y="155"/>
          <a:chExt cx="74" cy="11"/>
        </a:xfrm>
      </xdr:grpSpPr>
      <xdr:sp macro="" textlink="">
        <xdr:nvSpPr>
          <xdr:cNvPr id="303" name="Line 909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04" name="Line 91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05" name="Line 91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219</xdr:row>
      <xdr:rowOff>120768</xdr:rowOff>
    </xdr:from>
    <xdr:to>
      <xdr:col>3</xdr:col>
      <xdr:colOff>238126</xdr:colOff>
      <xdr:row>222</xdr:row>
      <xdr:rowOff>125501</xdr:rowOff>
    </xdr:to>
    <xdr:grpSp>
      <xdr:nvGrpSpPr>
        <xdr:cNvPr id="310" name="Group 916"/>
        <xdr:cNvGrpSpPr>
          <a:grpSpLocks/>
        </xdr:cNvGrpSpPr>
      </xdr:nvGrpSpPr>
      <xdr:grpSpPr bwMode="auto">
        <a:xfrm rot="5400000">
          <a:off x="1216835" y="44176259"/>
          <a:ext cx="604808" cy="104775"/>
          <a:chOff x="88" y="155"/>
          <a:chExt cx="74" cy="11"/>
        </a:xfrm>
      </xdr:grpSpPr>
      <xdr:sp macro="" textlink="">
        <xdr:nvSpPr>
          <xdr:cNvPr id="311" name="Line 917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12" name="Line 91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13" name="Line 91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259</xdr:row>
      <xdr:rowOff>199092</xdr:rowOff>
    </xdr:from>
    <xdr:to>
      <xdr:col>3</xdr:col>
      <xdr:colOff>238126</xdr:colOff>
      <xdr:row>263</xdr:row>
      <xdr:rowOff>3800</xdr:rowOff>
    </xdr:to>
    <xdr:grpSp>
      <xdr:nvGrpSpPr>
        <xdr:cNvPr id="318" name="Group 788"/>
        <xdr:cNvGrpSpPr>
          <a:grpSpLocks/>
        </xdr:cNvGrpSpPr>
      </xdr:nvGrpSpPr>
      <xdr:grpSpPr bwMode="auto">
        <a:xfrm rot="5400000">
          <a:off x="1216835" y="52255583"/>
          <a:ext cx="604808" cy="104775"/>
          <a:chOff x="88" y="155"/>
          <a:chExt cx="74" cy="11"/>
        </a:xfrm>
      </xdr:grpSpPr>
      <xdr:sp macro="" textlink="">
        <xdr:nvSpPr>
          <xdr:cNvPr id="319" name="Line 789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20" name="Line 790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21" name="Line 791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268</xdr:row>
      <xdr:rowOff>28489</xdr:rowOff>
    </xdr:from>
    <xdr:to>
      <xdr:col>3</xdr:col>
      <xdr:colOff>238126</xdr:colOff>
      <xdr:row>271</xdr:row>
      <xdr:rowOff>33222</xdr:rowOff>
    </xdr:to>
    <xdr:grpSp>
      <xdr:nvGrpSpPr>
        <xdr:cNvPr id="322" name="Group 792"/>
        <xdr:cNvGrpSpPr>
          <a:grpSpLocks/>
        </xdr:cNvGrpSpPr>
      </xdr:nvGrpSpPr>
      <xdr:grpSpPr bwMode="auto">
        <a:xfrm rot="5400000">
          <a:off x="1216835" y="53885205"/>
          <a:ext cx="604808" cy="104775"/>
          <a:chOff x="88" y="155"/>
          <a:chExt cx="74" cy="11"/>
        </a:xfrm>
      </xdr:grpSpPr>
      <xdr:sp macro="" textlink="">
        <xdr:nvSpPr>
          <xdr:cNvPr id="323" name="Line 793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24" name="Line 794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25" name="Line 795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272</xdr:row>
      <xdr:rowOff>43198</xdr:rowOff>
    </xdr:from>
    <xdr:to>
      <xdr:col>3</xdr:col>
      <xdr:colOff>0</xdr:colOff>
      <xdr:row>272</xdr:row>
      <xdr:rowOff>152400</xdr:rowOff>
    </xdr:to>
    <xdr:grpSp>
      <xdr:nvGrpSpPr>
        <xdr:cNvPr id="326" name="Group 800"/>
        <xdr:cNvGrpSpPr>
          <a:grpSpLocks/>
        </xdr:cNvGrpSpPr>
      </xdr:nvGrpSpPr>
      <xdr:grpSpPr bwMode="auto">
        <a:xfrm>
          <a:off x="628650" y="54449998"/>
          <a:ext cx="704850" cy="109202"/>
          <a:chOff x="88" y="155"/>
          <a:chExt cx="74" cy="11"/>
        </a:xfrm>
      </xdr:grpSpPr>
      <xdr:sp macro="" textlink="">
        <xdr:nvSpPr>
          <xdr:cNvPr id="327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28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29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12</xdr:row>
      <xdr:rowOff>12620</xdr:rowOff>
    </xdr:from>
    <xdr:to>
      <xdr:col>3</xdr:col>
      <xdr:colOff>238126</xdr:colOff>
      <xdr:row>15</xdr:row>
      <xdr:rowOff>17353</xdr:rowOff>
    </xdr:to>
    <xdr:grpSp>
      <xdr:nvGrpSpPr>
        <xdr:cNvPr id="336" name="Group 273"/>
        <xdr:cNvGrpSpPr>
          <a:grpSpLocks/>
        </xdr:cNvGrpSpPr>
      </xdr:nvGrpSpPr>
      <xdr:grpSpPr bwMode="auto">
        <a:xfrm rot="5400000">
          <a:off x="1216835" y="2662936"/>
          <a:ext cx="604808" cy="104775"/>
          <a:chOff x="88" y="155"/>
          <a:chExt cx="74" cy="11"/>
        </a:xfrm>
      </xdr:grpSpPr>
      <xdr:sp macro="" textlink="">
        <xdr:nvSpPr>
          <xdr:cNvPr id="337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38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39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3</xdr:row>
      <xdr:rowOff>200024</xdr:rowOff>
    </xdr:from>
    <xdr:to>
      <xdr:col>3</xdr:col>
      <xdr:colOff>238126</xdr:colOff>
      <xdr:row>7</xdr:row>
      <xdr:rowOff>4732</xdr:rowOff>
    </xdr:to>
    <xdr:grpSp>
      <xdr:nvGrpSpPr>
        <xdr:cNvPr id="348" name="Group 273"/>
        <xdr:cNvGrpSpPr>
          <a:grpSpLocks/>
        </xdr:cNvGrpSpPr>
      </xdr:nvGrpSpPr>
      <xdr:grpSpPr bwMode="auto">
        <a:xfrm rot="5400000">
          <a:off x="1216835" y="1050115"/>
          <a:ext cx="604808" cy="104775"/>
          <a:chOff x="88" y="155"/>
          <a:chExt cx="74" cy="11"/>
        </a:xfrm>
      </xdr:grpSpPr>
      <xdr:sp macro="" textlink="">
        <xdr:nvSpPr>
          <xdr:cNvPr id="349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50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51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51</xdr:row>
      <xdr:rowOff>190021</xdr:rowOff>
    </xdr:from>
    <xdr:to>
      <xdr:col>3</xdr:col>
      <xdr:colOff>238126</xdr:colOff>
      <xdr:row>54</xdr:row>
      <xdr:rowOff>194754</xdr:rowOff>
    </xdr:to>
    <xdr:grpSp>
      <xdr:nvGrpSpPr>
        <xdr:cNvPr id="368" name="Group 273"/>
        <xdr:cNvGrpSpPr>
          <a:grpSpLocks/>
        </xdr:cNvGrpSpPr>
      </xdr:nvGrpSpPr>
      <xdr:grpSpPr bwMode="auto">
        <a:xfrm rot="5400000">
          <a:off x="1216835" y="10641312"/>
          <a:ext cx="604808" cy="104775"/>
          <a:chOff x="88" y="155"/>
          <a:chExt cx="74" cy="11"/>
        </a:xfrm>
      </xdr:grpSpPr>
      <xdr:sp macro="" textlink="">
        <xdr:nvSpPr>
          <xdr:cNvPr id="369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70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71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60</xdr:row>
      <xdr:rowOff>1040</xdr:rowOff>
    </xdr:from>
    <xdr:to>
      <xdr:col>3</xdr:col>
      <xdr:colOff>238126</xdr:colOff>
      <xdr:row>63</xdr:row>
      <xdr:rowOff>5773</xdr:rowOff>
    </xdr:to>
    <xdr:grpSp>
      <xdr:nvGrpSpPr>
        <xdr:cNvPr id="376" name="Group 273"/>
        <xdr:cNvGrpSpPr>
          <a:grpSpLocks/>
        </xdr:cNvGrpSpPr>
      </xdr:nvGrpSpPr>
      <xdr:grpSpPr bwMode="auto">
        <a:xfrm rot="5400000">
          <a:off x="1216835" y="12252556"/>
          <a:ext cx="604808" cy="104775"/>
          <a:chOff x="88" y="155"/>
          <a:chExt cx="74" cy="11"/>
        </a:xfrm>
      </xdr:grpSpPr>
      <xdr:sp macro="" textlink="">
        <xdr:nvSpPr>
          <xdr:cNvPr id="377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78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79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68</xdr:row>
      <xdr:rowOff>4135</xdr:rowOff>
    </xdr:from>
    <xdr:to>
      <xdr:col>3</xdr:col>
      <xdr:colOff>238126</xdr:colOff>
      <xdr:row>71</xdr:row>
      <xdr:rowOff>8868</xdr:rowOff>
    </xdr:to>
    <xdr:grpSp>
      <xdr:nvGrpSpPr>
        <xdr:cNvPr id="384" name="Group 273"/>
        <xdr:cNvGrpSpPr>
          <a:grpSpLocks/>
        </xdr:cNvGrpSpPr>
      </xdr:nvGrpSpPr>
      <xdr:grpSpPr bwMode="auto">
        <a:xfrm rot="5400000">
          <a:off x="1216835" y="13855851"/>
          <a:ext cx="604808" cy="104775"/>
          <a:chOff x="88" y="155"/>
          <a:chExt cx="74" cy="11"/>
        </a:xfrm>
      </xdr:grpSpPr>
      <xdr:sp macro="" textlink="">
        <xdr:nvSpPr>
          <xdr:cNvPr id="385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86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87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75</xdr:row>
      <xdr:rowOff>188205</xdr:rowOff>
    </xdr:from>
    <xdr:to>
      <xdr:col>3</xdr:col>
      <xdr:colOff>238126</xdr:colOff>
      <xdr:row>78</xdr:row>
      <xdr:rowOff>192938</xdr:rowOff>
    </xdr:to>
    <xdr:grpSp>
      <xdr:nvGrpSpPr>
        <xdr:cNvPr id="392" name="Group 273"/>
        <xdr:cNvGrpSpPr>
          <a:grpSpLocks/>
        </xdr:cNvGrpSpPr>
      </xdr:nvGrpSpPr>
      <xdr:grpSpPr bwMode="auto">
        <a:xfrm rot="5400000">
          <a:off x="1216835" y="15440096"/>
          <a:ext cx="604808" cy="104775"/>
          <a:chOff x="88" y="155"/>
          <a:chExt cx="74" cy="11"/>
        </a:xfrm>
      </xdr:grpSpPr>
      <xdr:sp macro="" textlink="">
        <xdr:nvSpPr>
          <xdr:cNvPr id="393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94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95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84</xdr:row>
      <xdr:rowOff>801</xdr:rowOff>
    </xdr:from>
    <xdr:to>
      <xdr:col>3</xdr:col>
      <xdr:colOff>238126</xdr:colOff>
      <xdr:row>87</xdr:row>
      <xdr:rowOff>5534</xdr:rowOff>
    </xdr:to>
    <xdr:grpSp>
      <xdr:nvGrpSpPr>
        <xdr:cNvPr id="400" name="Group 273"/>
        <xdr:cNvGrpSpPr>
          <a:grpSpLocks/>
        </xdr:cNvGrpSpPr>
      </xdr:nvGrpSpPr>
      <xdr:grpSpPr bwMode="auto">
        <a:xfrm rot="5400000">
          <a:off x="1216835" y="17052917"/>
          <a:ext cx="604808" cy="104775"/>
          <a:chOff x="88" y="155"/>
          <a:chExt cx="74" cy="11"/>
        </a:xfrm>
      </xdr:grpSpPr>
      <xdr:sp macro="" textlink="">
        <xdr:nvSpPr>
          <xdr:cNvPr id="401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02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03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92</xdr:row>
      <xdr:rowOff>3896</xdr:rowOff>
    </xdr:from>
    <xdr:to>
      <xdr:col>3</xdr:col>
      <xdr:colOff>238126</xdr:colOff>
      <xdr:row>95</xdr:row>
      <xdr:rowOff>8629</xdr:rowOff>
    </xdr:to>
    <xdr:grpSp>
      <xdr:nvGrpSpPr>
        <xdr:cNvPr id="408" name="Group 273"/>
        <xdr:cNvGrpSpPr>
          <a:grpSpLocks/>
        </xdr:cNvGrpSpPr>
      </xdr:nvGrpSpPr>
      <xdr:grpSpPr bwMode="auto">
        <a:xfrm rot="5400000">
          <a:off x="1216835" y="18656212"/>
          <a:ext cx="604808" cy="104775"/>
          <a:chOff x="88" y="155"/>
          <a:chExt cx="74" cy="11"/>
        </a:xfrm>
      </xdr:grpSpPr>
      <xdr:sp macro="" textlink="">
        <xdr:nvSpPr>
          <xdr:cNvPr id="409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10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11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100</xdr:row>
      <xdr:rowOff>16517</xdr:rowOff>
    </xdr:from>
    <xdr:to>
      <xdr:col>3</xdr:col>
      <xdr:colOff>238126</xdr:colOff>
      <xdr:row>103</xdr:row>
      <xdr:rowOff>21250</xdr:rowOff>
    </xdr:to>
    <xdr:grpSp>
      <xdr:nvGrpSpPr>
        <xdr:cNvPr id="416" name="Group 273"/>
        <xdr:cNvGrpSpPr>
          <a:grpSpLocks/>
        </xdr:cNvGrpSpPr>
      </xdr:nvGrpSpPr>
      <xdr:grpSpPr bwMode="auto">
        <a:xfrm rot="5400000">
          <a:off x="1216835" y="20269033"/>
          <a:ext cx="604808" cy="104775"/>
          <a:chOff x="88" y="155"/>
          <a:chExt cx="74" cy="11"/>
        </a:xfrm>
      </xdr:grpSpPr>
      <xdr:sp macro="" textlink="">
        <xdr:nvSpPr>
          <xdr:cNvPr id="417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18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19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107</xdr:row>
      <xdr:rowOff>191062</xdr:rowOff>
    </xdr:from>
    <xdr:to>
      <xdr:col>3</xdr:col>
      <xdr:colOff>238126</xdr:colOff>
      <xdr:row>110</xdr:row>
      <xdr:rowOff>195795</xdr:rowOff>
    </xdr:to>
    <xdr:grpSp>
      <xdr:nvGrpSpPr>
        <xdr:cNvPr id="424" name="Group 273"/>
        <xdr:cNvGrpSpPr>
          <a:grpSpLocks/>
        </xdr:cNvGrpSpPr>
      </xdr:nvGrpSpPr>
      <xdr:grpSpPr bwMode="auto">
        <a:xfrm rot="5400000">
          <a:off x="1216835" y="21843753"/>
          <a:ext cx="604808" cy="104775"/>
          <a:chOff x="88" y="155"/>
          <a:chExt cx="74" cy="11"/>
        </a:xfrm>
      </xdr:grpSpPr>
      <xdr:sp macro="" textlink="">
        <xdr:nvSpPr>
          <xdr:cNvPr id="425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26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27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132</xdr:row>
      <xdr:rowOff>8270</xdr:rowOff>
    </xdr:from>
    <xdr:to>
      <xdr:col>3</xdr:col>
      <xdr:colOff>238126</xdr:colOff>
      <xdr:row>135</xdr:row>
      <xdr:rowOff>13003</xdr:rowOff>
    </xdr:to>
    <xdr:grpSp>
      <xdr:nvGrpSpPr>
        <xdr:cNvPr id="448" name="Group 273"/>
        <xdr:cNvGrpSpPr>
          <a:grpSpLocks/>
        </xdr:cNvGrpSpPr>
      </xdr:nvGrpSpPr>
      <xdr:grpSpPr bwMode="auto">
        <a:xfrm rot="5400000">
          <a:off x="1216835" y="26661586"/>
          <a:ext cx="604808" cy="104775"/>
          <a:chOff x="88" y="155"/>
          <a:chExt cx="74" cy="11"/>
        </a:xfrm>
      </xdr:grpSpPr>
      <xdr:sp macro="" textlink="">
        <xdr:nvSpPr>
          <xdr:cNvPr id="449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50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51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140</xdr:row>
      <xdr:rowOff>1840</xdr:rowOff>
    </xdr:from>
    <xdr:to>
      <xdr:col>3</xdr:col>
      <xdr:colOff>238126</xdr:colOff>
      <xdr:row>143</xdr:row>
      <xdr:rowOff>6573</xdr:rowOff>
    </xdr:to>
    <xdr:grpSp>
      <xdr:nvGrpSpPr>
        <xdr:cNvPr id="456" name="Group 273"/>
        <xdr:cNvGrpSpPr>
          <a:grpSpLocks/>
        </xdr:cNvGrpSpPr>
      </xdr:nvGrpSpPr>
      <xdr:grpSpPr bwMode="auto">
        <a:xfrm rot="5400000">
          <a:off x="1216835" y="28255356"/>
          <a:ext cx="604808" cy="104775"/>
          <a:chOff x="88" y="155"/>
          <a:chExt cx="74" cy="11"/>
        </a:xfrm>
      </xdr:grpSpPr>
      <xdr:sp macro="" textlink="">
        <xdr:nvSpPr>
          <xdr:cNvPr id="457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58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59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148</xdr:row>
      <xdr:rowOff>4936</xdr:rowOff>
    </xdr:from>
    <xdr:to>
      <xdr:col>3</xdr:col>
      <xdr:colOff>238126</xdr:colOff>
      <xdr:row>151</xdr:row>
      <xdr:rowOff>9669</xdr:rowOff>
    </xdr:to>
    <xdr:grpSp>
      <xdr:nvGrpSpPr>
        <xdr:cNvPr id="464" name="Group 273"/>
        <xdr:cNvGrpSpPr>
          <a:grpSpLocks/>
        </xdr:cNvGrpSpPr>
      </xdr:nvGrpSpPr>
      <xdr:grpSpPr bwMode="auto">
        <a:xfrm rot="5400000">
          <a:off x="1216835" y="29858652"/>
          <a:ext cx="604808" cy="104775"/>
          <a:chOff x="88" y="155"/>
          <a:chExt cx="74" cy="11"/>
        </a:xfrm>
      </xdr:grpSpPr>
      <xdr:sp macro="" textlink="">
        <xdr:nvSpPr>
          <xdr:cNvPr id="465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66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67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156</xdr:row>
      <xdr:rowOff>17556</xdr:rowOff>
    </xdr:from>
    <xdr:to>
      <xdr:col>3</xdr:col>
      <xdr:colOff>238126</xdr:colOff>
      <xdr:row>159</xdr:row>
      <xdr:rowOff>22289</xdr:rowOff>
    </xdr:to>
    <xdr:grpSp>
      <xdr:nvGrpSpPr>
        <xdr:cNvPr id="472" name="Group 273"/>
        <xdr:cNvGrpSpPr>
          <a:grpSpLocks/>
        </xdr:cNvGrpSpPr>
      </xdr:nvGrpSpPr>
      <xdr:grpSpPr bwMode="auto">
        <a:xfrm rot="5400000">
          <a:off x="1216835" y="31471472"/>
          <a:ext cx="604808" cy="104775"/>
          <a:chOff x="88" y="155"/>
          <a:chExt cx="74" cy="11"/>
        </a:xfrm>
      </xdr:grpSpPr>
      <xdr:sp macro="" textlink="">
        <xdr:nvSpPr>
          <xdr:cNvPr id="473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74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75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164</xdr:row>
      <xdr:rowOff>30176</xdr:rowOff>
    </xdr:from>
    <xdr:to>
      <xdr:col>3</xdr:col>
      <xdr:colOff>238126</xdr:colOff>
      <xdr:row>167</xdr:row>
      <xdr:rowOff>34909</xdr:rowOff>
    </xdr:to>
    <xdr:grpSp>
      <xdr:nvGrpSpPr>
        <xdr:cNvPr id="480" name="Group 273"/>
        <xdr:cNvGrpSpPr>
          <a:grpSpLocks/>
        </xdr:cNvGrpSpPr>
      </xdr:nvGrpSpPr>
      <xdr:grpSpPr bwMode="auto">
        <a:xfrm rot="5400000">
          <a:off x="1216835" y="33084292"/>
          <a:ext cx="604808" cy="104775"/>
          <a:chOff x="88" y="155"/>
          <a:chExt cx="74" cy="11"/>
        </a:xfrm>
      </xdr:grpSpPr>
      <xdr:sp macro="" textlink="">
        <xdr:nvSpPr>
          <xdr:cNvPr id="481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82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83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211</xdr:row>
      <xdr:rowOff>124948</xdr:rowOff>
    </xdr:from>
    <xdr:to>
      <xdr:col>3</xdr:col>
      <xdr:colOff>238126</xdr:colOff>
      <xdr:row>214</xdr:row>
      <xdr:rowOff>129681</xdr:rowOff>
    </xdr:to>
    <xdr:grpSp>
      <xdr:nvGrpSpPr>
        <xdr:cNvPr id="528" name="Group 273"/>
        <xdr:cNvGrpSpPr>
          <a:grpSpLocks/>
        </xdr:cNvGrpSpPr>
      </xdr:nvGrpSpPr>
      <xdr:grpSpPr bwMode="auto">
        <a:xfrm rot="5400000">
          <a:off x="1216835" y="42580239"/>
          <a:ext cx="604808" cy="104775"/>
          <a:chOff x="88" y="155"/>
          <a:chExt cx="74" cy="11"/>
        </a:xfrm>
      </xdr:grpSpPr>
      <xdr:sp macro="" textlink="">
        <xdr:nvSpPr>
          <xdr:cNvPr id="529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530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531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227</xdr:row>
      <xdr:rowOff>150189</xdr:rowOff>
    </xdr:from>
    <xdr:to>
      <xdr:col>3</xdr:col>
      <xdr:colOff>238126</xdr:colOff>
      <xdr:row>230</xdr:row>
      <xdr:rowOff>154922</xdr:rowOff>
    </xdr:to>
    <xdr:grpSp>
      <xdr:nvGrpSpPr>
        <xdr:cNvPr id="544" name="Group 273"/>
        <xdr:cNvGrpSpPr>
          <a:grpSpLocks/>
        </xdr:cNvGrpSpPr>
      </xdr:nvGrpSpPr>
      <xdr:grpSpPr bwMode="auto">
        <a:xfrm rot="5400000">
          <a:off x="1216835" y="45805880"/>
          <a:ext cx="604808" cy="104775"/>
          <a:chOff x="88" y="155"/>
          <a:chExt cx="74" cy="11"/>
        </a:xfrm>
      </xdr:grpSpPr>
      <xdr:sp macro="" textlink="">
        <xdr:nvSpPr>
          <xdr:cNvPr id="545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546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547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3</xdr:col>
      <xdr:colOff>133351</xdr:colOff>
      <xdr:row>235</xdr:row>
      <xdr:rowOff>162809</xdr:rowOff>
    </xdr:from>
    <xdr:to>
      <xdr:col>3</xdr:col>
      <xdr:colOff>238126</xdr:colOff>
      <xdr:row>238</xdr:row>
      <xdr:rowOff>167542</xdr:rowOff>
    </xdr:to>
    <xdr:grpSp>
      <xdr:nvGrpSpPr>
        <xdr:cNvPr id="552" name="Group 273"/>
        <xdr:cNvGrpSpPr>
          <a:grpSpLocks/>
        </xdr:cNvGrpSpPr>
      </xdr:nvGrpSpPr>
      <xdr:grpSpPr bwMode="auto">
        <a:xfrm rot="5400000">
          <a:off x="1216835" y="47418700"/>
          <a:ext cx="604808" cy="104775"/>
          <a:chOff x="88" y="155"/>
          <a:chExt cx="74" cy="11"/>
        </a:xfrm>
      </xdr:grpSpPr>
      <xdr:sp macro="" textlink="">
        <xdr:nvSpPr>
          <xdr:cNvPr id="553" name="Line 274"/>
          <xdr:cNvSpPr>
            <a:spLocks noChangeShapeType="1"/>
          </xdr:cNvSpPr>
        </xdr:nvSpPr>
        <xdr:spPr bwMode="auto">
          <a:xfrm flipH="1"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554" name="Line 275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555" name="Line 276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264</xdr:row>
      <xdr:rowOff>49699</xdr:rowOff>
    </xdr:from>
    <xdr:to>
      <xdr:col>3</xdr:col>
      <xdr:colOff>0</xdr:colOff>
      <xdr:row>264</xdr:row>
      <xdr:rowOff>158901</xdr:rowOff>
    </xdr:to>
    <xdr:grpSp>
      <xdr:nvGrpSpPr>
        <xdr:cNvPr id="592" name="Group 800"/>
        <xdr:cNvGrpSpPr>
          <a:grpSpLocks/>
        </xdr:cNvGrpSpPr>
      </xdr:nvGrpSpPr>
      <xdr:grpSpPr bwMode="auto">
        <a:xfrm>
          <a:off x="628650" y="52856299"/>
          <a:ext cx="704850" cy="109202"/>
          <a:chOff x="88" y="155"/>
          <a:chExt cx="74" cy="11"/>
        </a:xfrm>
      </xdr:grpSpPr>
      <xdr:sp macro="" textlink="">
        <xdr:nvSpPr>
          <xdr:cNvPr id="593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594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595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248</xdr:row>
      <xdr:rowOff>45158</xdr:rowOff>
    </xdr:from>
    <xdr:to>
      <xdr:col>3</xdr:col>
      <xdr:colOff>0</xdr:colOff>
      <xdr:row>248</xdr:row>
      <xdr:rowOff>154360</xdr:rowOff>
    </xdr:to>
    <xdr:grpSp>
      <xdr:nvGrpSpPr>
        <xdr:cNvPr id="600" name="Group 800"/>
        <xdr:cNvGrpSpPr>
          <a:grpSpLocks/>
        </xdr:cNvGrpSpPr>
      </xdr:nvGrpSpPr>
      <xdr:grpSpPr bwMode="auto">
        <a:xfrm>
          <a:off x="628650" y="49651358"/>
          <a:ext cx="704850" cy="109202"/>
          <a:chOff x="88" y="155"/>
          <a:chExt cx="74" cy="11"/>
        </a:xfrm>
      </xdr:grpSpPr>
      <xdr:sp macro="" textlink="">
        <xdr:nvSpPr>
          <xdr:cNvPr id="601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02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03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240</xdr:row>
      <xdr:rowOff>32538</xdr:rowOff>
    </xdr:from>
    <xdr:to>
      <xdr:col>3</xdr:col>
      <xdr:colOff>0</xdr:colOff>
      <xdr:row>240</xdr:row>
      <xdr:rowOff>141740</xdr:rowOff>
    </xdr:to>
    <xdr:grpSp>
      <xdr:nvGrpSpPr>
        <xdr:cNvPr id="604" name="Group 800"/>
        <xdr:cNvGrpSpPr>
          <a:grpSpLocks/>
        </xdr:cNvGrpSpPr>
      </xdr:nvGrpSpPr>
      <xdr:grpSpPr bwMode="auto">
        <a:xfrm>
          <a:off x="628650" y="48038538"/>
          <a:ext cx="704850" cy="109202"/>
          <a:chOff x="88" y="155"/>
          <a:chExt cx="74" cy="11"/>
        </a:xfrm>
      </xdr:grpSpPr>
      <xdr:sp macro="" textlink="">
        <xdr:nvSpPr>
          <xdr:cNvPr id="605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06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07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104</xdr:row>
      <xdr:rowOff>124763</xdr:rowOff>
    </xdr:from>
    <xdr:to>
      <xdr:col>3</xdr:col>
      <xdr:colOff>0</xdr:colOff>
      <xdr:row>105</xdr:row>
      <xdr:rowOff>33940</xdr:rowOff>
    </xdr:to>
    <xdr:grpSp>
      <xdr:nvGrpSpPr>
        <xdr:cNvPr id="672" name="Group 800"/>
        <xdr:cNvGrpSpPr>
          <a:grpSpLocks/>
        </xdr:cNvGrpSpPr>
      </xdr:nvGrpSpPr>
      <xdr:grpSpPr bwMode="auto">
        <a:xfrm>
          <a:off x="628650" y="20927363"/>
          <a:ext cx="704850" cy="109202"/>
          <a:chOff x="88" y="155"/>
          <a:chExt cx="74" cy="11"/>
        </a:xfrm>
      </xdr:grpSpPr>
      <xdr:sp macro="" textlink="">
        <xdr:nvSpPr>
          <xdr:cNvPr id="673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74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75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96</xdr:row>
      <xdr:rowOff>112142</xdr:rowOff>
    </xdr:from>
    <xdr:to>
      <xdr:col>3</xdr:col>
      <xdr:colOff>0</xdr:colOff>
      <xdr:row>97</xdr:row>
      <xdr:rowOff>21319</xdr:rowOff>
    </xdr:to>
    <xdr:grpSp>
      <xdr:nvGrpSpPr>
        <xdr:cNvPr id="676" name="Group 800"/>
        <xdr:cNvGrpSpPr>
          <a:grpSpLocks/>
        </xdr:cNvGrpSpPr>
      </xdr:nvGrpSpPr>
      <xdr:grpSpPr bwMode="auto">
        <a:xfrm>
          <a:off x="628650" y="19314542"/>
          <a:ext cx="704850" cy="109202"/>
          <a:chOff x="88" y="155"/>
          <a:chExt cx="74" cy="11"/>
        </a:xfrm>
      </xdr:grpSpPr>
      <xdr:sp macro="" textlink="">
        <xdr:nvSpPr>
          <xdr:cNvPr id="677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78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79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88</xdr:row>
      <xdr:rowOff>99522</xdr:rowOff>
    </xdr:from>
    <xdr:to>
      <xdr:col>3</xdr:col>
      <xdr:colOff>0</xdr:colOff>
      <xdr:row>89</xdr:row>
      <xdr:rowOff>8699</xdr:rowOff>
    </xdr:to>
    <xdr:grpSp>
      <xdr:nvGrpSpPr>
        <xdr:cNvPr id="680" name="Group 800"/>
        <xdr:cNvGrpSpPr>
          <a:grpSpLocks/>
        </xdr:cNvGrpSpPr>
      </xdr:nvGrpSpPr>
      <xdr:grpSpPr bwMode="auto">
        <a:xfrm>
          <a:off x="628650" y="17701722"/>
          <a:ext cx="704850" cy="109202"/>
          <a:chOff x="88" y="155"/>
          <a:chExt cx="74" cy="11"/>
        </a:xfrm>
      </xdr:grpSpPr>
      <xdr:sp macro="" textlink="">
        <xdr:nvSpPr>
          <xdr:cNvPr id="681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82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83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72</xdr:row>
      <xdr:rowOff>74281</xdr:rowOff>
    </xdr:from>
    <xdr:to>
      <xdr:col>3</xdr:col>
      <xdr:colOff>0</xdr:colOff>
      <xdr:row>72</xdr:row>
      <xdr:rowOff>183483</xdr:rowOff>
    </xdr:to>
    <xdr:grpSp>
      <xdr:nvGrpSpPr>
        <xdr:cNvPr id="688" name="Group 800"/>
        <xdr:cNvGrpSpPr>
          <a:grpSpLocks/>
        </xdr:cNvGrpSpPr>
      </xdr:nvGrpSpPr>
      <xdr:grpSpPr bwMode="auto">
        <a:xfrm>
          <a:off x="628650" y="14476081"/>
          <a:ext cx="704850" cy="109202"/>
          <a:chOff x="88" y="155"/>
          <a:chExt cx="74" cy="11"/>
        </a:xfrm>
      </xdr:grpSpPr>
      <xdr:sp macro="" textlink="">
        <xdr:nvSpPr>
          <xdr:cNvPr id="689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90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91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56</xdr:row>
      <xdr:rowOff>107233</xdr:rowOff>
    </xdr:from>
    <xdr:to>
      <xdr:col>3</xdr:col>
      <xdr:colOff>0</xdr:colOff>
      <xdr:row>57</xdr:row>
      <xdr:rowOff>16410</xdr:rowOff>
    </xdr:to>
    <xdr:grpSp>
      <xdr:nvGrpSpPr>
        <xdr:cNvPr id="696" name="Group 800"/>
        <xdr:cNvGrpSpPr>
          <a:grpSpLocks/>
        </xdr:cNvGrpSpPr>
      </xdr:nvGrpSpPr>
      <xdr:grpSpPr bwMode="auto">
        <a:xfrm>
          <a:off x="628650" y="11308633"/>
          <a:ext cx="704850" cy="109202"/>
          <a:chOff x="88" y="155"/>
          <a:chExt cx="74" cy="11"/>
        </a:xfrm>
      </xdr:grpSpPr>
      <xdr:sp macro="" textlink="">
        <xdr:nvSpPr>
          <xdr:cNvPr id="697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698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699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16</xdr:row>
      <xdr:rowOff>44131</xdr:rowOff>
    </xdr:from>
    <xdr:to>
      <xdr:col>3</xdr:col>
      <xdr:colOff>0</xdr:colOff>
      <xdr:row>16</xdr:row>
      <xdr:rowOff>153333</xdr:rowOff>
    </xdr:to>
    <xdr:grpSp>
      <xdr:nvGrpSpPr>
        <xdr:cNvPr id="716" name="Group 800"/>
        <xdr:cNvGrpSpPr>
          <a:grpSpLocks/>
        </xdr:cNvGrpSpPr>
      </xdr:nvGrpSpPr>
      <xdr:grpSpPr bwMode="auto">
        <a:xfrm>
          <a:off x="628650" y="3244531"/>
          <a:ext cx="704850" cy="109202"/>
          <a:chOff x="88" y="155"/>
          <a:chExt cx="74" cy="11"/>
        </a:xfrm>
      </xdr:grpSpPr>
      <xdr:sp macro="" textlink="">
        <xdr:nvSpPr>
          <xdr:cNvPr id="717" name="Line 801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718" name="Line 802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719" name="Line 803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216</xdr:row>
      <xdr:rowOff>38100</xdr:rowOff>
    </xdr:from>
    <xdr:to>
      <xdr:col>3</xdr:col>
      <xdr:colOff>0</xdr:colOff>
      <xdr:row>216</xdr:row>
      <xdr:rowOff>147302</xdr:rowOff>
    </xdr:to>
    <xdr:grpSp>
      <xdr:nvGrpSpPr>
        <xdr:cNvPr id="332" name="Group 776"/>
        <xdr:cNvGrpSpPr>
          <a:grpSpLocks/>
        </xdr:cNvGrpSpPr>
      </xdr:nvGrpSpPr>
      <xdr:grpSpPr bwMode="auto">
        <a:xfrm>
          <a:off x="628650" y="43243500"/>
          <a:ext cx="704850" cy="109202"/>
          <a:chOff x="88" y="155"/>
          <a:chExt cx="74" cy="11"/>
        </a:xfrm>
      </xdr:grpSpPr>
      <xdr:sp macro="" textlink="">
        <xdr:nvSpPr>
          <xdr:cNvPr id="333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34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35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224</xdr:row>
      <xdr:rowOff>47625</xdr:rowOff>
    </xdr:from>
    <xdr:to>
      <xdr:col>3</xdr:col>
      <xdr:colOff>0</xdr:colOff>
      <xdr:row>224</xdr:row>
      <xdr:rowOff>156827</xdr:rowOff>
    </xdr:to>
    <xdr:grpSp>
      <xdr:nvGrpSpPr>
        <xdr:cNvPr id="340" name="Group 776"/>
        <xdr:cNvGrpSpPr>
          <a:grpSpLocks/>
        </xdr:cNvGrpSpPr>
      </xdr:nvGrpSpPr>
      <xdr:grpSpPr bwMode="auto">
        <a:xfrm>
          <a:off x="628650" y="44853225"/>
          <a:ext cx="704850" cy="109202"/>
          <a:chOff x="88" y="155"/>
          <a:chExt cx="74" cy="11"/>
        </a:xfrm>
      </xdr:grpSpPr>
      <xdr:sp macro="" textlink="">
        <xdr:nvSpPr>
          <xdr:cNvPr id="341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46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47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192</xdr:row>
      <xdr:rowOff>57150</xdr:rowOff>
    </xdr:from>
    <xdr:to>
      <xdr:col>3</xdr:col>
      <xdr:colOff>0</xdr:colOff>
      <xdr:row>192</xdr:row>
      <xdr:rowOff>166352</xdr:rowOff>
    </xdr:to>
    <xdr:grpSp>
      <xdr:nvGrpSpPr>
        <xdr:cNvPr id="352" name="Group 776"/>
        <xdr:cNvGrpSpPr>
          <a:grpSpLocks/>
        </xdr:cNvGrpSpPr>
      </xdr:nvGrpSpPr>
      <xdr:grpSpPr bwMode="auto">
        <a:xfrm>
          <a:off x="628650" y="38461950"/>
          <a:ext cx="704850" cy="109202"/>
          <a:chOff x="88" y="155"/>
          <a:chExt cx="74" cy="11"/>
        </a:xfrm>
      </xdr:grpSpPr>
      <xdr:sp macro="" textlink="">
        <xdr:nvSpPr>
          <xdr:cNvPr id="353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54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55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200</xdr:row>
      <xdr:rowOff>57150</xdr:rowOff>
    </xdr:from>
    <xdr:to>
      <xdr:col>3</xdr:col>
      <xdr:colOff>0</xdr:colOff>
      <xdr:row>200</xdr:row>
      <xdr:rowOff>166352</xdr:rowOff>
    </xdr:to>
    <xdr:grpSp>
      <xdr:nvGrpSpPr>
        <xdr:cNvPr id="356" name="Group 776"/>
        <xdr:cNvGrpSpPr>
          <a:grpSpLocks/>
        </xdr:cNvGrpSpPr>
      </xdr:nvGrpSpPr>
      <xdr:grpSpPr bwMode="auto">
        <a:xfrm>
          <a:off x="628650" y="40062150"/>
          <a:ext cx="704850" cy="109202"/>
          <a:chOff x="88" y="155"/>
          <a:chExt cx="74" cy="11"/>
        </a:xfrm>
      </xdr:grpSpPr>
      <xdr:sp macro="" textlink="">
        <xdr:nvSpPr>
          <xdr:cNvPr id="357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58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59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208</xdr:row>
      <xdr:rowOff>47625</xdr:rowOff>
    </xdr:from>
    <xdr:to>
      <xdr:col>3</xdr:col>
      <xdr:colOff>0</xdr:colOff>
      <xdr:row>208</xdr:row>
      <xdr:rowOff>156827</xdr:rowOff>
    </xdr:to>
    <xdr:grpSp>
      <xdr:nvGrpSpPr>
        <xdr:cNvPr id="364" name="Group 776"/>
        <xdr:cNvGrpSpPr>
          <a:grpSpLocks/>
        </xdr:cNvGrpSpPr>
      </xdr:nvGrpSpPr>
      <xdr:grpSpPr bwMode="auto">
        <a:xfrm>
          <a:off x="628650" y="41652825"/>
          <a:ext cx="704850" cy="109202"/>
          <a:chOff x="88" y="155"/>
          <a:chExt cx="74" cy="11"/>
        </a:xfrm>
      </xdr:grpSpPr>
      <xdr:sp macro="" textlink="">
        <xdr:nvSpPr>
          <xdr:cNvPr id="365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66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67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184</xdr:row>
      <xdr:rowOff>47625</xdr:rowOff>
    </xdr:from>
    <xdr:to>
      <xdr:col>3</xdr:col>
      <xdr:colOff>0</xdr:colOff>
      <xdr:row>184</xdr:row>
      <xdr:rowOff>156827</xdr:rowOff>
    </xdr:to>
    <xdr:grpSp>
      <xdr:nvGrpSpPr>
        <xdr:cNvPr id="372" name="Group 776"/>
        <xdr:cNvGrpSpPr>
          <a:grpSpLocks/>
        </xdr:cNvGrpSpPr>
      </xdr:nvGrpSpPr>
      <xdr:grpSpPr bwMode="auto">
        <a:xfrm>
          <a:off x="628650" y="36852225"/>
          <a:ext cx="704850" cy="109202"/>
          <a:chOff x="88" y="155"/>
          <a:chExt cx="74" cy="11"/>
        </a:xfrm>
      </xdr:grpSpPr>
      <xdr:sp macro="" textlink="">
        <xdr:nvSpPr>
          <xdr:cNvPr id="373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74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75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176</xdr:row>
      <xdr:rowOff>38100</xdr:rowOff>
    </xdr:from>
    <xdr:to>
      <xdr:col>3</xdr:col>
      <xdr:colOff>0</xdr:colOff>
      <xdr:row>176</xdr:row>
      <xdr:rowOff>147302</xdr:rowOff>
    </xdr:to>
    <xdr:grpSp>
      <xdr:nvGrpSpPr>
        <xdr:cNvPr id="380" name="Group 776"/>
        <xdr:cNvGrpSpPr>
          <a:grpSpLocks/>
        </xdr:cNvGrpSpPr>
      </xdr:nvGrpSpPr>
      <xdr:grpSpPr bwMode="auto">
        <a:xfrm>
          <a:off x="628650" y="35242500"/>
          <a:ext cx="704850" cy="109202"/>
          <a:chOff x="88" y="155"/>
          <a:chExt cx="74" cy="11"/>
        </a:xfrm>
      </xdr:grpSpPr>
      <xdr:sp macro="" textlink="">
        <xdr:nvSpPr>
          <xdr:cNvPr id="381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82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83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168</xdr:row>
      <xdr:rowOff>85725</xdr:rowOff>
    </xdr:from>
    <xdr:to>
      <xdr:col>3</xdr:col>
      <xdr:colOff>0</xdr:colOff>
      <xdr:row>168</xdr:row>
      <xdr:rowOff>194927</xdr:rowOff>
    </xdr:to>
    <xdr:grpSp>
      <xdr:nvGrpSpPr>
        <xdr:cNvPr id="388" name="Group 776"/>
        <xdr:cNvGrpSpPr>
          <a:grpSpLocks/>
        </xdr:cNvGrpSpPr>
      </xdr:nvGrpSpPr>
      <xdr:grpSpPr bwMode="auto">
        <a:xfrm>
          <a:off x="628650" y="33689925"/>
          <a:ext cx="704850" cy="109202"/>
          <a:chOff x="88" y="155"/>
          <a:chExt cx="74" cy="11"/>
        </a:xfrm>
      </xdr:grpSpPr>
      <xdr:sp macro="" textlink="">
        <xdr:nvSpPr>
          <xdr:cNvPr id="389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90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91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160</xdr:row>
      <xdr:rowOff>66675</xdr:rowOff>
    </xdr:from>
    <xdr:to>
      <xdr:col>3</xdr:col>
      <xdr:colOff>0</xdr:colOff>
      <xdr:row>160</xdr:row>
      <xdr:rowOff>175877</xdr:rowOff>
    </xdr:to>
    <xdr:grpSp>
      <xdr:nvGrpSpPr>
        <xdr:cNvPr id="396" name="Group 776"/>
        <xdr:cNvGrpSpPr>
          <a:grpSpLocks/>
        </xdr:cNvGrpSpPr>
      </xdr:nvGrpSpPr>
      <xdr:grpSpPr bwMode="auto">
        <a:xfrm>
          <a:off x="628650" y="32070675"/>
          <a:ext cx="704850" cy="109202"/>
          <a:chOff x="88" y="155"/>
          <a:chExt cx="74" cy="11"/>
        </a:xfrm>
      </xdr:grpSpPr>
      <xdr:sp macro="" textlink="">
        <xdr:nvSpPr>
          <xdr:cNvPr id="397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398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399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152</xdr:row>
      <xdr:rowOff>57150</xdr:rowOff>
    </xdr:from>
    <xdr:to>
      <xdr:col>3</xdr:col>
      <xdr:colOff>0</xdr:colOff>
      <xdr:row>152</xdr:row>
      <xdr:rowOff>166352</xdr:rowOff>
    </xdr:to>
    <xdr:grpSp>
      <xdr:nvGrpSpPr>
        <xdr:cNvPr id="404" name="Group 776"/>
        <xdr:cNvGrpSpPr>
          <a:grpSpLocks/>
        </xdr:cNvGrpSpPr>
      </xdr:nvGrpSpPr>
      <xdr:grpSpPr bwMode="auto">
        <a:xfrm>
          <a:off x="628650" y="30460950"/>
          <a:ext cx="704850" cy="109202"/>
          <a:chOff x="88" y="155"/>
          <a:chExt cx="74" cy="11"/>
        </a:xfrm>
      </xdr:grpSpPr>
      <xdr:sp macro="" textlink="">
        <xdr:nvSpPr>
          <xdr:cNvPr id="405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06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07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144</xdr:row>
      <xdr:rowOff>57150</xdr:rowOff>
    </xdr:from>
    <xdr:to>
      <xdr:col>3</xdr:col>
      <xdr:colOff>0</xdr:colOff>
      <xdr:row>144</xdr:row>
      <xdr:rowOff>166352</xdr:rowOff>
    </xdr:to>
    <xdr:grpSp>
      <xdr:nvGrpSpPr>
        <xdr:cNvPr id="412" name="Group 776"/>
        <xdr:cNvGrpSpPr>
          <a:grpSpLocks/>
        </xdr:cNvGrpSpPr>
      </xdr:nvGrpSpPr>
      <xdr:grpSpPr bwMode="auto">
        <a:xfrm>
          <a:off x="628650" y="28860750"/>
          <a:ext cx="704850" cy="109202"/>
          <a:chOff x="88" y="155"/>
          <a:chExt cx="74" cy="11"/>
        </a:xfrm>
      </xdr:grpSpPr>
      <xdr:sp macro="" textlink="">
        <xdr:nvSpPr>
          <xdr:cNvPr id="413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14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15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136</xdr:row>
      <xdr:rowOff>57150</xdr:rowOff>
    </xdr:from>
    <xdr:to>
      <xdr:col>3</xdr:col>
      <xdr:colOff>0</xdr:colOff>
      <xdr:row>136</xdr:row>
      <xdr:rowOff>166352</xdr:rowOff>
    </xdr:to>
    <xdr:grpSp>
      <xdr:nvGrpSpPr>
        <xdr:cNvPr id="420" name="Group 776"/>
        <xdr:cNvGrpSpPr>
          <a:grpSpLocks/>
        </xdr:cNvGrpSpPr>
      </xdr:nvGrpSpPr>
      <xdr:grpSpPr bwMode="auto">
        <a:xfrm>
          <a:off x="628650" y="27260550"/>
          <a:ext cx="704850" cy="109202"/>
          <a:chOff x="88" y="155"/>
          <a:chExt cx="74" cy="11"/>
        </a:xfrm>
      </xdr:grpSpPr>
      <xdr:sp macro="" textlink="">
        <xdr:nvSpPr>
          <xdr:cNvPr id="421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22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23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128</xdr:row>
      <xdr:rowOff>66675</xdr:rowOff>
    </xdr:from>
    <xdr:to>
      <xdr:col>3</xdr:col>
      <xdr:colOff>0</xdr:colOff>
      <xdr:row>128</xdr:row>
      <xdr:rowOff>175877</xdr:rowOff>
    </xdr:to>
    <xdr:grpSp>
      <xdr:nvGrpSpPr>
        <xdr:cNvPr id="428" name="Group 776"/>
        <xdr:cNvGrpSpPr>
          <a:grpSpLocks/>
        </xdr:cNvGrpSpPr>
      </xdr:nvGrpSpPr>
      <xdr:grpSpPr bwMode="auto">
        <a:xfrm>
          <a:off x="628650" y="25669875"/>
          <a:ext cx="704850" cy="109202"/>
          <a:chOff x="88" y="155"/>
          <a:chExt cx="74" cy="11"/>
        </a:xfrm>
      </xdr:grpSpPr>
      <xdr:sp macro="" textlink="">
        <xdr:nvSpPr>
          <xdr:cNvPr id="429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30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31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120</xdr:row>
      <xdr:rowOff>47625</xdr:rowOff>
    </xdr:from>
    <xdr:to>
      <xdr:col>3</xdr:col>
      <xdr:colOff>0</xdr:colOff>
      <xdr:row>120</xdr:row>
      <xdr:rowOff>156827</xdr:rowOff>
    </xdr:to>
    <xdr:grpSp>
      <xdr:nvGrpSpPr>
        <xdr:cNvPr id="432" name="Group 776"/>
        <xdr:cNvGrpSpPr>
          <a:grpSpLocks/>
        </xdr:cNvGrpSpPr>
      </xdr:nvGrpSpPr>
      <xdr:grpSpPr bwMode="auto">
        <a:xfrm>
          <a:off x="628650" y="24050625"/>
          <a:ext cx="704850" cy="109202"/>
          <a:chOff x="88" y="155"/>
          <a:chExt cx="74" cy="11"/>
        </a:xfrm>
      </xdr:grpSpPr>
      <xdr:sp macro="" textlink="">
        <xdr:nvSpPr>
          <xdr:cNvPr id="433" name="Line 777"/>
          <xdr:cNvSpPr>
            <a:spLocks noChangeShapeType="1"/>
          </xdr:cNvSpPr>
        </xdr:nvSpPr>
        <xdr:spPr bwMode="auto">
          <a:xfrm>
            <a:off x="88" y="160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 type="triangle" w="sm" len="lg"/>
            <a:tailEnd type="triangle" w="sm" len="lg"/>
          </a:ln>
        </xdr:spPr>
      </xdr:sp>
      <xdr:sp macro="" textlink="">
        <xdr:nvSpPr>
          <xdr:cNvPr id="434" name="Line 778"/>
          <xdr:cNvSpPr>
            <a:spLocks noChangeShapeType="1"/>
          </xdr:cNvSpPr>
        </xdr:nvSpPr>
        <xdr:spPr bwMode="auto">
          <a:xfrm>
            <a:off x="88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  <xdr:sp macro="" textlink="">
        <xdr:nvSpPr>
          <xdr:cNvPr id="435" name="Line 779"/>
          <xdr:cNvSpPr>
            <a:spLocks noChangeShapeType="1"/>
          </xdr:cNvSpPr>
        </xdr:nvSpPr>
        <xdr:spPr bwMode="auto">
          <a:xfrm>
            <a:off x="162" y="155"/>
            <a:ext cx="0" cy="11"/>
          </a:xfrm>
          <a:prstGeom prst="line">
            <a:avLst/>
          </a:prstGeom>
          <a:noFill/>
          <a:ln w="9525">
            <a:solidFill>
              <a:srgbClr val="000000"/>
            </a:solidFill>
            <a:prstDash val="lgDashDot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66675</xdr:rowOff>
    </xdr:from>
    <xdr:to>
      <xdr:col>2</xdr:col>
      <xdr:colOff>57150</xdr:colOff>
      <xdr:row>3</xdr:row>
      <xdr:rowOff>190500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838200" y="704850"/>
          <a:ext cx="12382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3</xdr:row>
      <xdr:rowOff>28575</xdr:rowOff>
    </xdr:from>
    <xdr:to>
      <xdr:col>13</xdr:col>
      <xdr:colOff>85725</xdr:colOff>
      <xdr:row>3</xdr:row>
      <xdr:rowOff>228600</xdr:rowOff>
    </xdr:to>
    <xdr:grpSp>
      <xdr:nvGrpSpPr>
        <xdr:cNvPr id="3" name="50 Grupo"/>
        <xdr:cNvGrpSpPr>
          <a:grpSpLocks/>
        </xdr:cNvGrpSpPr>
      </xdr:nvGrpSpPr>
      <xdr:grpSpPr bwMode="auto">
        <a:xfrm>
          <a:off x="1628775" y="666750"/>
          <a:ext cx="4762500" cy="200025"/>
          <a:chOff x="1629569" y="667544"/>
          <a:chExt cx="4770437" cy="202408"/>
        </a:xfrm>
      </xdr:grpSpPr>
      <xdr:sp macro="" textlink="">
        <xdr:nvSpPr>
          <xdr:cNvPr id="4" name="Rectangle 2"/>
          <xdr:cNvSpPr>
            <a:spLocks noChangeArrowheads="1"/>
          </xdr:cNvSpPr>
        </xdr:nvSpPr>
        <xdr:spPr bwMode="auto">
          <a:xfrm>
            <a:off x="6237288" y="667544"/>
            <a:ext cx="162718" cy="161925"/>
          </a:xfrm>
          <a:prstGeom prst="rect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3"/>
          <xdr:cNvSpPr>
            <a:spLocks noChangeArrowheads="1"/>
          </xdr:cNvSpPr>
        </xdr:nvSpPr>
        <xdr:spPr bwMode="auto">
          <a:xfrm>
            <a:off x="6256338" y="686594"/>
            <a:ext cx="124618" cy="1238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6" name="Group 4"/>
          <xdr:cNvGrpSpPr>
            <a:grpSpLocks/>
          </xdr:cNvGrpSpPr>
        </xdr:nvGrpSpPr>
        <xdr:grpSpPr bwMode="auto">
          <a:xfrm>
            <a:off x="2164556" y="705644"/>
            <a:ext cx="142875" cy="123825"/>
            <a:chOff x="216" y="52"/>
            <a:chExt cx="15" cy="13"/>
          </a:xfrm>
        </xdr:grpSpPr>
        <xdr:sp macro="" textlink="">
          <xdr:nvSpPr>
            <xdr:cNvPr id="48" name="Rectangle 5" descr="90%"/>
            <xdr:cNvSpPr>
              <a:spLocks noChangeArrowheads="1"/>
            </xdr:cNvSpPr>
          </xdr:nvSpPr>
          <xdr:spPr bwMode="auto">
            <a:xfrm rot="5400000">
              <a:off x="224" y="58"/>
              <a:ext cx="13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Rectangle 6"/>
            <xdr:cNvSpPr>
              <a:spLocks noChangeArrowheads="1"/>
            </xdr:cNvSpPr>
          </xdr:nvSpPr>
          <xdr:spPr bwMode="auto">
            <a:xfrm>
              <a:off x="216" y="52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7" name="Rectangle 8"/>
          <xdr:cNvSpPr>
            <a:spLocks noChangeArrowheads="1"/>
          </xdr:cNvSpPr>
        </xdr:nvSpPr>
        <xdr:spPr bwMode="auto">
          <a:xfrm>
            <a:off x="4568825" y="709613"/>
            <a:ext cx="123825" cy="1238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9"/>
          <xdr:cNvSpPr>
            <a:spLocks noChangeArrowheads="1"/>
          </xdr:cNvSpPr>
        </xdr:nvSpPr>
        <xdr:spPr bwMode="auto">
          <a:xfrm rot="5400000">
            <a:off x="4492625" y="757238"/>
            <a:ext cx="142875" cy="19050"/>
          </a:xfrm>
          <a:prstGeom prst="rect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Rectangle 10" descr="90%"/>
          <xdr:cNvSpPr>
            <a:spLocks noChangeArrowheads="1"/>
          </xdr:cNvSpPr>
        </xdr:nvSpPr>
        <xdr:spPr bwMode="auto">
          <a:xfrm>
            <a:off x="4559300" y="694532"/>
            <a:ext cx="142875" cy="9525"/>
          </a:xfrm>
          <a:prstGeom prst="rect">
            <a:avLst/>
          </a:prstGeom>
          <a:pattFill prst="pct90">
            <a:fgClr>
              <a:srgbClr val="000000"/>
            </a:fgClr>
            <a:bgClr>
              <a:srgbClr val="FFFFFF"/>
            </a:bgClr>
          </a:patt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1"/>
          <xdr:cNvSpPr>
            <a:spLocks noChangeArrowheads="1"/>
          </xdr:cNvSpPr>
        </xdr:nvSpPr>
        <xdr:spPr bwMode="auto">
          <a:xfrm rot="5400000">
            <a:off x="4625975" y="757238"/>
            <a:ext cx="142875" cy="19050"/>
          </a:xfrm>
          <a:prstGeom prst="rect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11" name="Group 12"/>
          <xdr:cNvGrpSpPr>
            <a:grpSpLocks/>
          </xdr:cNvGrpSpPr>
        </xdr:nvGrpSpPr>
        <xdr:grpSpPr bwMode="auto">
          <a:xfrm>
            <a:off x="1888331" y="686594"/>
            <a:ext cx="123825" cy="142875"/>
            <a:chOff x="187" y="50"/>
            <a:chExt cx="13" cy="15"/>
          </a:xfrm>
        </xdr:grpSpPr>
        <xdr:sp macro="" textlink="">
          <xdr:nvSpPr>
            <xdr:cNvPr id="46" name="Rectangle 13"/>
            <xdr:cNvSpPr>
              <a:spLocks noChangeArrowheads="1"/>
            </xdr:cNvSpPr>
          </xdr:nvSpPr>
          <xdr:spPr bwMode="auto">
            <a:xfrm>
              <a:off x="187" y="52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Rectangle 14" descr="90%"/>
            <xdr:cNvSpPr>
              <a:spLocks noChangeArrowheads="1"/>
            </xdr:cNvSpPr>
          </xdr:nvSpPr>
          <xdr:spPr bwMode="auto">
            <a:xfrm>
              <a:off x="187" y="50"/>
              <a:ext cx="13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2" name="Group 15"/>
          <xdr:cNvGrpSpPr>
            <a:grpSpLocks/>
          </xdr:cNvGrpSpPr>
        </xdr:nvGrpSpPr>
        <xdr:grpSpPr bwMode="auto">
          <a:xfrm rot="10800000">
            <a:off x="1629569" y="696119"/>
            <a:ext cx="123825" cy="142875"/>
            <a:chOff x="187" y="50"/>
            <a:chExt cx="13" cy="15"/>
          </a:xfrm>
        </xdr:grpSpPr>
        <xdr:sp macro="" textlink="">
          <xdr:nvSpPr>
            <xdr:cNvPr id="44" name="Rectangle 16"/>
            <xdr:cNvSpPr>
              <a:spLocks noChangeArrowheads="1"/>
            </xdr:cNvSpPr>
          </xdr:nvSpPr>
          <xdr:spPr bwMode="auto">
            <a:xfrm>
              <a:off x="187" y="52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5" name="Rectangle 17" descr="90%"/>
            <xdr:cNvSpPr>
              <a:spLocks noChangeArrowheads="1"/>
            </xdr:cNvSpPr>
          </xdr:nvSpPr>
          <xdr:spPr bwMode="auto">
            <a:xfrm>
              <a:off x="187" y="50"/>
              <a:ext cx="13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" name="Group 18"/>
          <xdr:cNvGrpSpPr>
            <a:grpSpLocks/>
          </xdr:cNvGrpSpPr>
        </xdr:nvGrpSpPr>
        <xdr:grpSpPr bwMode="auto">
          <a:xfrm rot="10800000">
            <a:off x="2451100" y="705644"/>
            <a:ext cx="142875" cy="133350"/>
            <a:chOff x="216" y="52"/>
            <a:chExt cx="15" cy="13"/>
          </a:xfrm>
        </xdr:grpSpPr>
        <xdr:sp macro="" textlink="">
          <xdr:nvSpPr>
            <xdr:cNvPr id="42" name="Rectangle 19" descr="90%"/>
            <xdr:cNvSpPr>
              <a:spLocks noChangeArrowheads="1"/>
            </xdr:cNvSpPr>
          </xdr:nvSpPr>
          <xdr:spPr bwMode="auto">
            <a:xfrm rot="5400000">
              <a:off x="224" y="58"/>
              <a:ext cx="13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3" name="Rectangle 20"/>
            <xdr:cNvSpPr>
              <a:spLocks noChangeArrowheads="1"/>
            </xdr:cNvSpPr>
          </xdr:nvSpPr>
          <xdr:spPr bwMode="auto">
            <a:xfrm>
              <a:off x="216" y="52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4" name="Group 21"/>
          <xdr:cNvGrpSpPr>
            <a:grpSpLocks/>
          </xdr:cNvGrpSpPr>
        </xdr:nvGrpSpPr>
        <xdr:grpSpPr bwMode="auto">
          <a:xfrm>
            <a:off x="3948906" y="686594"/>
            <a:ext cx="142875" cy="142875"/>
            <a:chOff x="302" y="49"/>
            <a:chExt cx="15" cy="15"/>
          </a:xfrm>
        </xdr:grpSpPr>
        <xdr:sp macro="" textlink="">
          <xdr:nvSpPr>
            <xdr:cNvPr id="39" name="Rectangle 22"/>
            <xdr:cNvSpPr>
              <a:spLocks noChangeArrowheads="1"/>
            </xdr:cNvSpPr>
          </xdr:nvSpPr>
          <xdr:spPr bwMode="auto">
            <a:xfrm>
              <a:off x="302" y="51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0" name="Rectangle 23"/>
            <xdr:cNvSpPr>
              <a:spLocks noChangeArrowheads="1"/>
            </xdr:cNvSpPr>
          </xdr:nvSpPr>
          <xdr:spPr bwMode="auto">
            <a:xfrm rot="5400000">
              <a:off x="309" y="56"/>
              <a:ext cx="14" cy="2"/>
            </a:xfrm>
            <a:prstGeom prst="rect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1" name="Rectangle 24" descr="90%"/>
            <xdr:cNvSpPr>
              <a:spLocks noChangeArrowheads="1"/>
            </xdr:cNvSpPr>
          </xdr:nvSpPr>
          <xdr:spPr bwMode="auto">
            <a:xfrm>
              <a:off x="302" y="49"/>
              <a:ext cx="15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5" name="Group 25"/>
          <xdr:cNvGrpSpPr>
            <a:grpSpLocks/>
          </xdr:cNvGrpSpPr>
        </xdr:nvGrpSpPr>
        <xdr:grpSpPr bwMode="auto">
          <a:xfrm>
            <a:off x="3156744" y="696119"/>
            <a:ext cx="152400" cy="133350"/>
            <a:chOff x="270" y="52"/>
            <a:chExt cx="16" cy="13"/>
          </a:xfrm>
        </xdr:grpSpPr>
        <xdr:grpSp>
          <xdr:nvGrpSpPr>
            <xdr:cNvPr id="35" name="Group 26"/>
            <xdr:cNvGrpSpPr>
              <a:grpSpLocks/>
            </xdr:cNvGrpSpPr>
          </xdr:nvGrpSpPr>
          <xdr:grpSpPr bwMode="auto">
            <a:xfrm rot="10800000">
              <a:off x="270" y="52"/>
              <a:ext cx="15" cy="13"/>
              <a:chOff x="216" y="52"/>
              <a:chExt cx="15" cy="13"/>
            </a:xfrm>
          </xdr:grpSpPr>
          <xdr:sp macro="" textlink="">
            <xdr:nvSpPr>
              <xdr:cNvPr id="37" name="Rectangle 27" descr="90%"/>
              <xdr:cNvSpPr>
                <a:spLocks noChangeArrowheads="1"/>
              </xdr:cNvSpPr>
            </xdr:nvSpPr>
            <xdr:spPr bwMode="auto">
              <a:xfrm rot="5400000">
                <a:off x="224" y="58"/>
                <a:ext cx="13" cy="1"/>
              </a:xfrm>
              <a:prstGeom prst="rect">
                <a:avLst/>
              </a:prstGeom>
              <a:pattFill prst="pct90">
                <a:fgClr>
                  <a:srgbClr val="000000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8" name="Rectangle 28"/>
              <xdr:cNvSpPr>
                <a:spLocks noChangeArrowheads="1"/>
              </xdr:cNvSpPr>
            </xdr:nvSpPr>
            <xdr:spPr bwMode="auto">
              <a:xfrm>
                <a:off x="216" y="52"/>
                <a:ext cx="13" cy="1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sp macro="" textlink="">
          <xdr:nvSpPr>
            <xdr:cNvPr id="36" name="Rectangle 29" descr="90%"/>
            <xdr:cNvSpPr>
              <a:spLocks noChangeArrowheads="1"/>
            </xdr:cNvSpPr>
          </xdr:nvSpPr>
          <xdr:spPr bwMode="auto">
            <a:xfrm rot="-5400000">
              <a:off x="279" y="58"/>
              <a:ext cx="13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6" name="Group 30"/>
          <xdr:cNvGrpSpPr>
            <a:grpSpLocks/>
          </xdr:cNvGrpSpPr>
        </xdr:nvGrpSpPr>
        <xdr:grpSpPr bwMode="auto">
          <a:xfrm>
            <a:off x="3557588" y="686594"/>
            <a:ext cx="133350" cy="152400"/>
            <a:chOff x="288" y="50"/>
            <a:chExt cx="13" cy="16"/>
          </a:xfrm>
        </xdr:grpSpPr>
        <xdr:grpSp>
          <xdr:nvGrpSpPr>
            <xdr:cNvPr id="31" name="Group 31"/>
            <xdr:cNvGrpSpPr>
              <a:grpSpLocks/>
            </xdr:cNvGrpSpPr>
          </xdr:nvGrpSpPr>
          <xdr:grpSpPr bwMode="auto">
            <a:xfrm rot="-5400000">
              <a:off x="287" y="51"/>
              <a:ext cx="15" cy="13"/>
              <a:chOff x="216" y="52"/>
              <a:chExt cx="15" cy="13"/>
            </a:xfrm>
          </xdr:grpSpPr>
          <xdr:sp macro="" textlink="">
            <xdr:nvSpPr>
              <xdr:cNvPr id="33" name="Rectangle 32" descr="90%"/>
              <xdr:cNvSpPr>
                <a:spLocks noChangeArrowheads="1"/>
              </xdr:cNvSpPr>
            </xdr:nvSpPr>
            <xdr:spPr bwMode="auto">
              <a:xfrm rot="5400000">
                <a:off x="224" y="58"/>
                <a:ext cx="13" cy="1"/>
              </a:xfrm>
              <a:prstGeom prst="rect">
                <a:avLst/>
              </a:prstGeom>
              <a:pattFill prst="pct90">
                <a:fgClr>
                  <a:srgbClr val="000000"/>
                </a:fgClr>
                <a:bgClr>
                  <a:srgbClr val="FFFFFF"/>
                </a:bgClr>
              </a:patt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4" name="Rectangle 33"/>
              <xdr:cNvSpPr>
                <a:spLocks noChangeArrowheads="1"/>
              </xdr:cNvSpPr>
            </xdr:nvSpPr>
            <xdr:spPr bwMode="auto">
              <a:xfrm>
                <a:off x="216" y="52"/>
                <a:ext cx="13" cy="13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sp macro="" textlink="">
          <xdr:nvSpPr>
            <xdr:cNvPr id="32" name="Rectangle 34" descr="90%"/>
            <xdr:cNvSpPr>
              <a:spLocks noChangeArrowheads="1"/>
            </xdr:cNvSpPr>
          </xdr:nvSpPr>
          <xdr:spPr bwMode="auto">
            <a:xfrm>
              <a:off x="288" y="65"/>
              <a:ext cx="13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7" name="Group 35"/>
          <xdr:cNvGrpSpPr>
            <a:grpSpLocks/>
          </xdr:cNvGrpSpPr>
        </xdr:nvGrpSpPr>
        <xdr:grpSpPr bwMode="auto">
          <a:xfrm rot="5400000">
            <a:off x="4855421" y="706148"/>
            <a:ext cx="142875" cy="142875"/>
            <a:chOff x="411" y="48"/>
            <a:chExt cx="15" cy="15"/>
          </a:xfrm>
        </xdr:grpSpPr>
        <xdr:sp macro="" textlink="">
          <xdr:nvSpPr>
            <xdr:cNvPr id="27" name="Rectangle 36"/>
            <xdr:cNvSpPr>
              <a:spLocks noChangeArrowheads="1"/>
            </xdr:cNvSpPr>
          </xdr:nvSpPr>
          <xdr:spPr bwMode="auto">
            <a:xfrm>
              <a:off x="411" y="50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8" name="Rectangle 37"/>
            <xdr:cNvSpPr>
              <a:spLocks noChangeArrowheads="1"/>
            </xdr:cNvSpPr>
          </xdr:nvSpPr>
          <xdr:spPr bwMode="auto">
            <a:xfrm rot="5400000">
              <a:off x="404" y="55"/>
              <a:ext cx="15" cy="2"/>
            </a:xfrm>
            <a:prstGeom prst="rect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DO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0</a:t>
              </a:r>
            </a:p>
          </xdr:txBody>
        </xdr:sp>
        <xdr:sp macro="" textlink="">
          <xdr:nvSpPr>
            <xdr:cNvPr id="29" name="Rectangle 38" descr="90%"/>
            <xdr:cNvSpPr>
              <a:spLocks noChangeArrowheads="1"/>
            </xdr:cNvSpPr>
          </xdr:nvSpPr>
          <xdr:spPr bwMode="auto">
            <a:xfrm>
              <a:off x="411" y="48"/>
              <a:ext cx="15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0" name="Rectangle 39"/>
            <xdr:cNvSpPr>
              <a:spLocks noChangeArrowheads="1"/>
            </xdr:cNvSpPr>
          </xdr:nvSpPr>
          <xdr:spPr bwMode="auto">
            <a:xfrm rot="5400000">
              <a:off x="417" y="55"/>
              <a:ext cx="15" cy="2"/>
            </a:xfrm>
            <a:prstGeom prst="rect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DO" sz="10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0</a:t>
              </a:r>
            </a:p>
          </xdr:txBody>
        </xdr:sp>
      </xdr:grpSp>
      <xdr:grpSp>
        <xdr:nvGrpSpPr>
          <xdr:cNvPr id="18" name="Group 40"/>
          <xdr:cNvGrpSpPr>
            <a:grpSpLocks/>
          </xdr:cNvGrpSpPr>
        </xdr:nvGrpSpPr>
        <xdr:grpSpPr bwMode="auto">
          <a:xfrm rot="10800000">
            <a:off x="5131594" y="719138"/>
            <a:ext cx="161925" cy="142875"/>
            <a:chOff x="407" y="45"/>
            <a:chExt cx="17" cy="15"/>
          </a:xfrm>
        </xdr:grpSpPr>
        <xdr:sp macro="" textlink="">
          <xdr:nvSpPr>
            <xdr:cNvPr id="23" name="Rectangle 41"/>
            <xdr:cNvSpPr>
              <a:spLocks noChangeArrowheads="1"/>
            </xdr:cNvSpPr>
          </xdr:nvSpPr>
          <xdr:spPr bwMode="auto">
            <a:xfrm>
              <a:off x="408" y="47"/>
              <a:ext cx="13" cy="1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Rectangle 42"/>
            <xdr:cNvSpPr>
              <a:spLocks noChangeArrowheads="1"/>
            </xdr:cNvSpPr>
          </xdr:nvSpPr>
          <xdr:spPr bwMode="auto">
            <a:xfrm rot="5400000">
              <a:off x="401" y="52"/>
              <a:ext cx="15" cy="2"/>
            </a:xfrm>
            <a:prstGeom prst="rect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Rectangle 43" descr="90%"/>
            <xdr:cNvSpPr>
              <a:spLocks noChangeArrowheads="1"/>
            </xdr:cNvSpPr>
          </xdr:nvSpPr>
          <xdr:spPr bwMode="auto">
            <a:xfrm>
              <a:off x="407" y="46"/>
              <a:ext cx="15" cy="1"/>
            </a:xfrm>
            <a:prstGeom prst="rect">
              <a:avLst/>
            </a:prstGeom>
            <a:pattFill prst="pct90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6" name="Rectangle 44"/>
            <xdr:cNvSpPr>
              <a:spLocks noChangeArrowheads="1"/>
            </xdr:cNvSpPr>
          </xdr:nvSpPr>
          <xdr:spPr bwMode="auto">
            <a:xfrm rot="5400000">
              <a:off x="415" y="52"/>
              <a:ext cx="15" cy="2"/>
            </a:xfrm>
            <a:prstGeom prst="rect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9" name="Rectangle 46"/>
          <xdr:cNvSpPr>
            <a:spLocks noChangeArrowheads="1"/>
          </xdr:cNvSpPr>
        </xdr:nvSpPr>
        <xdr:spPr bwMode="auto">
          <a:xfrm rot="-5400000">
            <a:off x="5426870" y="719933"/>
            <a:ext cx="123825" cy="1238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47"/>
          <xdr:cNvSpPr>
            <a:spLocks noChangeArrowheads="1"/>
          </xdr:cNvSpPr>
        </xdr:nvSpPr>
        <xdr:spPr bwMode="auto">
          <a:xfrm>
            <a:off x="5417296" y="850675"/>
            <a:ext cx="143113" cy="19277"/>
          </a:xfrm>
          <a:prstGeom prst="rect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s-DO" sz="1000" b="0" i="0" strike="noStrike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</xdr:txBody>
      </xdr:sp>
      <xdr:sp macro="" textlink="">
        <xdr:nvSpPr>
          <xdr:cNvPr id="21" name="Rectangle 48" descr="90%"/>
          <xdr:cNvSpPr>
            <a:spLocks noChangeArrowheads="1"/>
          </xdr:cNvSpPr>
        </xdr:nvSpPr>
        <xdr:spPr bwMode="auto">
          <a:xfrm rot="-5400000">
            <a:off x="5345114" y="777083"/>
            <a:ext cx="142875" cy="9525"/>
          </a:xfrm>
          <a:prstGeom prst="rect">
            <a:avLst/>
          </a:prstGeom>
          <a:pattFill prst="pct90">
            <a:fgClr>
              <a:srgbClr val="000000"/>
            </a:fgClr>
            <a:bgClr>
              <a:srgbClr val="FFFFFF"/>
            </a:bgClr>
          </a:patt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49"/>
          <xdr:cNvSpPr>
            <a:spLocks noChangeArrowheads="1"/>
          </xdr:cNvSpPr>
        </xdr:nvSpPr>
        <xdr:spPr bwMode="auto">
          <a:xfrm>
            <a:off x="5414172" y="697707"/>
            <a:ext cx="142875" cy="19050"/>
          </a:xfrm>
          <a:prstGeom prst="rect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ARITZA\Documents\1%20Ing.%20Pedro%20Rosario\3%20CIVIL%20ENGINEERING\ANALISIS%20DE%20COSTOS%20Y%20PRESUPUESTOS\1%20Angel%20D&#237;a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ARITZA\Documents\1%20Ing.%20Pedro%20Rosario\3%20CIVIL%20ENGINEERING\ANALISIS%20DE%20COSTOS%20Y%20PRESUPUESTOS\Presupuesto%20Yan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ARITZA\Documents\1%20Ing.%20Pedro%20Rosario\3%20CIVIL%20ENGINEERING\ANALISIS%20DE%20COSTOS%20Y%20PRESUPUESTOS\Analisis%20de%20Costos%20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H&#233;ctor%20Moya\My%20Documents\Maestria%20Administracion%20de%20la%20Construccion\4.%20Analisis%20de%20Costos\Estimados%20de%20Obra%20(%20Maestria%20)\Proyecto%20Final\ANALISIS%20DE%20COSTOS,%20FEB.%202005%20I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H&#233;ctor%20Moya\My%20Documents\Maestria%20Administracion%20de%20la%20Construccion\4.%20Analisis%20de%20Costos\Estimados%20de%20Obra%20(%20Maestria%20)\1.Proyecto%20Final\ANALISIS%20DE%20COSTOS,%20FEB.%202005%20I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ARITZA\Documents\1%20Ing.%20Pedro%20Rosario\3%20CIVIL%20ENGINEERING\CALCULOS%20ESTRUCTURALES\1%20Ingenieros%20y%20Arquitectos\Arq.%20Radek%20De%20Moya\2%20Vivienda%20a%20dos%20Niveles\New%20Folder\2B%20Losas%20de%20Entrepiso%200108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"/>
      <sheetName val="Planos"/>
      <sheetName val="Presup"/>
      <sheetName val="Ana"/>
      <sheetName val="Cálc"/>
      <sheetName val="Ind"/>
      <sheetName val="Ins"/>
      <sheetName val="Rndmnto"/>
      <sheetName val="M.O."/>
      <sheetName val="Res"/>
    </sheetNames>
    <sheetDataSet>
      <sheetData sheetId="0">
        <row r="13">
          <cell r="A13" t="str">
            <v>RESIDENCIA FAMILIAR DIAZ-HACHE</v>
          </cell>
        </row>
      </sheetData>
      <sheetData sheetId="1">
        <row r="1">
          <cell r="P1">
            <v>17</v>
          </cell>
        </row>
      </sheetData>
      <sheetData sheetId="2">
        <row r="11">
          <cell r="A11" t="str">
            <v>A</v>
          </cell>
        </row>
      </sheetData>
      <sheetData sheetId="3">
        <row r="11">
          <cell r="L11">
            <v>1531.98</v>
          </cell>
        </row>
        <row r="15">
          <cell r="L15">
            <v>2798.12</v>
          </cell>
        </row>
        <row r="19">
          <cell r="L19">
            <v>2795.7</v>
          </cell>
        </row>
        <row r="23">
          <cell r="L23">
            <v>2807.8399999999997</v>
          </cell>
        </row>
        <row r="27">
          <cell r="L27">
            <v>2804.1899999999996</v>
          </cell>
        </row>
        <row r="31">
          <cell r="L31">
            <v>2801.7599999999998</v>
          </cell>
        </row>
        <row r="35">
          <cell r="L35">
            <v>2777.6899999999996</v>
          </cell>
        </row>
        <row r="39">
          <cell r="L39">
            <v>3247.7</v>
          </cell>
        </row>
        <row r="43">
          <cell r="L43">
            <v>3247.7</v>
          </cell>
        </row>
        <row r="47">
          <cell r="L47">
            <v>3247.7</v>
          </cell>
        </row>
        <row r="51">
          <cell r="L51">
            <v>3247.7</v>
          </cell>
        </row>
        <row r="55">
          <cell r="L55">
            <v>3247.7</v>
          </cell>
        </row>
        <row r="59">
          <cell r="L59">
            <v>3247.7</v>
          </cell>
        </row>
        <row r="73">
          <cell r="L73">
            <v>632.38</v>
          </cell>
        </row>
        <row r="95">
          <cell r="L95">
            <v>904.17</v>
          </cell>
        </row>
        <row r="106">
          <cell r="L106">
            <v>768.48</v>
          </cell>
        </row>
        <row r="117">
          <cell r="L117">
            <v>801.5</v>
          </cell>
        </row>
        <row r="140">
          <cell r="L140">
            <v>1313.15</v>
          </cell>
        </row>
        <row r="151">
          <cell r="L151">
            <v>1156.93</v>
          </cell>
        </row>
        <row r="162">
          <cell r="L162">
            <v>1019.06</v>
          </cell>
        </row>
        <row r="173">
          <cell r="L173">
            <v>1164.48</v>
          </cell>
        </row>
        <row r="184">
          <cell r="L184">
            <v>1950.25</v>
          </cell>
        </row>
        <row r="189">
          <cell r="L189">
            <v>2743.64</v>
          </cell>
        </row>
        <row r="194">
          <cell r="L194">
            <v>1566.48</v>
          </cell>
        </row>
        <row r="199">
          <cell r="L199">
            <v>1271.42</v>
          </cell>
        </row>
        <row r="212">
          <cell r="L212">
            <v>931.1</v>
          </cell>
        </row>
        <row r="222">
          <cell r="L222">
            <v>1157.6400000000001</v>
          </cell>
        </row>
        <row r="232">
          <cell r="L232">
            <v>1262.9100000000001</v>
          </cell>
        </row>
        <row r="259">
          <cell r="L259">
            <v>17391.14</v>
          </cell>
        </row>
        <row r="260">
          <cell r="L260">
            <v>973.75</v>
          </cell>
        </row>
        <row r="296">
          <cell r="L296">
            <v>34609.65</v>
          </cell>
        </row>
        <row r="297">
          <cell r="L297">
            <v>1027.9100000000001</v>
          </cell>
        </row>
        <row r="311">
          <cell r="L311">
            <v>6782.28</v>
          </cell>
        </row>
        <row r="312">
          <cell r="L312">
            <v>678.23</v>
          </cell>
        </row>
        <row r="321">
          <cell r="L321">
            <v>980.21</v>
          </cell>
        </row>
        <row r="328">
          <cell r="L328">
            <v>1305.31</v>
          </cell>
        </row>
        <row r="350">
          <cell r="L350">
            <v>27.27</v>
          </cell>
        </row>
        <row r="355">
          <cell r="L355">
            <v>28.68</v>
          </cell>
        </row>
        <row r="359">
          <cell r="L359">
            <v>61.82</v>
          </cell>
        </row>
        <row r="364">
          <cell r="L364">
            <v>43.09</v>
          </cell>
        </row>
        <row r="371">
          <cell r="L371">
            <v>258.18</v>
          </cell>
        </row>
        <row r="376">
          <cell r="L376">
            <v>262.25</v>
          </cell>
        </row>
        <row r="383">
          <cell r="L383">
            <v>227.02</v>
          </cell>
        </row>
        <row r="391">
          <cell r="L391">
            <v>358.85</v>
          </cell>
        </row>
        <row r="399">
          <cell r="L399">
            <v>224.08</v>
          </cell>
        </row>
        <row r="407">
          <cell r="L407">
            <v>394.13</v>
          </cell>
        </row>
        <row r="414">
          <cell r="L414">
            <v>555.08000000000004</v>
          </cell>
        </row>
        <row r="422">
          <cell r="L422">
            <v>248</v>
          </cell>
        </row>
        <row r="427">
          <cell r="L427">
            <v>96.57</v>
          </cell>
        </row>
        <row r="432">
          <cell r="L432">
            <v>153.19999999999999</v>
          </cell>
        </row>
        <row r="437">
          <cell r="L437">
            <v>164.59</v>
          </cell>
        </row>
        <row r="442">
          <cell r="L442">
            <v>110.51</v>
          </cell>
        </row>
        <row r="451">
          <cell r="L451">
            <v>1424.17</v>
          </cell>
        </row>
        <row r="457">
          <cell r="L457">
            <v>1727.44</v>
          </cell>
        </row>
        <row r="464">
          <cell r="L464">
            <v>2317.37</v>
          </cell>
        </row>
        <row r="483">
          <cell r="L483">
            <v>21090.33</v>
          </cell>
        </row>
        <row r="487">
          <cell r="L487">
            <v>23167.24</v>
          </cell>
        </row>
        <row r="491">
          <cell r="L491">
            <v>23345.88</v>
          </cell>
        </row>
        <row r="586">
          <cell r="L586">
            <v>25820.11</v>
          </cell>
        </row>
        <row r="590">
          <cell r="L590">
            <v>26222.3</v>
          </cell>
        </row>
        <row r="595">
          <cell r="L595">
            <v>30516.18</v>
          </cell>
        </row>
        <row r="599">
          <cell r="L599">
            <v>34960.03</v>
          </cell>
        </row>
        <row r="612">
          <cell r="L612">
            <v>21667.27</v>
          </cell>
        </row>
        <row r="616">
          <cell r="L616">
            <v>22069.46</v>
          </cell>
        </row>
        <row r="668">
          <cell r="L668">
            <v>21756.46</v>
          </cell>
        </row>
        <row r="672">
          <cell r="L672">
            <v>22158.65</v>
          </cell>
        </row>
        <row r="685">
          <cell r="L685">
            <v>17236.23</v>
          </cell>
        </row>
        <row r="689">
          <cell r="L689">
            <v>17638.419999999998</v>
          </cell>
        </row>
        <row r="703">
          <cell r="L703">
            <v>17883.849999999999</v>
          </cell>
        </row>
        <row r="707">
          <cell r="L707">
            <v>15879.66</v>
          </cell>
        </row>
        <row r="721">
          <cell r="L721">
            <v>18042.53</v>
          </cell>
        </row>
        <row r="725">
          <cell r="L725">
            <v>15718.03</v>
          </cell>
        </row>
        <row r="738">
          <cell r="L738">
            <v>23271.01</v>
          </cell>
        </row>
        <row r="742">
          <cell r="L742">
            <v>22868.82</v>
          </cell>
        </row>
        <row r="755">
          <cell r="L755">
            <v>32129.68</v>
          </cell>
        </row>
        <row r="760">
          <cell r="L760">
            <v>32120.2</v>
          </cell>
        </row>
        <row r="765">
          <cell r="L765">
            <v>34071.78</v>
          </cell>
        </row>
        <row r="770">
          <cell r="L770">
            <v>34071.78</v>
          </cell>
        </row>
        <row r="783">
          <cell r="L783">
            <v>25393.48</v>
          </cell>
        </row>
        <row r="788">
          <cell r="L788">
            <v>25393.480000000003</v>
          </cell>
        </row>
        <row r="801">
          <cell r="L801">
            <v>24043.759999999998</v>
          </cell>
        </row>
        <row r="806">
          <cell r="L806">
            <v>24417.75</v>
          </cell>
        </row>
        <row r="811">
          <cell r="L811">
            <v>24035.439999999999</v>
          </cell>
        </row>
        <row r="816">
          <cell r="L816">
            <v>24409.43</v>
          </cell>
        </row>
        <row r="822">
          <cell r="L822">
            <v>25880.550000000003</v>
          </cell>
        </row>
        <row r="827">
          <cell r="L827">
            <v>25934.07</v>
          </cell>
        </row>
        <row r="833">
          <cell r="L833">
            <v>25880.55</v>
          </cell>
        </row>
        <row r="838">
          <cell r="L838">
            <v>25934.07</v>
          </cell>
        </row>
        <row r="851">
          <cell r="L851">
            <v>19523.53</v>
          </cell>
        </row>
        <row r="856">
          <cell r="L856">
            <v>19821.13</v>
          </cell>
        </row>
        <row r="862">
          <cell r="L862">
            <v>20995.55</v>
          </cell>
        </row>
        <row r="867">
          <cell r="L867">
            <v>21038.14</v>
          </cell>
        </row>
        <row r="881">
          <cell r="L881">
            <v>20171.150000000001</v>
          </cell>
        </row>
        <row r="886">
          <cell r="L886">
            <v>20496.939999999999</v>
          </cell>
        </row>
        <row r="892">
          <cell r="L892">
            <v>20168.810000000001</v>
          </cell>
        </row>
        <row r="897">
          <cell r="L897">
            <v>20494.599999999999</v>
          </cell>
        </row>
        <row r="904">
          <cell r="L904">
            <v>21778.9</v>
          </cell>
        </row>
        <row r="909">
          <cell r="L909">
            <v>21825.52</v>
          </cell>
        </row>
        <row r="916">
          <cell r="L916">
            <v>21778.9</v>
          </cell>
        </row>
        <row r="921">
          <cell r="L921">
            <v>21825.52</v>
          </cell>
        </row>
        <row r="935">
          <cell r="L935">
            <v>19927.64</v>
          </cell>
        </row>
        <row r="940">
          <cell r="L940">
            <v>18373.419999999998</v>
          </cell>
        </row>
        <row r="947">
          <cell r="L947">
            <v>21789.18</v>
          </cell>
        </row>
        <row r="952">
          <cell r="L952">
            <v>21841.86</v>
          </cell>
        </row>
        <row r="965">
          <cell r="L965">
            <v>25202.7</v>
          </cell>
        </row>
        <row r="970">
          <cell r="L970">
            <v>25785.22</v>
          </cell>
        </row>
        <row r="976">
          <cell r="L976">
            <v>28171.91</v>
          </cell>
        </row>
        <row r="981">
          <cell r="L981">
            <v>28255.27</v>
          </cell>
        </row>
        <row r="994">
          <cell r="L994">
            <v>24222.400000000001</v>
          </cell>
        </row>
        <row r="999">
          <cell r="L999">
            <v>24596.39</v>
          </cell>
        </row>
        <row r="1005">
          <cell r="L1005">
            <v>26059.19</v>
          </cell>
        </row>
        <row r="1010">
          <cell r="L1010">
            <v>26112.71</v>
          </cell>
        </row>
        <row r="1023">
          <cell r="L1023">
            <v>19702.169999999998</v>
          </cell>
        </row>
        <row r="1028">
          <cell r="L1028">
            <v>19999.77</v>
          </cell>
        </row>
        <row r="1034">
          <cell r="L1034">
            <v>21174.19</v>
          </cell>
        </row>
        <row r="1039">
          <cell r="L1039">
            <v>21216.78</v>
          </cell>
        </row>
        <row r="1053">
          <cell r="L1053">
            <v>20349.79</v>
          </cell>
        </row>
        <row r="1058">
          <cell r="L1058">
            <v>20675.580000000002</v>
          </cell>
        </row>
        <row r="1064">
          <cell r="L1064">
            <v>20347.45</v>
          </cell>
        </row>
        <row r="1069">
          <cell r="L1069">
            <v>20673.240000000002</v>
          </cell>
        </row>
        <row r="1076">
          <cell r="L1076">
            <v>21957.54</v>
          </cell>
        </row>
        <row r="1081">
          <cell r="L1081">
            <v>22004.16</v>
          </cell>
        </row>
        <row r="1088">
          <cell r="L1088">
            <v>21957.54</v>
          </cell>
        </row>
        <row r="1093">
          <cell r="L1093">
            <v>22004.16</v>
          </cell>
        </row>
        <row r="1107">
          <cell r="L1107">
            <v>20106.28</v>
          </cell>
        </row>
        <row r="1112">
          <cell r="L1112">
            <v>18552.060000000001</v>
          </cell>
        </row>
        <row r="1119">
          <cell r="L1119">
            <v>21967.82</v>
          </cell>
        </row>
        <row r="1124">
          <cell r="L1124">
            <v>22020.5</v>
          </cell>
        </row>
        <row r="1137">
          <cell r="L1137">
            <v>25334.76</v>
          </cell>
        </row>
        <row r="1142">
          <cell r="L1142">
            <v>25917.279999999999</v>
          </cell>
        </row>
        <row r="1148">
          <cell r="L1148">
            <v>28303.97</v>
          </cell>
        </row>
        <row r="1153">
          <cell r="L1153">
            <v>28387.33</v>
          </cell>
        </row>
        <row r="1166">
          <cell r="L1166">
            <v>24669</v>
          </cell>
        </row>
        <row r="1171">
          <cell r="L1171">
            <v>25042.989999999998</v>
          </cell>
        </row>
        <row r="1177">
          <cell r="L1177">
            <v>26505.79</v>
          </cell>
        </row>
        <row r="1182">
          <cell r="L1182">
            <v>26559.309999999998</v>
          </cell>
        </row>
        <row r="1195">
          <cell r="L1195">
            <v>20148.77</v>
          </cell>
        </row>
        <row r="1200">
          <cell r="L1200">
            <v>20446.37</v>
          </cell>
        </row>
        <row r="1206">
          <cell r="L1206">
            <v>21620.79</v>
          </cell>
        </row>
        <row r="1211">
          <cell r="L1211">
            <v>21663.38</v>
          </cell>
        </row>
        <row r="1225">
          <cell r="L1225">
            <v>20796.39</v>
          </cell>
        </row>
        <row r="1230">
          <cell r="L1230">
            <v>21122.18</v>
          </cell>
        </row>
        <row r="1236">
          <cell r="L1236">
            <v>20794.05</v>
          </cell>
        </row>
        <row r="1241">
          <cell r="L1241">
            <v>21119.84</v>
          </cell>
        </row>
        <row r="1248">
          <cell r="L1248">
            <v>22404.14</v>
          </cell>
        </row>
        <row r="1253">
          <cell r="L1253">
            <v>22450.76</v>
          </cell>
        </row>
        <row r="1260">
          <cell r="L1260">
            <v>22404.14</v>
          </cell>
        </row>
        <row r="1265">
          <cell r="L1265">
            <v>22450.76</v>
          </cell>
        </row>
        <row r="1279">
          <cell r="L1279">
            <v>20552.88</v>
          </cell>
        </row>
        <row r="1284">
          <cell r="L1284">
            <v>18998.66</v>
          </cell>
        </row>
        <row r="1291">
          <cell r="L1291">
            <v>22414.42</v>
          </cell>
        </row>
        <row r="1296">
          <cell r="L1296">
            <v>22467.1</v>
          </cell>
        </row>
        <row r="1309">
          <cell r="L1309">
            <v>25781.360000000001</v>
          </cell>
        </row>
        <row r="1314">
          <cell r="L1314">
            <v>26363.88</v>
          </cell>
        </row>
        <row r="1320">
          <cell r="L1320">
            <v>28750.57</v>
          </cell>
        </row>
        <row r="1325">
          <cell r="L1325">
            <v>28833.93</v>
          </cell>
        </row>
        <row r="1367">
          <cell r="L1367">
            <v>19540.939999999999</v>
          </cell>
        </row>
        <row r="1379">
          <cell r="L1379">
            <v>19943.13</v>
          </cell>
        </row>
        <row r="1415">
          <cell r="L1415">
            <v>16587.88</v>
          </cell>
        </row>
        <row r="1427">
          <cell r="L1427">
            <v>16990.07</v>
          </cell>
        </row>
        <row r="1455">
          <cell r="L1455">
            <v>37348.519999999997</v>
          </cell>
        </row>
        <row r="1468">
          <cell r="L1468">
            <v>37750.71</v>
          </cell>
        </row>
        <row r="1481">
          <cell r="L1481">
            <v>29140.81</v>
          </cell>
        </row>
        <row r="1494">
          <cell r="L1494">
            <v>29543</v>
          </cell>
        </row>
        <row r="1532">
          <cell r="L1532">
            <v>25985.06</v>
          </cell>
        </row>
        <row r="1544">
          <cell r="L1544">
            <v>26387.25</v>
          </cell>
        </row>
        <row r="1557">
          <cell r="L1557">
            <v>39635.82</v>
          </cell>
        </row>
        <row r="1570">
          <cell r="L1570">
            <v>31428.11</v>
          </cell>
        </row>
        <row r="1582">
          <cell r="L1582">
            <v>28272.36</v>
          </cell>
        </row>
        <row r="1597">
          <cell r="L1597">
            <v>13465.51</v>
          </cell>
        </row>
        <row r="1601">
          <cell r="L1601">
            <v>13461.11</v>
          </cell>
        </row>
        <row r="1606">
          <cell r="L1606">
            <v>14453.64</v>
          </cell>
        </row>
        <row r="1611">
          <cell r="L1611">
            <v>14453.64</v>
          </cell>
        </row>
        <row r="1623">
          <cell r="L1623">
            <v>11823.04</v>
          </cell>
        </row>
        <row r="1627">
          <cell r="L1627">
            <v>11819.42</v>
          </cell>
        </row>
        <row r="1632">
          <cell r="L1632">
            <v>12635.71</v>
          </cell>
        </row>
        <row r="1637">
          <cell r="L1637">
            <v>12635.71</v>
          </cell>
        </row>
        <row r="1649">
          <cell r="L1649">
            <v>15542.42</v>
          </cell>
        </row>
        <row r="1653">
          <cell r="L1653">
            <v>15538.02</v>
          </cell>
        </row>
        <row r="1658">
          <cell r="L1658">
            <v>16530.55</v>
          </cell>
        </row>
        <row r="1663">
          <cell r="L1663">
            <v>16530.55</v>
          </cell>
        </row>
        <row r="1675">
          <cell r="L1675">
            <v>13899.95</v>
          </cell>
        </row>
        <row r="1679">
          <cell r="L1679">
            <v>13896.33</v>
          </cell>
        </row>
        <row r="1684">
          <cell r="L1684">
            <v>14712.62</v>
          </cell>
        </row>
        <row r="1689">
          <cell r="L1689">
            <v>14712.62</v>
          </cell>
        </row>
        <row r="1705">
          <cell r="L1705">
            <v>18322.740000000002</v>
          </cell>
        </row>
        <row r="1709">
          <cell r="L1709">
            <v>18318.34</v>
          </cell>
        </row>
        <row r="1714">
          <cell r="L1714">
            <v>19309.02</v>
          </cell>
        </row>
        <row r="1719">
          <cell r="L1719">
            <v>19309.02</v>
          </cell>
        </row>
        <row r="1732">
          <cell r="L1732">
            <v>18501.38</v>
          </cell>
        </row>
        <row r="1736">
          <cell r="L1736">
            <v>18496.98</v>
          </cell>
        </row>
        <row r="1741">
          <cell r="L1741">
            <v>19487.66</v>
          </cell>
        </row>
        <row r="1746">
          <cell r="L1746">
            <v>19487.66</v>
          </cell>
        </row>
        <row r="1759">
          <cell r="L1759">
            <v>18947.98</v>
          </cell>
        </row>
        <row r="1763">
          <cell r="L1763">
            <v>18943.580000000002</v>
          </cell>
        </row>
        <row r="1768">
          <cell r="L1768">
            <v>19934.260000000002</v>
          </cell>
        </row>
        <row r="1773">
          <cell r="L1773">
            <v>19934.260000000002</v>
          </cell>
        </row>
        <row r="1786">
          <cell r="L1786">
            <v>15331.34</v>
          </cell>
        </row>
        <row r="1790">
          <cell r="L1790">
            <v>15328.04</v>
          </cell>
        </row>
        <row r="1795">
          <cell r="L1795">
            <v>16071.97</v>
          </cell>
        </row>
        <row r="1800">
          <cell r="L1800">
            <v>16071.97</v>
          </cell>
        </row>
        <row r="1813">
          <cell r="L1813">
            <v>15509.98</v>
          </cell>
        </row>
        <row r="1817">
          <cell r="L1817">
            <v>15506.68</v>
          </cell>
        </row>
        <row r="1822">
          <cell r="L1822">
            <v>16250.61</v>
          </cell>
        </row>
        <row r="1827">
          <cell r="L1827">
            <v>16250.61</v>
          </cell>
        </row>
        <row r="1840">
          <cell r="L1840">
            <v>25942.07</v>
          </cell>
        </row>
        <row r="1844">
          <cell r="L1844">
            <v>25924.39</v>
          </cell>
        </row>
        <row r="1849">
          <cell r="L1849">
            <v>28526.61</v>
          </cell>
        </row>
        <row r="1854">
          <cell r="L1854">
            <v>28526.61</v>
          </cell>
        </row>
        <row r="1867">
          <cell r="L1867">
            <v>18692.28</v>
          </cell>
        </row>
        <row r="1871">
          <cell r="L1871">
            <v>18683.439999999999</v>
          </cell>
        </row>
        <row r="1876">
          <cell r="L1876">
            <v>19984.55</v>
          </cell>
        </row>
        <row r="1881">
          <cell r="L1881">
            <v>19984.55</v>
          </cell>
        </row>
        <row r="1894">
          <cell r="L1894">
            <v>26388.67</v>
          </cell>
        </row>
        <row r="1898">
          <cell r="L1898">
            <v>26370.99</v>
          </cell>
        </row>
        <row r="1903">
          <cell r="L1903">
            <v>28973.21</v>
          </cell>
        </row>
        <row r="1908">
          <cell r="L1908">
            <v>28973.21</v>
          </cell>
        </row>
        <row r="1921">
          <cell r="L1921">
            <v>19138.88</v>
          </cell>
        </row>
        <row r="1925">
          <cell r="L1925">
            <v>19130.04</v>
          </cell>
        </row>
        <row r="1930">
          <cell r="L1930">
            <v>20431.150000000001</v>
          </cell>
        </row>
        <row r="1935">
          <cell r="L1935">
            <v>20431.150000000001</v>
          </cell>
        </row>
        <row r="1950">
          <cell r="L1950">
            <v>22209.48</v>
          </cell>
        </row>
        <row r="1955">
          <cell r="L1955">
            <v>22203.57</v>
          </cell>
        </row>
        <row r="1960">
          <cell r="L1960">
            <v>23434.57</v>
          </cell>
        </row>
        <row r="1965">
          <cell r="L1965">
            <v>23434.57</v>
          </cell>
        </row>
        <row r="1969">
          <cell r="L1969">
            <v>22401.279999999999</v>
          </cell>
        </row>
        <row r="1974">
          <cell r="L1974">
            <v>22395.37</v>
          </cell>
        </row>
        <row r="1980">
          <cell r="L1980">
            <v>23626.37</v>
          </cell>
        </row>
        <row r="1985">
          <cell r="L1985">
            <v>23626.37</v>
          </cell>
        </row>
        <row r="1997">
          <cell r="L1997">
            <v>24286.39</v>
          </cell>
        </row>
        <row r="2002">
          <cell r="L2002">
            <v>24280.48</v>
          </cell>
        </row>
        <row r="2007">
          <cell r="L2007">
            <v>25511.48</v>
          </cell>
        </row>
        <row r="2012">
          <cell r="L2012">
            <v>25511.48</v>
          </cell>
        </row>
        <row r="2024">
          <cell r="L2024">
            <v>24465.03</v>
          </cell>
        </row>
        <row r="2029">
          <cell r="L2029">
            <v>24459.120000000003</v>
          </cell>
        </row>
        <row r="2034">
          <cell r="L2034">
            <v>25690.12</v>
          </cell>
        </row>
        <row r="2039">
          <cell r="L2039">
            <v>25690.12</v>
          </cell>
        </row>
        <row r="2051">
          <cell r="L2051">
            <v>24911.63</v>
          </cell>
        </row>
        <row r="2056">
          <cell r="L2056">
            <v>24905.72</v>
          </cell>
        </row>
        <row r="2061">
          <cell r="L2061">
            <v>26136.720000000001</v>
          </cell>
        </row>
        <row r="2066">
          <cell r="L2066">
            <v>26136.720000000001</v>
          </cell>
        </row>
        <row r="2082">
          <cell r="L2082">
            <v>20977.75</v>
          </cell>
        </row>
        <row r="2088">
          <cell r="L2088">
            <v>22994.81</v>
          </cell>
        </row>
        <row r="2101">
          <cell r="L2101">
            <v>17014.349999999999</v>
          </cell>
        </row>
        <row r="2107">
          <cell r="L2107">
            <v>18564.34</v>
          </cell>
        </row>
        <row r="2120">
          <cell r="L2120">
            <v>17034.29</v>
          </cell>
        </row>
        <row r="2126">
          <cell r="L2126">
            <v>18808.62</v>
          </cell>
        </row>
        <row r="2140">
          <cell r="L2140">
            <v>14570.43</v>
          </cell>
        </row>
        <row r="2145">
          <cell r="L2145">
            <v>14569.84</v>
          </cell>
        </row>
        <row r="2152">
          <cell r="L2152">
            <v>16002.22</v>
          </cell>
        </row>
        <row r="2165">
          <cell r="L2165">
            <v>23054.66</v>
          </cell>
        </row>
        <row r="2170">
          <cell r="L2170">
            <v>23462.09</v>
          </cell>
        </row>
        <row r="2176">
          <cell r="L2176">
            <v>25071.72</v>
          </cell>
        </row>
        <row r="2182">
          <cell r="L2182">
            <v>25130.02</v>
          </cell>
        </row>
        <row r="2195">
          <cell r="L2195">
            <v>19091.259999999998</v>
          </cell>
        </row>
        <row r="2200">
          <cell r="L2200">
            <v>19404.490000000002</v>
          </cell>
        </row>
        <row r="2206">
          <cell r="L2206">
            <v>20641.25</v>
          </cell>
        </row>
        <row r="2212">
          <cell r="L2212">
            <v>20686.080000000002</v>
          </cell>
        </row>
        <row r="2225">
          <cell r="L2225">
            <v>19111.2</v>
          </cell>
        </row>
        <row r="2230">
          <cell r="L2230">
            <v>19458.3</v>
          </cell>
        </row>
        <row r="2236">
          <cell r="L2236">
            <v>20885.53</v>
          </cell>
        </row>
        <row r="2242">
          <cell r="L2242">
            <v>20935.2</v>
          </cell>
        </row>
        <row r="2256">
          <cell r="L2256">
            <v>16647.34</v>
          </cell>
        </row>
        <row r="2261">
          <cell r="L2261">
            <v>16914.12</v>
          </cell>
        </row>
        <row r="2268">
          <cell r="L2268">
            <v>18079.13</v>
          </cell>
        </row>
        <row r="2275">
          <cell r="L2275">
            <v>18117.310000000001</v>
          </cell>
        </row>
        <row r="2282">
          <cell r="L2282">
            <v>18079.13</v>
          </cell>
        </row>
        <row r="2289">
          <cell r="L2289">
            <v>18117.310000000001</v>
          </cell>
        </row>
        <row r="2302">
          <cell r="L2302">
            <v>23233.3</v>
          </cell>
        </row>
        <row r="2307">
          <cell r="L2307">
            <v>23640.73</v>
          </cell>
        </row>
        <row r="2313">
          <cell r="L2313">
            <v>25250.36</v>
          </cell>
        </row>
        <row r="2319">
          <cell r="L2319">
            <v>25308.66</v>
          </cell>
        </row>
        <row r="2332">
          <cell r="L2332">
            <v>19269.900000000001</v>
          </cell>
        </row>
        <row r="2337">
          <cell r="L2337">
            <v>19583.13</v>
          </cell>
        </row>
        <row r="2343">
          <cell r="L2343">
            <v>20819.89</v>
          </cell>
        </row>
        <row r="2349">
          <cell r="L2349">
            <v>20864.72</v>
          </cell>
        </row>
        <row r="2362">
          <cell r="L2362">
            <v>19289.84</v>
          </cell>
        </row>
        <row r="2367">
          <cell r="L2367">
            <v>19636.939999999999</v>
          </cell>
        </row>
        <row r="2373">
          <cell r="L2373">
            <v>21064.17</v>
          </cell>
        </row>
        <row r="2379">
          <cell r="L2379">
            <v>21113.84</v>
          </cell>
        </row>
        <row r="2393">
          <cell r="L2393">
            <v>16825.98</v>
          </cell>
        </row>
        <row r="2398">
          <cell r="L2398">
            <v>17092.759999999998</v>
          </cell>
        </row>
        <row r="2405">
          <cell r="L2405">
            <v>18257.77</v>
          </cell>
        </row>
        <row r="2412">
          <cell r="L2412">
            <v>18295.95</v>
          </cell>
        </row>
        <row r="2419">
          <cell r="L2419">
            <v>18257.77</v>
          </cell>
        </row>
        <row r="2426">
          <cell r="L2426">
            <v>18295.95</v>
          </cell>
        </row>
        <row r="2452">
          <cell r="L2452">
            <v>23679.9</v>
          </cell>
        </row>
        <row r="2457">
          <cell r="L2457">
            <v>24087.33</v>
          </cell>
        </row>
        <row r="2463">
          <cell r="L2463">
            <v>25696.959999999999</v>
          </cell>
        </row>
        <row r="2469">
          <cell r="L2469">
            <v>25755.26</v>
          </cell>
        </row>
        <row r="2482">
          <cell r="L2482">
            <v>19716.5</v>
          </cell>
        </row>
        <row r="2487">
          <cell r="L2487">
            <v>20029.73</v>
          </cell>
        </row>
        <row r="2493">
          <cell r="L2493">
            <v>21266.489999999998</v>
          </cell>
        </row>
        <row r="2499">
          <cell r="L2499">
            <v>22909.52</v>
          </cell>
        </row>
        <row r="2512">
          <cell r="L2512">
            <v>19736.439999999999</v>
          </cell>
        </row>
        <row r="2517">
          <cell r="L2517">
            <v>20083.54</v>
          </cell>
        </row>
        <row r="2523">
          <cell r="L2523">
            <v>21510.77</v>
          </cell>
        </row>
        <row r="2529">
          <cell r="L2529">
            <v>21560.44</v>
          </cell>
        </row>
        <row r="2543">
          <cell r="L2543">
            <v>17272.580000000002</v>
          </cell>
        </row>
        <row r="2548">
          <cell r="L2548">
            <v>17539.36</v>
          </cell>
        </row>
        <row r="2555">
          <cell r="L2555">
            <v>18704.37</v>
          </cell>
        </row>
        <row r="2562">
          <cell r="L2562">
            <v>18742.55</v>
          </cell>
        </row>
        <row r="2569">
          <cell r="L2569">
            <v>18704.37</v>
          </cell>
        </row>
        <row r="2576">
          <cell r="L2576">
            <v>18742.55</v>
          </cell>
        </row>
        <row r="2591">
          <cell r="L2591">
            <v>20039.14</v>
          </cell>
        </row>
        <row r="2603">
          <cell r="L2603">
            <v>20441.330000000002</v>
          </cell>
        </row>
        <row r="2614">
          <cell r="L2614">
            <v>19872.38</v>
          </cell>
        </row>
        <row r="2625">
          <cell r="L2625">
            <v>20274.57</v>
          </cell>
        </row>
        <row r="2640">
          <cell r="L2640">
            <v>17446.73</v>
          </cell>
        </row>
        <row r="2644">
          <cell r="L2644">
            <v>17442.23</v>
          </cell>
        </row>
        <row r="2649">
          <cell r="L2649">
            <v>18455.509999999998</v>
          </cell>
        </row>
        <row r="2654">
          <cell r="L2654">
            <v>18455.509999999998</v>
          </cell>
        </row>
        <row r="2666">
          <cell r="L2666">
            <v>15324.78</v>
          </cell>
        </row>
        <row r="2670">
          <cell r="L2670">
            <v>15321.03</v>
          </cell>
        </row>
        <row r="2675">
          <cell r="L2675">
            <v>16165.7</v>
          </cell>
        </row>
        <row r="2680">
          <cell r="L2680">
            <v>16165.7</v>
          </cell>
        </row>
        <row r="2692">
          <cell r="L2692">
            <v>19523.64</v>
          </cell>
        </row>
        <row r="2696">
          <cell r="L2696">
            <v>19519.14</v>
          </cell>
        </row>
        <row r="2701">
          <cell r="L2701">
            <v>20532.419999999998</v>
          </cell>
        </row>
        <row r="2718">
          <cell r="L2718">
            <v>17401.689999999999</v>
          </cell>
        </row>
        <row r="2722">
          <cell r="L2722">
            <v>17397.939999999999</v>
          </cell>
        </row>
        <row r="2727">
          <cell r="L2727">
            <v>18242.61</v>
          </cell>
        </row>
        <row r="2732">
          <cell r="L2732">
            <v>18242.61</v>
          </cell>
        </row>
        <row r="2748">
          <cell r="L2748">
            <v>8509.5</v>
          </cell>
        </row>
        <row r="2755">
          <cell r="L2755">
            <v>8504.76</v>
          </cell>
        </row>
        <row r="2762">
          <cell r="L2762">
            <v>9438.8700000000008</v>
          </cell>
        </row>
        <row r="2769">
          <cell r="L2769">
            <v>9438.8700000000008</v>
          </cell>
        </row>
        <row r="2776">
          <cell r="L2776">
            <v>7354.55</v>
          </cell>
        </row>
        <row r="2783">
          <cell r="L2783">
            <v>7350.99</v>
          </cell>
        </row>
        <row r="2790">
          <cell r="L2790">
            <v>8077.6100000000006</v>
          </cell>
        </row>
        <row r="2797">
          <cell r="L2797">
            <v>8077.61</v>
          </cell>
        </row>
        <row r="2804">
          <cell r="L2804">
            <v>11238.14</v>
          </cell>
        </row>
        <row r="2811">
          <cell r="L2811">
            <v>11233.4</v>
          </cell>
        </row>
        <row r="2818">
          <cell r="L2818">
            <v>12275.97</v>
          </cell>
        </row>
        <row r="2825">
          <cell r="L2825">
            <v>12275.97</v>
          </cell>
        </row>
        <row r="2832">
          <cell r="L2832">
            <v>10083.19</v>
          </cell>
        </row>
        <row r="2839">
          <cell r="L2839">
            <v>10079.629999999999</v>
          </cell>
        </row>
        <row r="2846">
          <cell r="L2846">
            <v>10914.71</v>
          </cell>
        </row>
        <row r="2853">
          <cell r="L2853">
            <v>10914.71</v>
          </cell>
        </row>
        <row r="2860">
          <cell r="L2860">
            <v>11525.24</v>
          </cell>
        </row>
        <row r="2867">
          <cell r="L2867">
            <v>11520.5</v>
          </cell>
        </row>
        <row r="2874">
          <cell r="L2874">
            <v>12454.61</v>
          </cell>
        </row>
        <row r="2881">
          <cell r="L2881">
            <v>12454.61</v>
          </cell>
        </row>
        <row r="2888">
          <cell r="L2888">
            <v>10370.290000000001</v>
          </cell>
        </row>
        <row r="2895">
          <cell r="L2895">
            <v>10366.73</v>
          </cell>
        </row>
        <row r="2902">
          <cell r="L2902">
            <v>11093.35</v>
          </cell>
        </row>
        <row r="2909">
          <cell r="L2909">
            <v>11093.35</v>
          </cell>
        </row>
        <row r="2916">
          <cell r="L2916">
            <v>11703.88</v>
          </cell>
        </row>
        <row r="2923">
          <cell r="L2923">
            <v>11699.14</v>
          </cell>
        </row>
        <row r="2930">
          <cell r="L2930">
            <v>12633.25</v>
          </cell>
        </row>
        <row r="2937">
          <cell r="L2937">
            <v>12633.25</v>
          </cell>
        </row>
        <row r="2944">
          <cell r="L2944">
            <v>10548.93</v>
          </cell>
        </row>
        <row r="2951">
          <cell r="L2951">
            <v>10545.37</v>
          </cell>
        </row>
        <row r="2958">
          <cell r="L2958">
            <v>11271.99</v>
          </cell>
        </row>
        <row r="2965">
          <cell r="L2965">
            <v>11271.99</v>
          </cell>
        </row>
        <row r="2972">
          <cell r="L2972">
            <v>12150.48</v>
          </cell>
        </row>
        <row r="2979">
          <cell r="L2979">
            <v>12145.74</v>
          </cell>
        </row>
        <row r="2986">
          <cell r="L2986">
            <v>13079.85</v>
          </cell>
        </row>
        <row r="2993">
          <cell r="L2993">
            <v>13079.85</v>
          </cell>
        </row>
        <row r="3000">
          <cell r="L3000">
            <v>10995.53</v>
          </cell>
        </row>
        <row r="3007">
          <cell r="L3007">
            <v>10991.97</v>
          </cell>
        </row>
        <row r="3014">
          <cell r="L3014">
            <v>11718.59</v>
          </cell>
        </row>
        <row r="3021">
          <cell r="L3021">
            <v>11718.59</v>
          </cell>
        </row>
        <row r="3031">
          <cell r="L3031">
            <v>15638.1</v>
          </cell>
        </row>
        <row r="3038">
          <cell r="L3038">
            <v>15628.11</v>
          </cell>
        </row>
        <row r="3045">
          <cell r="L3045">
            <v>17300.11</v>
          </cell>
        </row>
        <row r="3052">
          <cell r="L3052">
            <v>17300.11</v>
          </cell>
        </row>
        <row r="3059">
          <cell r="L3059">
            <v>15816.74</v>
          </cell>
        </row>
        <row r="3066">
          <cell r="L3066">
            <v>15806.75</v>
          </cell>
        </row>
        <row r="3073">
          <cell r="L3073">
            <v>17478.75</v>
          </cell>
        </row>
        <row r="3080">
          <cell r="L3080">
            <v>17478.75</v>
          </cell>
        </row>
        <row r="3087">
          <cell r="L3087">
            <v>16263.34</v>
          </cell>
        </row>
        <row r="3094">
          <cell r="L3094">
            <v>16253.35</v>
          </cell>
        </row>
        <row r="3101">
          <cell r="L3101">
            <v>17925.349999999999</v>
          </cell>
        </row>
        <row r="3108">
          <cell r="L3108">
            <v>17925.349999999999</v>
          </cell>
        </row>
        <row r="3117">
          <cell r="L3117">
            <v>6677.06</v>
          </cell>
        </row>
        <row r="3122">
          <cell r="L3122">
            <v>6446.73</v>
          </cell>
        </row>
        <row r="3127">
          <cell r="L3127">
            <v>5857.09</v>
          </cell>
        </row>
        <row r="3132">
          <cell r="L3132">
            <v>5379.09</v>
          </cell>
        </row>
        <row r="3138">
          <cell r="L3138">
            <v>9620.1</v>
          </cell>
        </row>
        <row r="3144">
          <cell r="L3144">
            <v>7937.42</v>
          </cell>
        </row>
        <row r="3150">
          <cell r="L3150">
            <v>7098.34</v>
          </cell>
        </row>
        <row r="3156">
          <cell r="L3156">
            <v>7111.56</v>
          </cell>
        </row>
        <row r="3161">
          <cell r="L3161">
            <v>6881.23</v>
          </cell>
        </row>
        <row r="3166">
          <cell r="L3166">
            <v>6291.59</v>
          </cell>
        </row>
        <row r="3171">
          <cell r="L3171">
            <v>5813.59</v>
          </cell>
        </row>
        <row r="3177">
          <cell r="L3177">
            <v>9332.32</v>
          </cell>
        </row>
        <row r="3182">
          <cell r="L3182">
            <v>9175.3700000000008</v>
          </cell>
        </row>
        <row r="3187">
          <cell r="L3187">
            <v>8585.73</v>
          </cell>
        </row>
        <row r="3192">
          <cell r="L3192">
            <v>8107.73</v>
          </cell>
        </row>
        <row r="3198">
          <cell r="L3198">
            <v>9692.7999999999993</v>
          </cell>
        </row>
        <row r="3203">
          <cell r="L3203">
            <v>9462.4699999999993</v>
          </cell>
        </row>
        <row r="3208">
          <cell r="L3208">
            <v>8872.83</v>
          </cell>
        </row>
        <row r="3213">
          <cell r="L3213">
            <v>8394.83</v>
          </cell>
        </row>
        <row r="3218">
          <cell r="L3218">
            <v>9062.66</v>
          </cell>
        </row>
        <row r="3223">
          <cell r="L3223">
            <v>8573.4699999999993</v>
          </cell>
        </row>
        <row r="3228">
          <cell r="L3228">
            <v>9818.6200000000008</v>
          </cell>
        </row>
        <row r="3233">
          <cell r="L3233">
            <v>9285.86</v>
          </cell>
        </row>
        <row r="3241">
          <cell r="L3241">
            <v>6041.86</v>
          </cell>
        </row>
        <row r="3246">
          <cell r="L3246">
            <v>6150.32</v>
          </cell>
        </row>
        <row r="3251">
          <cell r="L3251">
            <v>6328.96</v>
          </cell>
        </row>
        <row r="3256">
          <cell r="L3256">
            <v>6507.6</v>
          </cell>
        </row>
        <row r="3261">
          <cell r="L3261">
            <v>6954.2</v>
          </cell>
        </row>
        <row r="3266">
          <cell r="L3266">
            <v>7254.06</v>
          </cell>
        </row>
        <row r="3271">
          <cell r="L3271">
            <v>7445.46</v>
          </cell>
        </row>
        <row r="3276">
          <cell r="L3276">
            <v>7528.4</v>
          </cell>
        </row>
        <row r="3281">
          <cell r="L3281">
            <v>7738.94</v>
          </cell>
        </row>
        <row r="3286">
          <cell r="L3286">
            <v>8191.92</v>
          </cell>
        </row>
        <row r="3291">
          <cell r="L3291">
            <v>8549.2000000000007</v>
          </cell>
        </row>
        <row r="3296">
          <cell r="L3296">
            <v>9168.06</v>
          </cell>
        </row>
        <row r="3316">
          <cell r="L3316">
            <v>506.24</v>
          </cell>
        </row>
        <row r="3349">
          <cell r="L3349">
            <v>328.68</v>
          </cell>
        </row>
        <row r="3356">
          <cell r="L3356">
            <v>416.27</v>
          </cell>
        </row>
        <row r="3365">
          <cell r="L3365">
            <v>235.41</v>
          </cell>
        </row>
        <row r="3377">
          <cell r="L3377">
            <v>377.08</v>
          </cell>
        </row>
        <row r="3384">
          <cell r="L3384">
            <v>3621.99</v>
          </cell>
        </row>
        <row r="3391">
          <cell r="L3391">
            <v>3248.25</v>
          </cell>
        </row>
        <row r="3398">
          <cell r="L3398">
            <v>3443.75</v>
          </cell>
        </row>
        <row r="3405">
          <cell r="L3405">
            <v>4039.86</v>
          </cell>
        </row>
        <row r="3412">
          <cell r="L3412">
            <v>3674.24</v>
          </cell>
        </row>
        <row r="3419">
          <cell r="L3419">
            <v>3865.5</v>
          </cell>
        </row>
        <row r="3428">
          <cell r="L3428">
            <v>196.75</v>
          </cell>
        </row>
        <row r="3434">
          <cell r="L3434">
            <v>173.98</v>
          </cell>
        </row>
        <row r="3614">
          <cell r="L3614">
            <v>904.24</v>
          </cell>
        </row>
        <row r="3625">
          <cell r="L3625">
            <v>897.11</v>
          </cell>
        </row>
        <row r="3636">
          <cell r="L3636">
            <v>1270.3</v>
          </cell>
        </row>
        <row r="3647">
          <cell r="L3647">
            <v>1539.53</v>
          </cell>
        </row>
        <row r="3658">
          <cell r="L3658">
            <v>1203.48</v>
          </cell>
        </row>
        <row r="3669">
          <cell r="L3669">
            <v>1851.3</v>
          </cell>
        </row>
        <row r="3680">
          <cell r="L3680">
            <v>1325.98</v>
          </cell>
        </row>
        <row r="3691">
          <cell r="L3691">
            <v>1052.9000000000001</v>
          </cell>
        </row>
        <row r="3703">
          <cell r="L3703">
            <v>2317.6799999999998</v>
          </cell>
        </row>
        <row r="3714">
          <cell r="L3714">
            <v>1085.26</v>
          </cell>
        </row>
        <row r="3724">
          <cell r="L3724">
            <v>636.96</v>
          </cell>
        </row>
        <row r="3735">
          <cell r="L3735">
            <v>1296.06</v>
          </cell>
        </row>
        <row r="3746">
          <cell r="L3746">
            <v>904.62</v>
          </cell>
        </row>
        <row r="3753">
          <cell r="L3753">
            <v>1489.87</v>
          </cell>
        </row>
        <row r="3760">
          <cell r="L3760">
            <v>2185.61</v>
          </cell>
        </row>
        <row r="3767">
          <cell r="L3767">
            <v>3048.38</v>
          </cell>
        </row>
        <row r="3774">
          <cell r="L3774">
            <v>4015.56</v>
          </cell>
        </row>
        <row r="3781">
          <cell r="L3781">
            <v>5714.95</v>
          </cell>
        </row>
        <row r="3788">
          <cell r="L3788">
            <v>5963.3</v>
          </cell>
        </row>
        <row r="3795">
          <cell r="L3795">
            <v>8636.57</v>
          </cell>
        </row>
        <row r="3860">
          <cell r="L3860">
            <v>17038.490000000002</v>
          </cell>
        </row>
        <row r="3887">
          <cell r="L3887">
            <v>24020.75</v>
          </cell>
        </row>
        <row r="3914">
          <cell r="L3914">
            <v>22895.97</v>
          </cell>
        </row>
        <row r="3940">
          <cell r="L3940">
            <v>6497.77</v>
          </cell>
        </row>
        <row r="3966">
          <cell r="L3966">
            <v>6797.86</v>
          </cell>
        </row>
        <row r="3976">
          <cell r="L3976">
            <v>794.82</v>
          </cell>
        </row>
        <row r="3986">
          <cell r="L3986">
            <v>2438.02</v>
          </cell>
        </row>
        <row r="3996">
          <cell r="L3996">
            <v>2741.29</v>
          </cell>
        </row>
        <row r="4029">
          <cell r="L4029">
            <v>2852.79</v>
          </cell>
        </row>
        <row r="4057">
          <cell r="L4057">
            <v>7780.54</v>
          </cell>
        </row>
        <row r="4085">
          <cell r="L4085">
            <v>7880.33</v>
          </cell>
        </row>
        <row r="4111">
          <cell r="L4111">
            <v>5769.49</v>
          </cell>
        </row>
        <row r="4137">
          <cell r="L4137">
            <v>5486.74</v>
          </cell>
        </row>
        <row r="4163">
          <cell r="L4163">
            <v>9060.27</v>
          </cell>
        </row>
        <row r="4189">
          <cell r="L4189">
            <v>9114.4699999999993</v>
          </cell>
        </row>
        <row r="4213">
          <cell r="L4213">
            <v>7171.88</v>
          </cell>
        </row>
        <row r="4238">
          <cell r="L4238">
            <v>4697.2299999999996</v>
          </cell>
        </row>
        <row r="4264">
          <cell r="L4264">
            <v>6444.61</v>
          </cell>
        </row>
        <row r="4290">
          <cell r="L4290">
            <v>6497.76</v>
          </cell>
        </row>
        <row r="4317">
          <cell r="L4317">
            <v>7268.43</v>
          </cell>
        </row>
        <row r="4344">
          <cell r="L4344">
            <v>7499.16</v>
          </cell>
        </row>
        <row r="4370">
          <cell r="L4370">
            <v>3706.93</v>
          </cell>
        </row>
        <row r="4392">
          <cell r="L4392">
            <v>13006.3</v>
          </cell>
        </row>
        <row r="4410">
          <cell r="L4410">
            <v>15385.88</v>
          </cell>
        </row>
        <row r="4432">
          <cell r="L4432">
            <v>12914.9</v>
          </cell>
        </row>
        <row r="4450">
          <cell r="L4450">
            <v>15165.88</v>
          </cell>
        </row>
        <row r="4472">
          <cell r="L4472">
            <v>5738.69</v>
          </cell>
        </row>
        <row r="4495">
          <cell r="L4495">
            <v>3743.32</v>
          </cell>
        </row>
        <row r="4509">
          <cell r="L4509">
            <v>2610.1</v>
          </cell>
        </row>
        <row r="4520">
          <cell r="L4520">
            <v>2822.34</v>
          </cell>
        </row>
        <row r="4531">
          <cell r="L4531">
            <v>2607.37</v>
          </cell>
        </row>
        <row r="4546">
          <cell r="L4546">
            <v>43603.13</v>
          </cell>
        </row>
        <row r="4561">
          <cell r="L4561">
            <v>49825.79</v>
          </cell>
        </row>
        <row r="4576">
          <cell r="L4576">
            <v>41498.129999999997</v>
          </cell>
        </row>
        <row r="4596">
          <cell r="L4596">
            <v>94109.89</v>
          </cell>
        </row>
        <row r="4616">
          <cell r="L4616">
            <v>106723.39</v>
          </cell>
        </row>
        <row r="4636">
          <cell r="L4636">
            <v>89842.99</v>
          </cell>
        </row>
        <row r="4645">
          <cell r="L4645">
            <v>6555.17</v>
          </cell>
        </row>
        <row r="4654">
          <cell r="L4654">
            <v>7281.8</v>
          </cell>
        </row>
        <row r="4663">
          <cell r="L4663">
            <v>6308.06</v>
          </cell>
        </row>
        <row r="4893">
          <cell r="L4893">
            <v>2891.72</v>
          </cell>
        </row>
        <row r="4902">
          <cell r="L4902">
            <v>4064.06</v>
          </cell>
        </row>
        <row r="4907">
          <cell r="L4907">
            <v>1782.78</v>
          </cell>
        </row>
        <row r="4913">
          <cell r="L4913">
            <v>4661.96</v>
          </cell>
        </row>
        <row r="4920">
          <cell r="L4920">
            <v>6473.13</v>
          </cell>
        </row>
        <row r="4925">
          <cell r="L4925">
            <v>1782.78</v>
          </cell>
        </row>
        <row r="4931">
          <cell r="L4931">
            <v>3731.45</v>
          </cell>
        </row>
        <row r="4940">
          <cell r="L4940">
            <v>97.01</v>
          </cell>
        </row>
        <row r="4946">
          <cell r="L4946">
            <v>75.41</v>
          </cell>
        </row>
        <row r="4953">
          <cell r="L4953">
            <v>149.37</v>
          </cell>
        </row>
        <row r="4960">
          <cell r="L4960">
            <v>207.37</v>
          </cell>
        </row>
        <row r="4966">
          <cell r="L4966">
            <v>89.99</v>
          </cell>
        </row>
        <row r="4972">
          <cell r="L4972">
            <v>58.49</v>
          </cell>
        </row>
        <row r="4979">
          <cell r="L4979">
            <v>154.19</v>
          </cell>
        </row>
        <row r="4987">
          <cell r="L4987">
            <v>206.55</v>
          </cell>
        </row>
        <row r="4998">
          <cell r="L4998">
            <v>696.39</v>
          </cell>
        </row>
        <row r="5007">
          <cell r="L5007">
            <v>1871.61</v>
          </cell>
        </row>
        <row r="5016">
          <cell r="L5016">
            <v>2336.62</v>
          </cell>
        </row>
        <row r="5025">
          <cell r="L5025">
            <v>1698.42</v>
          </cell>
        </row>
        <row r="5034">
          <cell r="L5034">
            <v>1943.42</v>
          </cell>
        </row>
        <row r="5043">
          <cell r="L5043">
            <v>1463.59</v>
          </cell>
        </row>
        <row r="5052">
          <cell r="L5052">
            <v>1687.11</v>
          </cell>
        </row>
        <row r="5062">
          <cell r="L5062">
            <v>1178.22</v>
          </cell>
        </row>
        <row r="5072">
          <cell r="L5072">
            <v>2016.21</v>
          </cell>
        </row>
        <row r="5081">
          <cell r="L5081">
            <v>1262.97</v>
          </cell>
        </row>
        <row r="5090">
          <cell r="L5090">
            <v>948.1</v>
          </cell>
        </row>
        <row r="5099">
          <cell r="L5099">
            <v>872.31</v>
          </cell>
        </row>
        <row r="5108">
          <cell r="L5108">
            <v>1152.76</v>
          </cell>
        </row>
        <row r="5117">
          <cell r="L5117">
            <v>1017.69</v>
          </cell>
        </row>
        <row r="5126">
          <cell r="L5126">
            <v>1112.5999999999999</v>
          </cell>
        </row>
        <row r="5135">
          <cell r="L5135">
            <v>1225.22</v>
          </cell>
        </row>
        <row r="5144">
          <cell r="L5144">
            <v>1416.23</v>
          </cell>
        </row>
        <row r="5153">
          <cell r="L5153">
            <v>1241.57</v>
          </cell>
        </row>
        <row r="5162">
          <cell r="L5162">
            <v>1366.76</v>
          </cell>
        </row>
        <row r="5171">
          <cell r="L5171">
            <v>1551.98</v>
          </cell>
        </row>
        <row r="5180">
          <cell r="L5180">
            <v>1863.98</v>
          </cell>
        </row>
        <row r="5189">
          <cell r="L5189">
            <v>1270.28</v>
          </cell>
        </row>
        <row r="5198">
          <cell r="L5198">
            <v>1401.22</v>
          </cell>
        </row>
        <row r="5207">
          <cell r="L5207">
            <v>1595.04</v>
          </cell>
        </row>
        <row r="5216">
          <cell r="L5216">
            <v>1921.4</v>
          </cell>
        </row>
        <row r="5225">
          <cell r="L5225">
            <v>1288.1400000000001</v>
          </cell>
        </row>
        <row r="5234">
          <cell r="L5234">
            <v>1422.65</v>
          </cell>
        </row>
        <row r="5243">
          <cell r="L5243">
            <v>1621.84</v>
          </cell>
        </row>
        <row r="5252">
          <cell r="L5252">
            <v>1957.13</v>
          </cell>
        </row>
        <row r="5260">
          <cell r="L5260">
            <v>676.63</v>
          </cell>
        </row>
        <row r="5268">
          <cell r="L5268">
            <v>700.93</v>
          </cell>
        </row>
        <row r="5277">
          <cell r="L5277">
            <v>717.2</v>
          </cell>
        </row>
        <row r="5285">
          <cell r="L5285">
            <v>674.31</v>
          </cell>
        </row>
        <row r="5293">
          <cell r="L5293">
            <v>721.98</v>
          </cell>
        </row>
        <row r="5301">
          <cell r="L5301">
            <v>1217.22</v>
          </cell>
        </row>
        <row r="5308">
          <cell r="L5308">
            <v>187.38</v>
          </cell>
        </row>
        <row r="5315">
          <cell r="L5315">
            <v>201.27</v>
          </cell>
        </row>
        <row r="5322">
          <cell r="L5322">
            <v>249.96</v>
          </cell>
        </row>
        <row r="5329">
          <cell r="L5329">
            <v>144.78</v>
          </cell>
        </row>
        <row r="5333">
          <cell r="L5333">
            <v>66</v>
          </cell>
        </row>
        <row r="5340">
          <cell r="L5340">
            <v>183.21</v>
          </cell>
        </row>
        <row r="5345">
          <cell r="L5345">
            <v>392.46</v>
          </cell>
        </row>
        <row r="5352">
          <cell r="L5352">
            <v>148.5</v>
          </cell>
        </row>
        <row r="5359">
          <cell r="L5359">
            <v>119.09</v>
          </cell>
        </row>
        <row r="5366">
          <cell r="L5366">
            <v>157.69999999999999</v>
          </cell>
        </row>
        <row r="5373">
          <cell r="L5373">
            <v>105.89</v>
          </cell>
        </row>
        <row r="5380">
          <cell r="L5380">
            <v>192.45</v>
          </cell>
        </row>
        <row r="5392">
          <cell r="I5392">
            <v>2061.2600000000002</v>
          </cell>
          <cell r="L5392">
            <v>4022.9</v>
          </cell>
        </row>
        <row r="5401">
          <cell r="I5401">
            <v>2803.7</v>
          </cell>
          <cell r="L5401">
            <v>5471.9</v>
          </cell>
        </row>
        <row r="5410">
          <cell r="I5410">
            <v>8062.35</v>
          </cell>
          <cell r="L5410">
            <v>15735.06</v>
          </cell>
        </row>
        <row r="5419">
          <cell r="I5419">
            <v>9584.83</v>
          </cell>
          <cell r="L5419">
            <v>18706.46</v>
          </cell>
        </row>
        <row r="5427">
          <cell r="I5427">
            <v>7540.5</v>
          </cell>
          <cell r="L5427">
            <v>14716.58</v>
          </cell>
        </row>
        <row r="5439">
          <cell r="I5439">
            <v>7466.25</v>
          </cell>
          <cell r="L5439">
            <v>43902.39</v>
          </cell>
        </row>
        <row r="5448">
          <cell r="L5448">
            <v>1012.14</v>
          </cell>
        </row>
        <row r="5455">
          <cell r="L5455">
            <v>1041.3900000000001</v>
          </cell>
        </row>
        <row r="5461">
          <cell r="L5461">
            <v>582.67999999999995</v>
          </cell>
        </row>
        <row r="5468">
          <cell r="L5468">
            <v>604.42999999999995</v>
          </cell>
        </row>
        <row r="5475">
          <cell r="L5475">
            <v>791.73</v>
          </cell>
        </row>
        <row r="5483">
          <cell r="L5483">
            <v>813.86</v>
          </cell>
        </row>
        <row r="5488">
          <cell r="L5488">
            <v>175.51</v>
          </cell>
        </row>
        <row r="5494">
          <cell r="L5494">
            <v>197.26</v>
          </cell>
        </row>
        <row r="5498">
          <cell r="L5498">
            <v>316.89999999999998</v>
          </cell>
        </row>
        <row r="5539">
          <cell r="L5539">
            <v>12185.77</v>
          </cell>
        </row>
        <row r="5540">
          <cell r="L5540">
            <v>147.63</v>
          </cell>
        </row>
        <row r="5552">
          <cell r="L5552">
            <v>760.82</v>
          </cell>
        </row>
        <row r="5560">
          <cell r="L5560">
            <v>1609.76</v>
          </cell>
        </row>
        <row r="5566">
          <cell r="L5566">
            <v>1122.8399999999999</v>
          </cell>
        </row>
        <row r="5573">
          <cell r="L5573">
            <v>1380.65</v>
          </cell>
        </row>
        <row r="5600">
          <cell r="L5600">
            <v>9333.4599999999991</v>
          </cell>
        </row>
        <row r="5624">
          <cell r="L5624">
            <v>8659.36</v>
          </cell>
        </row>
        <row r="5648">
          <cell r="L5648">
            <v>6199.22</v>
          </cell>
        </row>
        <row r="5672">
          <cell r="L5672">
            <v>8813.1200000000008</v>
          </cell>
        </row>
        <row r="5699">
          <cell r="L5699">
            <v>12570.05</v>
          </cell>
        </row>
        <row r="5726">
          <cell r="L5726">
            <v>11659.97</v>
          </cell>
        </row>
        <row r="5753">
          <cell r="L5753">
            <v>8342.23</v>
          </cell>
        </row>
        <row r="5780">
          <cell r="L5780">
            <v>11867.33</v>
          </cell>
        </row>
        <row r="5790">
          <cell r="L5790">
            <v>1678.51</v>
          </cell>
        </row>
        <row r="5802">
          <cell r="L5802">
            <v>1622.85</v>
          </cell>
        </row>
        <row r="5813">
          <cell r="L5813">
            <v>1292.3599999999999</v>
          </cell>
        </row>
        <row r="5824">
          <cell r="L5824">
            <v>844.04</v>
          </cell>
        </row>
        <row r="5830">
          <cell r="L5830">
            <v>298.37</v>
          </cell>
        </row>
        <row r="5836">
          <cell r="L5836">
            <v>419.6</v>
          </cell>
        </row>
        <row r="5841">
          <cell r="L5841">
            <v>82.99</v>
          </cell>
        </row>
        <row r="5849">
          <cell r="L5849">
            <v>4008.74</v>
          </cell>
        </row>
        <row r="5855">
          <cell r="L5855">
            <v>3576.01</v>
          </cell>
        </row>
        <row r="5861">
          <cell r="L5861">
            <v>3771.41</v>
          </cell>
        </row>
        <row r="5867">
          <cell r="L5867">
            <v>3699.14</v>
          </cell>
        </row>
        <row r="5873">
          <cell r="L5873">
            <v>2941.18</v>
          </cell>
        </row>
        <row r="5879">
          <cell r="L5879">
            <v>3421.63</v>
          </cell>
        </row>
        <row r="5885">
          <cell r="L5885">
            <v>2527.63</v>
          </cell>
        </row>
      </sheetData>
      <sheetData sheetId="4">
        <row r="9">
          <cell r="K9">
            <v>102.28</v>
          </cell>
        </row>
      </sheetData>
      <sheetData sheetId="5" refreshError="1"/>
      <sheetData sheetId="6">
        <row r="4">
          <cell r="E4">
            <v>0.16</v>
          </cell>
        </row>
        <row r="51">
          <cell r="C51" t="str">
            <v>ASCENSORES:</v>
          </cell>
        </row>
        <row r="261">
          <cell r="C261" t="str">
            <v>BLOQUES DE VIDRIO:</v>
          </cell>
        </row>
        <row r="356">
          <cell r="E356">
            <v>187.8</v>
          </cell>
        </row>
        <row r="527">
          <cell r="E527">
            <v>127600</v>
          </cell>
        </row>
        <row r="535">
          <cell r="E535">
            <v>251210.01</v>
          </cell>
        </row>
        <row r="650">
          <cell r="C650" t="str">
            <v>LABORATORIO MECANICA DE SUELOS&gt;</v>
          </cell>
        </row>
        <row r="840">
          <cell r="C840" t="str">
            <v>PLANTAS ELECTRICAS:</v>
          </cell>
        </row>
      </sheetData>
      <sheetData sheetId="7">
        <row r="6">
          <cell r="B6" t="str">
            <v>BLOQUES:</v>
          </cell>
        </row>
      </sheetData>
      <sheetData sheetId="8">
        <row r="4">
          <cell r="C4">
            <v>5100</v>
          </cell>
        </row>
        <row r="524">
          <cell r="C524">
            <v>669.98</v>
          </cell>
        </row>
        <row r="539">
          <cell r="C539">
            <v>425</v>
          </cell>
        </row>
        <row r="541">
          <cell r="C541">
            <v>975</v>
          </cell>
        </row>
        <row r="542">
          <cell r="C542">
            <v>775</v>
          </cell>
        </row>
        <row r="543">
          <cell r="C543">
            <v>625</v>
          </cell>
        </row>
        <row r="544">
          <cell r="C544">
            <v>550</v>
          </cell>
        </row>
        <row r="545">
          <cell r="C545">
            <v>375</v>
          </cell>
        </row>
        <row r="546">
          <cell r="C546">
            <v>325</v>
          </cell>
        </row>
      </sheetData>
      <sheetData sheetId="9">
        <row r="49">
          <cell r="F49">
            <v>1305.31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"/>
      <sheetName val="Planos"/>
      <sheetName val="Presup"/>
      <sheetName val="Ana"/>
      <sheetName val="Cálc"/>
      <sheetName val="Ind"/>
      <sheetName val="Ins"/>
      <sheetName val="Rndmnto"/>
      <sheetName val="M.O."/>
      <sheetName val="Res"/>
      <sheetName val="Presup (2)"/>
    </sheetNames>
    <sheetDataSet>
      <sheetData sheetId="0"/>
      <sheetData sheetId="1"/>
      <sheetData sheetId="2"/>
      <sheetData sheetId="3">
        <row r="11">
          <cell r="L11">
            <v>1531.98</v>
          </cell>
        </row>
        <row r="3286">
          <cell r="L3286">
            <v>8191.92</v>
          </cell>
        </row>
        <row r="3703">
          <cell r="L3703">
            <v>2317.6799999999998</v>
          </cell>
        </row>
        <row r="3735">
          <cell r="L3735">
            <v>1296.06</v>
          </cell>
        </row>
        <row r="4432">
          <cell r="L4432">
            <v>12914.9</v>
          </cell>
        </row>
        <row r="4450">
          <cell r="L4450">
            <v>15165.88</v>
          </cell>
        </row>
      </sheetData>
      <sheetData sheetId="4"/>
      <sheetData sheetId="5"/>
      <sheetData sheetId="6">
        <row r="4">
          <cell r="E4">
            <v>0.16</v>
          </cell>
        </row>
        <row r="261">
          <cell r="C261" t="str">
            <v>BLOQUES DE VIDRIO:</v>
          </cell>
        </row>
      </sheetData>
      <sheetData sheetId="7">
        <row r="6">
          <cell r="B6" t="str">
            <v>BLOQUES:</v>
          </cell>
        </row>
      </sheetData>
      <sheetData sheetId="8">
        <row r="4">
          <cell r="C4">
            <v>5100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"/>
      <sheetName val="Presup"/>
      <sheetName val="Planos"/>
      <sheetName val="Cálc"/>
      <sheetName val="Ins"/>
      <sheetName val="Herram"/>
      <sheetName val="Rndmto"/>
      <sheetName val="M.O."/>
      <sheetName val="Ana"/>
      <sheetName val="Indice"/>
      <sheetName val="Zapmuro"/>
      <sheetName val="ZapCol"/>
      <sheetName val="PondZapCol"/>
      <sheetName val="Col"/>
      <sheetName val="Vigas"/>
      <sheetName val="Losas"/>
      <sheetName val="PondLosas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E4">
            <v>0.16</v>
          </cell>
        </row>
        <row r="62">
          <cell r="C62" t="str">
            <v>ASCENSORES:</v>
          </cell>
        </row>
        <row r="303">
          <cell r="C303" t="str">
            <v>BLOQUES DE CRISTAL:</v>
          </cell>
        </row>
        <row r="419">
          <cell r="E419">
            <v>207.1</v>
          </cell>
        </row>
        <row r="424">
          <cell r="E424">
            <v>39.159999999999997</v>
          </cell>
        </row>
        <row r="779">
          <cell r="C779" t="str">
            <v>LABORATORIO MECANICA DE SUELOS&gt;</v>
          </cell>
        </row>
        <row r="982">
          <cell r="C982" t="str">
            <v>PLANTAS ELECTRICAS:</v>
          </cell>
        </row>
      </sheetData>
      <sheetData sheetId="5">
        <row r="26">
          <cell r="E26">
            <v>152250</v>
          </cell>
        </row>
        <row r="152">
          <cell r="E152">
            <v>131250</v>
          </cell>
        </row>
      </sheetData>
      <sheetData sheetId="6">
        <row r="125">
          <cell r="C125" t="str">
            <v>BLOQUES:</v>
          </cell>
        </row>
      </sheetData>
      <sheetData sheetId="7">
        <row r="4">
          <cell r="D4">
            <v>6451.5</v>
          </cell>
        </row>
        <row r="603">
          <cell r="D603">
            <v>1737.81</v>
          </cell>
        </row>
        <row r="618">
          <cell r="D618">
            <v>525</v>
          </cell>
        </row>
        <row r="620">
          <cell r="D620">
            <v>1225</v>
          </cell>
        </row>
        <row r="621">
          <cell r="D621">
            <v>975</v>
          </cell>
        </row>
        <row r="622">
          <cell r="D622">
            <v>780</v>
          </cell>
        </row>
        <row r="623">
          <cell r="D623">
            <v>680</v>
          </cell>
        </row>
        <row r="624">
          <cell r="D624">
            <v>450</v>
          </cell>
        </row>
        <row r="625">
          <cell r="D625">
            <v>410</v>
          </cell>
        </row>
      </sheetData>
      <sheetData sheetId="8">
        <row r="260">
          <cell r="M260">
            <v>20058.8</v>
          </cell>
        </row>
        <row r="356">
          <cell r="M356">
            <v>395.49</v>
          </cell>
        </row>
        <row r="363">
          <cell r="M363">
            <v>251.26</v>
          </cell>
        </row>
        <row r="452">
          <cell r="M452">
            <v>1964.37</v>
          </cell>
        </row>
        <row r="590">
          <cell r="M590">
            <v>32427.75</v>
          </cell>
        </row>
        <row r="1478">
          <cell r="M1478">
            <v>26362.25</v>
          </cell>
        </row>
        <row r="1621">
          <cell r="M1621">
            <v>14305.86</v>
          </cell>
        </row>
        <row r="1915">
          <cell r="M1915">
            <v>23925.49</v>
          </cell>
        </row>
        <row r="2536">
          <cell r="M2536">
            <v>22025.79</v>
          </cell>
        </row>
        <row r="2558">
          <cell r="M2558">
            <v>20931.05</v>
          </cell>
        </row>
        <row r="3238">
          <cell r="M3238">
            <v>644.82000000000005</v>
          </cell>
        </row>
        <row r="3287">
          <cell r="M3287">
            <v>279.04000000000002</v>
          </cell>
        </row>
        <row r="4896">
          <cell r="M4896">
            <v>392.86</v>
          </cell>
        </row>
        <row r="5100">
          <cell r="M5100">
            <v>1309.43</v>
          </cell>
        </row>
        <row r="5432">
          <cell r="M5432">
            <v>14204.17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"/>
      <sheetName val="Ins"/>
      <sheetName val="Ins 2"/>
      <sheetName val="FA"/>
      <sheetName val="Rndmto"/>
      <sheetName val="M.O."/>
      <sheetName val="Ana"/>
      <sheetName val="Resu"/>
      <sheetName val="Indice"/>
    </sheetNames>
    <sheetDataSet>
      <sheetData sheetId="0" refreshError="1"/>
      <sheetData sheetId="1">
        <row r="4">
          <cell r="E4">
            <v>0.16</v>
          </cell>
        </row>
        <row r="364">
          <cell r="E364">
            <v>28.85</v>
          </cell>
        </row>
        <row r="744">
          <cell r="E744">
            <v>4250</v>
          </cell>
        </row>
        <row r="807">
          <cell r="E807">
            <v>480</v>
          </cell>
        </row>
        <row r="809">
          <cell r="E809">
            <v>130.38</v>
          </cell>
        </row>
      </sheetData>
      <sheetData sheetId="2">
        <row r="41">
          <cell r="E41">
            <v>4.5</v>
          </cell>
        </row>
      </sheetData>
      <sheetData sheetId="3" refreshError="1"/>
      <sheetData sheetId="4"/>
      <sheetData sheetId="5">
        <row r="4">
          <cell r="C4">
            <v>4377</v>
          </cell>
        </row>
        <row r="11">
          <cell r="C11">
            <v>639</v>
          </cell>
        </row>
        <row r="12">
          <cell r="C12">
            <v>511</v>
          </cell>
        </row>
        <row r="13">
          <cell r="C13">
            <v>448</v>
          </cell>
        </row>
      </sheetData>
      <sheetData sheetId="6">
        <row r="11">
          <cell r="F11">
            <v>671.48</v>
          </cell>
        </row>
        <row r="216">
          <cell r="F216">
            <v>1310.1300000000001</v>
          </cell>
        </row>
        <row r="3433">
          <cell r="F3433">
            <v>1189.92</v>
          </cell>
        </row>
        <row r="4497">
          <cell r="F4497">
            <v>1363.83</v>
          </cell>
        </row>
        <row r="4506">
          <cell r="F4506">
            <v>1994.8000000000002</v>
          </cell>
        </row>
        <row r="4515">
          <cell r="F4515">
            <v>2100</v>
          </cell>
        </row>
        <row r="4524">
          <cell r="F4524">
            <v>1103.8100000000002</v>
          </cell>
        </row>
        <row r="4533">
          <cell r="F4533">
            <v>1225.1000000000001</v>
          </cell>
        </row>
        <row r="4542">
          <cell r="F4542">
            <v>1176.96</v>
          </cell>
        </row>
        <row r="4551">
          <cell r="F4551">
            <v>1316.43</v>
          </cell>
        </row>
        <row r="4560">
          <cell r="F4560">
            <v>1316.43</v>
          </cell>
        </row>
      </sheetData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"/>
      <sheetName val="Ins"/>
      <sheetName val="Ins 2"/>
      <sheetName val="FA"/>
      <sheetName val="Rndmto"/>
      <sheetName val="M.O."/>
      <sheetName val="Ana"/>
      <sheetName val="Resu"/>
      <sheetName val="Indice"/>
    </sheetNames>
    <sheetDataSet>
      <sheetData sheetId="0" refreshError="1"/>
      <sheetData sheetId="1">
        <row r="4">
          <cell r="E4">
            <v>0.16</v>
          </cell>
        </row>
      </sheetData>
      <sheetData sheetId="2">
        <row r="41">
          <cell r="E41">
            <v>4.5</v>
          </cell>
        </row>
      </sheetData>
      <sheetData sheetId="3" refreshError="1"/>
      <sheetData sheetId="4"/>
      <sheetData sheetId="5">
        <row r="4">
          <cell r="C4">
            <v>4377</v>
          </cell>
        </row>
      </sheetData>
      <sheetData sheetId="6">
        <row r="11">
          <cell r="F11">
            <v>671.48</v>
          </cell>
        </row>
        <row r="1657">
          <cell r="F1657">
            <v>16680.439999999999</v>
          </cell>
        </row>
        <row r="3433">
          <cell r="F3433">
            <v>1189.92</v>
          </cell>
        </row>
      </sheetData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"/>
      <sheetName val="Espesor"/>
      <sheetName val="Cargas"/>
      <sheetName val="Moms de Empt"/>
      <sheetName val="Compesaciones"/>
      <sheetName val="M+"/>
      <sheetName val="M-"/>
      <sheetName val="Cb"/>
      <sheetName val="Wmuros"/>
      <sheetName val="Wcolumnas"/>
      <sheetName val="Wvigas"/>
      <sheetName val="Wescaleras"/>
      <sheetName val="Wedif"/>
      <sheetName val="CM, CC"/>
      <sheetName val="CRIG"/>
      <sheetName val="En, Ea"/>
      <sheetName val="VXX, VYY"/>
      <sheetName val="Campo cercano"/>
      <sheetName val="COEFICIENTES"/>
    </sheetNames>
    <sheetDataSet>
      <sheetData sheetId="0"/>
      <sheetData sheetId="1">
        <row r="8">
          <cell r="C8">
            <v>1</v>
          </cell>
          <cell r="K8" t="str">
            <v xml:space="preserve">        </v>
          </cell>
        </row>
        <row r="9">
          <cell r="C9">
            <v>2</v>
          </cell>
          <cell r="K9" t="str">
            <v xml:space="preserve">        </v>
          </cell>
        </row>
        <row r="10">
          <cell r="C10">
            <v>3</v>
          </cell>
          <cell r="K10" t="str">
            <v xml:space="preserve">        </v>
          </cell>
        </row>
        <row r="11">
          <cell r="C11">
            <v>4</v>
          </cell>
          <cell r="K11" t="str">
            <v xml:space="preserve">        </v>
          </cell>
        </row>
        <row r="12">
          <cell r="C12">
            <v>5</v>
          </cell>
          <cell r="K12" t="str">
            <v xml:space="preserve">        </v>
          </cell>
        </row>
        <row r="13">
          <cell r="C13">
            <v>6</v>
          </cell>
          <cell r="K13" t="str">
            <v>en voladizo</v>
          </cell>
        </row>
        <row r="14">
          <cell r="C14">
            <v>7</v>
          </cell>
          <cell r="K14" t="str">
            <v xml:space="preserve">        </v>
          </cell>
        </row>
        <row r="15">
          <cell r="C15" t="str">
            <v/>
          </cell>
          <cell r="K15" t="str">
            <v/>
          </cell>
        </row>
        <row r="16">
          <cell r="C16" t="str">
            <v/>
          </cell>
          <cell r="K16" t="str">
            <v/>
          </cell>
        </row>
        <row r="17">
          <cell r="C17" t="str">
            <v/>
          </cell>
          <cell r="K17" t="str">
            <v/>
          </cell>
        </row>
        <row r="18">
          <cell r="C18" t="str">
            <v/>
          </cell>
          <cell r="K18" t="str">
            <v/>
          </cell>
        </row>
        <row r="19">
          <cell r="C19" t="str">
            <v/>
          </cell>
          <cell r="K19" t="str">
            <v/>
          </cell>
        </row>
        <row r="20">
          <cell r="C20" t="str">
            <v/>
          </cell>
          <cell r="K20" t="str">
            <v/>
          </cell>
        </row>
        <row r="21">
          <cell r="C21" t="str">
            <v/>
          </cell>
          <cell r="K21" t="str">
            <v/>
          </cell>
        </row>
        <row r="22">
          <cell r="C22" t="str">
            <v/>
          </cell>
          <cell r="K22" t="str">
            <v/>
          </cell>
        </row>
        <row r="23">
          <cell r="C23" t="str">
            <v/>
          </cell>
          <cell r="K23" t="str">
            <v/>
          </cell>
        </row>
        <row r="24">
          <cell r="C24" t="str">
            <v/>
          </cell>
          <cell r="K24" t="str">
            <v/>
          </cell>
        </row>
        <row r="25">
          <cell r="C25" t="str">
            <v/>
          </cell>
          <cell r="K25" t="str">
            <v/>
          </cell>
        </row>
        <row r="26">
          <cell r="C26" t="str">
            <v/>
          </cell>
          <cell r="K26" t="str">
            <v/>
          </cell>
        </row>
        <row r="27">
          <cell r="C27" t="str">
            <v/>
          </cell>
          <cell r="K27" t="str">
            <v/>
          </cell>
        </row>
        <row r="28">
          <cell r="C28" t="str">
            <v/>
          </cell>
          <cell r="K28" t="str">
            <v/>
          </cell>
        </row>
        <row r="29">
          <cell r="C29" t="str">
            <v/>
          </cell>
          <cell r="K29" t="str">
            <v/>
          </cell>
        </row>
        <row r="30">
          <cell r="C30" t="str">
            <v/>
          </cell>
          <cell r="K30" t="str">
            <v/>
          </cell>
        </row>
        <row r="31">
          <cell r="C31" t="str">
            <v/>
          </cell>
          <cell r="K31" t="str">
            <v/>
          </cell>
        </row>
        <row r="32">
          <cell r="C32" t="str">
            <v/>
          </cell>
          <cell r="K32" t="str">
            <v/>
          </cell>
        </row>
        <row r="33">
          <cell r="C33" t="str">
            <v/>
          </cell>
          <cell r="K33" t="str">
            <v/>
          </cell>
        </row>
        <row r="34">
          <cell r="C34" t="str">
            <v/>
          </cell>
          <cell r="K34" t="str">
            <v/>
          </cell>
        </row>
        <row r="35">
          <cell r="C35" t="str">
            <v/>
          </cell>
          <cell r="K35" t="str">
            <v/>
          </cell>
        </row>
        <row r="36">
          <cell r="C36" t="str">
            <v/>
          </cell>
          <cell r="K36" t="str">
            <v/>
          </cell>
        </row>
        <row r="37">
          <cell r="C37" t="str">
            <v/>
          </cell>
          <cell r="K37" t="str">
            <v/>
          </cell>
        </row>
        <row r="38">
          <cell r="C38" t="str">
            <v/>
          </cell>
          <cell r="K38" t="str">
            <v/>
          </cell>
        </row>
        <row r="39">
          <cell r="C39" t="str">
            <v/>
          </cell>
          <cell r="K39" t="str">
            <v/>
          </cell>
        </row>
        <row r="40">
          <cell r="C40" t="str">
            <v/>
          </cell>
          <cell r="K40" t="str">
            <v/>
          </cell>
        </row>
        <row r="41">
          <cell r="C41" t="str">
            <v/>
          </cell>
          <cell r="K41" t="str">
            <v/>
          </cell>
        </row>
      </sheetData>
      <sheetData sheetId="2"/>
      <sheetData sheetId="3">
        <row r="3">
          <cell r="O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9" sqref="A9:G10"/>
    </sheetView>
  </sheetViews>
  <sheetFormatPr defaultColWidth="10.109375" defaultRowHeight="21.75" customHeight="1"/>
  <cols>
    <col min="1" max="1" width="10.109375" style="3" customWidth="1"/>
    <col min="2" max="3" width="10.109375" style="8" customWidth="1"/>
    <col min="4" max="16384" width="10.109375" style="3"/>
  </cols>
  <sheetData>
    <row r="1" spans="1:15" ht="21.75" customHeight="1">
      <c r="A1" s="547" t="s">
        <v>132</v>
      </c>
      <c r="B1" s="547"/>
      <c r="C1" s="547"/>
      <c r="D1" s="547"/>
      <c r="E1" s="547"/>
      <c r="F1" s="547"/>
      <c r="G1" s="547"/>
    </row>
    <row r="2" spans="1:15" ht="21.75" customHeight="1">
      <c r="A2" s="547"/>
      <c r="B2" s="547"/>
      <c r="C2" s="547"/>
      <c r="D2" s="547"/>
      <c r="E2" s="547"/>
      <c r="F2" s="547"/>
      <c r="G2" s="547"/>
    </row>
    <row r="3" spans="1:15" ht="21.75" customHeight="1">
      <c r="A3" s="547"/>
      <c r="B3" s="547"/>
      <c r="C3" s="547"/>
      <c r="D3" s="547"/>
      <c r="E3" s="547"/>
      <c r="F3" s="547"/>
      <c r="G3" s="547"/>
    </row>
    <row r="4" spans="1:15" ht="21.75" customHeight="1">
      <c r="A4" s="547"/>
      <c r="B4" s="547"/>
      <c r="C4" s="547"/>
      <c r="D4" s="547"/>
      <c r="E4" s="547"/>
      <c r="F4" s="547"/>
      <c r="G4" s="547"/>
      <c r="H4" s="543"/>
      <c r="I4" s="543"/>
      <c r="J4" s="543"/>
      <c r="K4" s="543"/>
      <c r="L4" s="543"/>
      <c r="M4" s="543"/>
      <c r="N4" s="543"/>
    </row>
    <row r="5" spans="1:15" ht="21.75" customHeight="1">
      <c r="A5" s="4"/>
      <c r="B5" s="4"/>
      <c r="C5" s="4"/>
      <c r="D5" s="4"/>
      <c r="E5" s="4"/>
      <c r="F5" s="4"/>
      <c r="G5" s="4"/>
    </row>
    <row r="6" spans="1:15" ht="21.75" customHeight="1">
      <c r="A6" s="4"/>
      <c r="B6" s="4"/>
      <c r="C6" s="4"/>
      <c r="D6" s="4"/>
      <c r="E6" s="4"/>
      <c r="F6" s="4"/>
      <c r="G6" s="81" t="s">
        <v>52</v>
      </c>
    </row>
    <row r="7" spans="1:15" ht="21.75" customHeight="1">
      <c r="A7" s="544" t="s">
        <v>167</v>
      </c>
      <c r="B7" s="544"/>
      <c r="C7" s="544"/>
      <c r="D7" s="544"/>
      <c r="E7" s="544"/>
      <c r="F7" s="544"/>
      <c r="G7" s="544"/>
    </row>
    <row r="8" spans="1:15" ht="21.75" customHeight="1">
      <c r="A8" s="544"/>
      <c r="B8" s="544"/>
      <c r="C8" s="544"/>
      <c r="D8" s="544"/>
      <c r="E8" s="544"/>
      <c r="F8" s="544"/>
      <c r="G8" s="544"/>
    </row>
    <row r="9" spans="1:15" ht="21.75" customHeight="1">
      <c r="A9" s="545" t="s">
        <v>166</v>
      </c>
      <c r="B9" s="545"/>
      <c r="C9" s="545"/>
      <c r="D9" s="545"/>
      <c r="E9" s="545"/>
      <c r="F9" s="545"/>
      <c r="G9" s="545"/>
    </row>
    <row r="10" spans="1:15" ht="21.75" customHeight="1">
      <c r="A10" s="545"/>
      <c r="B10" s="545"/>
      <c r="C10" s="545"/>
      <c r="D10" s="545"/>
      <c r="E10" s="545"/>
      <c r="F10" s="545"/>
      <c r="G10" s="545"/>
    </row>
    <row r="11" spans="1:15" ht="21.75" customHeight="1">
      <c r="A11" s="5"/>
      <c r="B11" s="4"/>
      <c r="C11" s="6"/>
      <c r="D11" s="7"/>
      <c r="E11" s="4"/>
      <c r="F11" s="4"/>
      <c r="G11" s="4"/>
    </row>
    <row r="12" spans="1:15" ht="21.75" customHeight="1">
      <c r="I12" s="546"/>
      <c r="J12" s="546"/>
      <c r="K12" s="546"/>
      <c r="L12" s="546"/>
      <c r="M12" s="546"/>
      <c r="N12" s="546"/>
      <c r="O12" s="546"/>
    </row>
    <row r="13" spans="1:15" ht="21.75" customHeight="1">
      <c r="A13" s="541"/>
      <c r="B13" s="541"/>
      <c r="C13" s="541"/>
      <c r="D13" s="541"/>
      <c r="E13" s="541"/>
      <c r="F13" s="541"/>
      <c r="G13" s="541"/>
    </row>
    <row r="14" spans="1:15" ht="21.75" customHeight="1">
      <c r="A14" s="4"/>
      <c r="B14" s="4"/>
      <c r="C14" s="4"/>
      <c r="D14" s="4"/>
      <c r="E14" s="4"/>
      <c r="F14" s="4"/>
      <c r="G14" s="4"/>
    </row>
    <row r="15" spans="1:15" ht="21.75" customHeight="1">
      <c r="A15" s="4"/>
      <c r="B15" s="4"/>
      <c r="C15" s="4"/>
      <c r="D15" s="4"/>
      <c r="E15" s="4"/>
      <c r="F15" s="4"/>
      <c r="G15" s="4"/>
    </row>
    <row r="17" spans="1:7" ht="21.75" customHeight="1">
      <c r="A17" s="546" t="s">
        <v>54</v>
      </c>
      <c r="B17" s="546"/>
      <c r="C17" s="546"/>
      <c r="D17" s="546"/>
      <c r="E17" s="546"/>
      <c r="F17" s="546"/>
      <c r="G17" s="546"/>
    </row>
    <row r="18" spans="1:7" ht="21.75" customHeight="1">
      <c r="A18" s="541" t="s">
        <v>130</v>
      </c>
      <c r="B18" s="541"/>
      <c r="C18" s="541"/>
      <c r="D18" s="541"/>
      <c r="E18" s="541"/>
      <c r="F18" s="541"/>
      <c r="G18" s="541"/>
    </row>
    <row r="19" spans="1:7" ht="21.75" customHeight="1">
      <c r="A19" s="541" t="s">
        <v>131</v>
      </c>
      <c r="B19" s="541"/>
      <c r="C19" s="541"/>
      <c r="D19" s="541"/>
      <c r="E19" s="541"/>
      <c r="F19" s="542" t="s">
        <v>129</v>
      </c>
      <c r="G19" s="542"/>
    </row>
    <row r="20" spans="1:7" ht="21.75" customHeight="1">
      <c r="A20" s="541"/>
      <c r="B20" s="541"/>
      <c r="C20" s="541"/>
      <c r="D20" s="541"/>
      <c r="E20" s="541"/>
      <c r="F20" s="542"/>
      <c r="G20" s="542"/>
    </row>
    <row r="21" spans="1:7" ht="21.75" customHeight="1">
      <c r="A21" s="541"/>
      <c r="B21" s="541"/>
      <c r="C21" s="541"/>
      <c r="D21" s="541"/>
      <c r="E21" s="541"/>
      <c r="F21" s="542"/>
      <c r="G21" s="542"/>
    </row>
    <row r="22" spans="1:7" ht="21.75" customHeight="1">
      <c r="A22" s="541"/>
      <c r="B22" s="541"/>
      <c r="C22" s="541"/>
      <c r="D22" s="541"/>
      <c r="E22" s="541"/>
      <c r="F22" s="542"/>
      <c r="G22" s="542"/>
    </row>
    <row r="24" spans="1:7" ht="21.75" customHeight="1">
      <c r="A24" s="546" t="s">
        <v>53</v>
      </c>
      <c r="B24" s="546"/>
      <c r="C24" s="546"/>
      <c r="D24" s="546"/>
      <c r="E24" s="546"/>
      <c r="F24" s="546"/>
      <c r="G24" s="546"/>
    </row>
    <row r="25" spans="1:7" ht="21.75" customHeight="1">
      <c r="A25" s="541" t="s">
        <v>168</v>
      </c>
      <c r="B25" s="541"/>
      <c r="C25" s="541"/>
      <c r="D25" s="541"/>
      <c r="E25" s="541"/>
      <c r="F25" s="541"/>
      <c r="G25" s="541"/>
    </row>
    <row r="26" spans="1:7" ht="21.75" customHeight="1">
      <c r="A26" s="541"/>
      <c r="B26" s="541"/>
      <c r="C26" s="541"/>
      <c r="D26" s="541"/>
      <c r="E26" s="541"/>
      <c r="F26" s="552"/>
      <c r="G26" s="552"/>
    </row>
    <row r="27" spans="1:7" ht="21.75" customHeight="1">
      <c r="A27" s="4"/>
      <c r="B27" s="9"/>
      <c r="C27" s="10"/>
      <c r="D27" s="4"/>
      <c r="E27" s="4"/>
      <c r="F27" s="4"/>
      <c r="G27" s="4"/>
    </row>
    <row r="29" spans="1:7" s="13" customFormat="1" ht="21.75" customHeight="1">
      <c r="A29" s="11"/>
      <c r="B29" s="11"/>
      <c r="C29" s="12"/>
      <c r="D29" s="11"/>
      <c r="E29" s="11"/>
      <c r="F29" s="11"/>
      <c r="G29" s="11"/>
    </row>
    <row r="30" spans="1:7" s="14" customFormat="1" ht="21.75" customHeight="1">
      <c r="A30" s="549" t="s">
        <v>170</v>
      </c>
      <c r="B30" s="549"/>
      <c r="C30" s="549"/>
      <c r="D30" s="549"/>
      <c r="E30" s="549"/>
      <c r="F30" s="549"/>
      <c r="G30" s="549"/>
    </row>
    <row r="31" spans="1:7" ht="21.75" customHeight="1">
      <c r="A31" s="15"/>
      <c r="B31" s="15"/>
      <c r="C31" s="15"/>
      <c r="D31" s="15"/>
      <c r="E31" s="15"/>
      <c r="F31" s="15" t="s">
        <v>169</v>
      </c>
      <c r="G31" s="16" t="s">
        <v>55</v>
      </c>
    </row>
    <row r="32" spans="1:7" ht="21.75" customHeight="1">
      <c r="A32" s="4"/>
      <c r="B32" s="4" t="s">
        <v>56</v>
      </c>
      <c r="C32" s="10"/>
      <c r="D32" s="4"/>
      <c r="E32" s="4"/>
      <c r="F32" s="4"/>
      <c r="G32" s="4"/>
    </row>
    <row r="33" spans="1:7" ht="21.75" customHeight="1">
      <c r="A33" s="261"/>
      <c r="B33" s="261"/>
      <c r="C33" s="261"/>
      <c r="D33" s="261"/>
      <c r="E33" s="261"/>
      <c r="F33" s="261"/>
      <c r="G33" s="261"/>
    </row>
    <row r="34" spans="1:7" ht="21.75" customHeight="1">
      <c r="A34" s="261"/>
      <c r="B34" s="261"/>
      <c r="C34" s="261"/>
      <c r="D34" s="261"/>
      <c r="E34" s="261"/>
      <c r="F34" s="261"/>
      <c r="G34" s="261"/>
    </row>
    <row r="35" spans="1:7" ht="21.75" customHeight="1">
      <c r="A35" s="261"/>
      <c r="B35" s="261"/>
      <c r="C35" s="261"/>
      <c r="D35" s="261"/>
      <c r="E35" s="261"/>
      <c r="F35" s="261"/>
      <c r="G35" s="261"/>
    </row>
    <row r="36" spans="1:7" ht="21.75" customHeight="1">
      <c r="B36" s="17"/>
      <c r="C36" s="18"/>
    </row>
    <row r="37" spans="1:7" ht="21.75" customHeight="1">
      <c r="A37" s="4"/>
      <c r="C37" s="18"/>
    </row>
    <row r="38" spans="1:7" ht="21.75" customHeight="1">
      <c r="A38" s="4"/>
      <c r="C38" s="18"/>
    </row>
    <row r="53" spans="1:7" ht="21.75" customHeight="1">
      <c r="A53" s="550" t="s">
        <v>52</v>
      </c>
      <c r="B53" s="550"/>
      <c r="C53" s="550"/>
      <c r="D53" s="550"/>
      <c r="E53" s="550"/>
      <c r="F53" s="550"/>
      <c r="G53" s="550"/>
    </row>
    <row r="54" spans="1:7" ht="21.75" customHeight="1">
      <c r="A54" s="550"/>
      <c r="B54" s="550"/>
      <c r="C54" s="550"/>
      <c r="D54" s="550"/>
      <c r="E54" s="550"/>
      <c r="F54" s="550"/>
      <c r="G54" s="550"/>
    </row>
    <row r="56" spans="1:7" ht="21.75" customHeight="1">
      <c r="A56" s="551" t="str">
        <f>+A7</f>
        <v xml:space="preserve">Vivienda Familiar </v>
      </c>
      <c r="B56" s="551"/>
      <c r="C56" s="551"/>
      <c r="D56" s="551"/>
      <c r="E56" s="551"/>
      <c r="F56" s="551"/>
      <c r="G56" s="551"/>
    </row>
    <row r="57" spans="1:7" ht="21.75" customHeight="1">
      <c r="A57" s="551"/>
      <c r="B57" s="551"/>
      <c r="C57" s="551"/>
      <c r="D57" s="551"/>
      <c r="E57" s="551"/>
      <c r="F57" s="551"/>
      <c r="G57" s="551"/>
    </row>
    <row r="58" spans="1:7" ht="21.75" customHeight="1">
      <c r="A58" s="551"/>
      <c r="B58" s="551"/>
      <c r="C58" s="551"/>
      <c r="D58" s="551"/>
      <c r="E58" s="551"/>
      <c r="F58" s="551"/>
      <c r="G58" s="551"/>
    </row>
    <row r="59" spans="1:7" ht="21.75" customHeight="1">
      <c r="A59" s="548" t="str">
        <f>+A9</f>
        <v>a Dos (2) Niveles</v>
      </c>
      <c r="B59" s="548"/>
      <c r="C59" s="548"/>
      <c r="D59" s="548"/>
      <c r="E59" s="548"/>
      <c r="F59" s="548"/>
      <c r="G59" s="548"/>
    </row>
    <row r="60" spans="1:7" ht="21.75" customHeight="1">
      <c r="A60" s="548"/>
      <c r="B60" s="548"/>
      <c r="C60" s="548"/>
      <c r="D60" s="548"/>
      <c r="E60" s="548"/>
      <c r="F60" s="548"/>
      <c r="G60" s="548"/>
    </row>
    <row r="61" spans="1:7" ht="21.75" customHeight="1">
      <c r="A61" s="548"/>
      <c r="B61" s="548"/>
      <c r="C61" s="548"/>
      <c r="D61" s="548"/>
      <c r="E61" s="548"/>
      <c r="F61" s="548"/>
      <c r="G61" s="548"/>
    </row>
  </sheetData>
  <mergeCells count="24">
    <mergeCell ref="A59:G61"/>
    <mergeCell ref="A24:G24"/>
    <mergeCell ref="A17:G17"/>
    <mergeCell ref="A30:G30"/>
    <mergeCell ref="A53:G54"/>
    <mergeCell ref="A56:G58"/>
    <mergeCell ref="A22:E22"/>
    <mergeCell ref="F22:G22"/>
    <mergeCell ref="A18:G18"/>
    <mergeCell ref="A25:G25"/>
    <mergeCell ref="A26:E26"/>
    <mergeCell ref="F26:G26"/>
    <mergeCell ref="A21:E21"/>
    <mergeCell ref="F21:G21"/>
    <mergeCell ref="H4:N4"/>
    <mergeCell ref="A7:G8"/>
    <mergeCell ref="A9:G10"/>
    <mergeCell ref="I12:O12"/>
    <mergeCell ref="A1:G4"/>
    <mergeCell ref="A13:G13"/>
    <mergeCell ref="A19:E19"/>
    <mergeCell ref="F19:G19"/>
    <mergeCell ref="A20:E20"/>
    <mergeCell ref="F20:G20"/>
  </mergeCells>
  <pageMargins left="1.1811023622047201" right="0.15748031496063" top="0.67" bottom="0.31496062992126" header="0" footer="0.32"/>
  <pageSetup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5"/>
  </sheetPr>
  <dimension ref="A1:BA63"/>
  <sheetViews>
    <sheetView tabSelected="1" zoomScaleNormal="100" workbookViewId="0">
      <selection activeCell="G8" sqref="G8"/>
    </sheetView>
  </sheetViews>
  <sheetFormatPr defaultColWidth="11.5546875" defaultRowHeight="21" customHeight="1"/>
  <cols>
    <col min="1" max="1" width="4" style="64" customWidth="1"/>
    <col min="2" max="2" width="4.6640625" style="64" customWidth="1"/>
    <col min="3" max="3" width="3.109375" style="64" customWidth="1"/>
    <col min="4" max="4" width="8" style="64" customWidth="1"/>
    <col min="5" max="5" width="8.21875" style="64" customWidth="1"/>
    <col min="6" max="6" width="6.44140625" style="64" customWidth="1"/>
    <col min="7" max="7" width="14.6640625" style="64" customWidth="1"/>
    <col min="8" max="10" width="4.109375" style="64" customWidth="1"/>
    <col min="11" max="11" width="21.109375" style="64" customWidth="1"/>
    <col min="12" max="12" width="6.33203125" style="64" customWidth="1"/>
    <col min="13" max="13" width="6.21875" style="64" customWidth="1"/>
    <col min="14" max="14" width="6.77734375" style="64" customWidth="1"/>
    <col min="15" max="15" width="6.109375" style="64" customWidth="1"/>
    <col min="16" max="16" width="5.33203125" style="64" customWidth="1"/>
    <col min="17" max="17" width="4" style="64" customWidth="1"/>
    <col min="18" max="18" width="3" style="64" customWidth="1"/>
    <col min="19" max="19" width="6.21875" style="64" customWidth="1"/>
    <col min="20" max="20" width="3" style="64" customWidth="1"/>
    <col min="21" max="21" width="8.5546875" style="64" customWidth="1"/>
    <col min="22" max="22" width="10.21875" style="64" customWidth="1"/>
    <col min="23" max="23" width="8.44140625" style="64" customWidth="1"/>
    <col min="24" max="24" width="7.88671875" style="67" customWidth="1"/>
    <col min="25" max="25" width="11.5546875" style="64"/>
    <col min="26" max="26" width="11.5546875" style="64" customWidth="1"/>
    <col min="27" max="28" width="10.6640625" style="64" customWidth="1"/>
    <col min="29" max="29" width="5.6640625" style="64" customWidth="1"/>
    <col min="30" max="30" width="7.88671875" style="64" customWidth="1"/>
    <col min="31" max="34" width="5.33203125" style="64" customWidth="1"/>
    <col min="35" max="35" width="7.88671875" style="64" customWidth="1"/>
    <col min="36" max="16384" width="11.5546875" style="64"/>
  </cols>
  <sheetData>
    <row r="1" spans="1:53" s="54" customFormat="1" ht="26.25" customHeight="1">
      <c r="A1" s="553" t="str">
        <f>Present!G6</f>
        <v xml:space="preserve">Proyecto Civil:  </v>
      </c>
      <c r="B1" s="553"/>
      <c r="C1" s="553"/>
      <c r="D1" s="553"/>
      <c r="E1" s="553"/>
      <c r="F1" s="553"/>
      <c r="G1" s="53"/>
      <c r="H1" s="53"/>
      <c r="I1" s="53"/>
      <c r="J1" s="53"/>
      <c r="K1" s="53"/>
      <c r="M1" s="300"/>
      <c r="N1" s="300"/>
      <c r="O1" s="300"/>
      <c r="P1" s="553" t="str">
        <f>+A1</f>
        <v xml:space="preserve">Proyecto Civil:  </v>
      </c>
      <c r="Q1" s="553"/>
      <c r="R1" s="553"/>
      <c r="S1" s="553"/>
      <c r="T1" s="553"/>
      <c r="U1" s="553"/>
      <c r="V1" s="300"/>
      <c r="W1" s="300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301"/>
      <c r="AK1" s="56"/>
      <c r="AL1" s="56"/>
      <c r="AM1" s="56"/>
      <c r="AN1" s="56"/>
      <c r="AO1" s="56"/>
      <c r="AP1" s="57"/>
      <c r="AQ1" s="56"/>
      <c r="AR1" s="56"/>
      <c r="AS1" s="56"/>
      <c r="AT1" s="56"/>
      <c r="AU1" s="56"/>
      <c r="AV1" s="56"/>
    </row>
    <row r="2" spans="1:53" s="58" customFormat="1" ht="21" customHeight="1">
      <c r="A2" s="554" t="str">
        <f>Present!A7</f>
        <v xml:space="preserve">Vivienda Familiar </v>
      </c>
      <c r="B2" s="554"/>
      <c r="C2" s="554"/>
      <c r="D2" s="554"/>
      <c r="E2" s="554"/>
      <c r="F2" s="554"/>
      <c r="G2" s="558" t="str">
        <f>IF(Present!A9="","",Present!A9)</f>
        <v>a Dos (2) Niveles</v>
      </c>
      <c r="H2" s="558"/>
      <c r="I2" s="558"/>
      <c r="J2" s="558"/>
      <c r="K2" s="558"/>
      <c r="L2" s="300"/>
      <c r="M2" s="300"/>
      <c r="N2" s="300"/>
      <c r="O2" s="300"/>
      <c r="P2" s="554" t="str">
        <f>+A2</f>
        <v xml:space="preserve">Vivienda Familiar </v>
      </c>
      <c r="Q2" s="554"/>
      <c r="R2" s="554"/>
      <c r="S2" s="554"/>
      <c r="T2" s="554"/>
      <c r="U2" s="554"/>
      <c r="V2" s="558" t="str">
        <f>+G2</f>
        <v>a Dos (2) Niveles</v>
      </c>
      <c r="W2" s="558"/>
      <c r="X2" s="558"/>
      <c r="Y2" s="558"/>
      <c r="Z2" s="294"/>
      <c r="AA2" s="294"/>
      <c r="AB2" s="294"/>
      <c r="AC2" s="294"/>
      <c r="AD2" s="294"/>
      <c r="AE2" s="294"/>
      <c r="AF2" s="294"/>
      <c r="AG2" s="294"/>
      <c r="AH2" s="294"/>
      <c r="AI2" s="561"/>
      <c r="AJ2" s="561"/>
      <c r="AK2" s="59"/>
      <c r="AL2" s="59"/>
      <c r="AM2" s="59"/>
      <c r="AN2" s="59"/>
      <c r="AO2" s="59"/>
      <c r="AP2" s="60"/>
      <c r="AQ2" s="59"/>
      <c r="AR2" s="59"/>
      <c r="AS2" s="59"/>
      <c r="AT2" s="59"/>
      <c r="AU2" s="59"/>
      <c r="AV2" s="59"/>
    </row>
    <row r="3" spans="1:53" s="62" customFormat="1" ht="21" customHeight="1">
      <c r="A3" s="559" t="s">
        <v>165</v>
      </c>
      <c r="B3" s="559"/>
      <c r="C3" s="559"/>
      <c r="D3" s="559"/>
      <c r="E3" s="559"/>
      <c r="F3" s="559"/>
      <c r="G3" s="559"/>
      <c r="H3" s="559"/>
      <c r="I3" s="559"/>
      <c r="J3" s="572" t="s">
        <v>0</v>
      </c>
      <c r="K3" s="572"/>
      <c r="L3" s="414"/>
      <c r="P3" s="559" t="str">
        <f>+A3</f>
        <v>Espesor de Losas de</v>
      </c>
      <c r="Q3" s="559"/>
      <c r="R3" s="559"/>
      <c r="S3" s="559"/>
      <c r="T3" s="559"/>
      <c r="U3" s="559"/>
      <c r="V3" s="559"/>
      <c r="W3" s="559"/>
      <c r="X3" s="559"/>
      <c r="Y3" s="415" t="str">
        <f>+J3</f>
        <v>Techo</v>
      </c>
      <c r="Z3" s="61"/>
      <c r="AA3" s="61"/>
      <c r="AB3" s="61"/>
      <c r="AC3" s="61"/>
      <c r="AD3" s="563" t="s">
        <v>60</v>
      </c>
      <c r="AE3" s="563"/>
      <c r="AF3" s="563"/>
      <c r="AG3" s="563"/>
      <c r="AH3" s="563"/>
      <c r="AI3" s="563"/>
      <c r="AJ3" s="563"/>
      <c r="AK3" s="563"/>
      <c r="AL3" s="563"/>
      <c r="AM3" s="563"/>
      <c r="AN3" s="563"/>
      <c r="AO3" s="563"/>
      <c r="AP3" s="563"/>
      <c r="AQ3" s="563"/>
      <c r="AR3" s="563"/>
      <c r="AS3" s="563"/>
      <c r="AT3" s="563"/>
      <c r="AU3" s="563"/>
      <c r="AV3" s="563"/>
      <c r="AW3" s="563"/>
      <c r="AX3" s="563"/>
      <c r="AY3" s="563"/>
      <c r="AZ3" s="56"/>
      <c r="BA3" s="56"/>
    </row>
    <row r="4" spans="1:53" ht="21" customHeight="1">
      <c r="A4" s="573" t="s">
        <v>19</v>
      </c>
      <c r="B4" s="573"/>
      <c r="C4" s="573"/>
      <c r="D4" s="540">
        <v>34</v>
      </c>
      <c r="E4" s="574">
        <v>210</v>
      </c>
      <c r="F4" s="574"/>
      <c r="G4" s="63" t="s">
        <v>45</v>
      </c>
      <c r="H4" s="575">
        <v>2800</v>
      </c>
      <c r="I4" s="575"/>
      <c r="J4" s="575"/>
      <c r="K4" s="416" t="s">
        <v>20</v>
      </c>
      <c r="L4" s="577">
        <v>0.02</v>
      </c>
      <c r="M4" s="578"/>
      <c r="P4" s="302"/>
      <c r="Q4" s="302"/>
      <c r="R4" s="302"/>
      <c r="S4" s="562">
        <f>0.4+H4/7000</f>
        <v>0.8</v>
      </c>
      <c r="T4" s="562"/>
      <c r="U4" s="562"/>
      <c r="V4" s="562"/>
      <c r="W4" s="562"/>
      <c r="X4" s="159"/>
      <c r="Y4" s="156"/>
      <c r="Z4" s="156"/>
      <c r="AA4" s="65"/>
      <c r="AB4" s="65"/>
      <c r="AC4" s="65"/>
      <c r="AD4" s="66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45"/>
      <c r="AQ4" s="67"/>
      <c r="AR4" s="67"/>
      <c r="AS4" s="67"/>
      <c r="AT4" s="67"/>
      <c r="AU4" s="67"/>
      <c r="AV4" s="67"/>
    </row>
    <row r="5" spans="1:53" s="1" customFormat="1" ht="21" customHeight="1">
      <c r="A5" s="555" t="s">
        <v>12</v>
      </c>
      <c r="B5" s="555" t="s">
        <v>4</v>
      </c>
      <c r="C5" s="78"/>
      <c r="D5" s="576" t="s">
        <v>49</v>
      </c>
      <c r="E5" s="576"/>
      <c r="F5" s="576"/>
      <c r="G5" s="569" t="s">
        <v>13</v>
      </c>
      <c r="H5" s="569" t="s">
        <v>50</v>
      </c>
      <c r="I5" s="569"/>
      <c r="J5" s="569"/>
      <c r="K5" s="569" t="s">
        <v>21</v>
      </c>
      <c r="L5" s="569" t="s">
        <v>43</v>
      </c>
      <c r="M5" s="569"/>
      <c r="N5" s="569"/>
      <c r="O5" s="569"/>
      <c r="P5" s="555" t="s">
        <v>12</v>
      </c>
      <c r="Q5" s="555" t="s">
        <v>4</v>
      </c>
      <c r="R5" s="296"/>
      <c r="S5" s="565" t="s">
        <v>105</v>
      </c>
      <c r="T5" s="565"/>
      <c r="U5" s="565"/>
      <c r="V5" s="569" t="s">
        <v>102</v>
      </c>
      <c r="W5" s="569" t="s">
        <v>103</v>
      </c>
      <c r="X5" s="569" t="s">
        <v>141</v>
      </c>
      <c r="Y5" s="569"/>
      <c r="Z5" s="569" t="s">
        <v>101</v>
      </c>
      <c r="AA5" s="579" t="s">
        <v>158</v>
      </c>
      <c r="AB5" s="579"/>
      <c r="AC5" s="157"/>
      <c r="AD5" s="157"/>
      <c r="AE5" s="564" t="s">
        <v>17</v>
      </c>
      <c r="AF5" s="564"/>
      <c r="AG5" s="564"/>
      <c r="AH5" s="564"/>
      <c r="AI5" s="564"/>
      <c r="AJ5" s="564"/>
      <c r="AK5" s="564"/>
      <c r="AL5" s="564"/>
      <c r="AM5" s="564"/>
      <c r="AN5" s="46"/>
      <c r="AO5" s="46"/>
      <c r="AP5" s="564" t="s">
        <v>18</v>
      </c>
      <c r="AQ5" s="564"/>
      <c r="AR5" s="564"/>
      <c r="AS5" s="564"/>
      <c r="AT5" s="564"/>
      <c r="AU5" s="564"/>
      <c r="AV5" s="564"/>
      <c r="AW5" s="564"/>
      <c r="AX5" s="45"/>
      <c r="AY5" s="45"/>
    </row>
    <row r="6" spans="1:53" s="1" customFormat="1" ht="21" customHeight="1">
      <c r="A6" s="556"/>
      <c r="B6" s="556"/>
      <c r="C6" s="79"/>
      <c r="D6" s="556" t="s">
        <v>46</v>
      </c>
      <c r="E6" s="556" t="s">
        <v>47</v>
      </c>
      <c r="F6" s="437" t="s">
        <v>173</v>
      </c>
      <c r="G6" s="571"/>
      <c r="H6" s="570"/>
      <c r="I6" s="570"/>
      <c r="J6" s="570"/>
      <c r="K6" s="571"/>
      <c r="L6" s="571"/>
      <c r="M6" s="571"/>
      <c r="N6" s="571"/>
      <c r="O6" s="571"/>
      <c r="P6" s="556"/>
      <c r="Q6" s="556"/>
      <c r="R6" s="297"/>
      <c r="S6" s="566"/>
      <c r="T6" s="566"/>
      <c r="U6" s="566"/>
      <c r="V6" s="571"/>
      <c r="W6" s="571"/>
      <c r="X6" s="570"/>
      <c r="Y6" s="570"/>
      <c r="Z6" s="571"/>
      <c r="AA6" s="567" t="s">
        <v>107</v>
      </c>
      <c r="AB6" s="567" t="s">
        <v>106</v>
      </c>
      <c r="AC6" s="335"/>
      <c r="AD6" s="565" t="s">
        <v>4</v>
      </c>
      <c r="AE6" s="565" t="s">
        <v>77</v>
      </c>
      <c r="AF6" s="565"/>
      <c r="AG6" s="565"/>
      <c r="AH6" s="565"/>
      <c r="AI6" s="565" t="s">
        <v>59</v>
      </c>
      <c r="AJ6" s="565" t="s">
        <v>78</v>
      </c>
      <c r="AK6" s="565" t="s">
        <v>79</v>
      </c>
      <c r="AL6" s="565" t="s">
        <v>80</v>
      </c>
      <c r="AM6" s="565" t="s">
        <v>81</v>
      </c>
      <c r="AN6" s="47"/>
      <c r="AO6" s="47"/>
      <c r="AP6" s="565" t="s">
        <v>4</v>
      </c>
      <c r="AQ6" s="565" t="s">
        <v>77</v>
      </c>
      <c r="AR6" s="565"/>
      <c r="AS6" s="565" t="s">
        <v>59</v>
      </c>
      <c r="AT6" s="565" t="s">
        <v>78</v>
      </c>
      <c r="AU6" s="565" t="s">
        <v>79</v>
      </c>
      <c r="AV6" s="565" t="s">
        <v>80</v>
      </c>
      <c r="AW6" s="565" t="s">
        <v>81</v>
      </c>
      <c r="AX6" s="45"/>
      <c r="AY6" s="45"/>
    </row>
    <row r="7" spans="1:53" s="1" customFormat="1" ht="21" customHeight="1">
      <c r="A7" s="557"/>
      <c r="B7" s="557"/>
      <c r="C7" s="80"/>
      <c r="D7" s="557"/>
      <c r="E7" s="557"/>
      <c r="F7" s="435" t="s">
        <v>172</v>
      </c>
      <c r="G7" s="570"/>
      <c r="H7" s="77" t="s">
        <v>1</v>
      </c>
      <c r="I7" s="77" t="s">
        <v>2</v>
      </c>
      <c r="J7" s="77" t="s">
        <v>44</v>
      </c>
      <c r="K7" s="570"/>
      <c r="L7" s="2" t="s">
        <v>48</v>
      </c>
      <c r="M7" s="2" t="s">
        <v>14</v>
      </c>
      <c r="N7" s="42" t="s">
        <v>22</v>
      </c>
      <c r="O7" s="42" t="s">
        <v>15</v>
      </c>
      <c r="P7" s="557"/>
      <c r="Q7" s="557"/>
      <c r="R7" s="298"/>
      <c r="S7" s="560" t="s">
        <v>82</v>
      </c>
      <c r="T7" s="560"/>
      <c r="U7" s="82" t="s">
        <v>104</v>
      </c>
      <c r="V7" s="570"/>
      <c r="W7" s="570"/>
      <c r="X7" s="299" t="s">
        <v>146</v>
      </c>
      <c r="Y7" s="299" t="s">
        <v>147</v>
      </c>
      <c r="Z7" s="570"/>
      <c r="AA7" s="568"/>
      <c r="AB7" s="568"/>
      <c r="AC7" s="336"/>
      <c r="AD7" s="566"/>
      <c r="AE7" s="566" t="s">
        <v>159</v>
      </c>
      <c r="AF7" s="566"/>
      <c r="AG7" s="566" t="s">
        <v>160</v>
      </c>
      <c r="AH7" s="566"/>
      <c r="AI7" s="566"/>
      <c r="AJ7" s="566"/>
      <c r="AK7" s="566"/>
      <c r="AL7" s="566"/>
      <c r="AM7" s="566"/>
      <c r="AN7" s="48"/>
      <c r="AO7" s="49"/>
      <c r="AP7" s="566"/>
      <c r="AQ7" s="566"/>
      <c r="AR7" s="566"/>
      <c r="AS7" s="566"/>
      <c r="AT7" s="566"/>
      <c r="AU7" s="566"/>
      <c r="AV7" s="566"/>
      <c r="AW7" s="566"/>
      <c r="AX7" s="45"/>
      <c r="AY7" s="45"/>
    </row>
    <row r="8" spans="1:53" s="1" customFormat="1" ht="21" customHeight="1">
      <c r="A8" s="44">
        <f>+IF($D$4&gt;=1,1,"")</f>
        <v>1</v>
      </c>
      <c r="B8" s="44" t="str">
        <f t="shared" ref="B8:B41" si="0">IF(A8="","",IF(J$3="Techo","Lt-","Le-"))</f>
        <v>Lt-</v>
      </c>
      <c r="C8" s="86">
        <f>+IF(D$4&gt;=1,1,"")</f>
        <v>1</v>
      </c>
      <c r="D8" s="534">
        <v>7.55</v>
      </c>
      <c r="E8" s="535">
        <v>2.4500000000000002</v>
      </c>
      <c r="F8" s="69">
        <f t="shared" ref="F8:F40" si="1">+TRUNC(IF(D8=0,   ,IF(E8=0,    ,ROUND(MIN(D8,E8)/MAX(D8,E8),2))),2)</f>
        <v>0.32</v>
      </c>
      <c r="G8" s="68" t="str">
        <f>IF(F8&lt;0.5,IF(F8=0,"","una dirección"),"dos direcciones")</f>
        <v>una dirección</v>
      </c>
      <c r="H8" s="532">
        <v>1</v>
      </c>
      <c r="I8" s="533">
        <v>0</v>
      </c>
      <c r="J8" s="44">
        <f>+IF(D8=0,"",IF(E8=0,"",H8+I8))</f>
        <v>1</v>
      </c>
      <c r="K8" s="68" t="str">
        <f t="shared" ref="K8:K13" si="2">IF(F8&lt;0.5,IF(F8=0,"",IF(J8=3,"en voladizo",IF(J8=2,"simplemente apoyada",IF(J8=1,"empotrada-articulada","empotrada-empotrada")))),"        ")</f>
        <v>empotrada-articulada</v>
      </c>
      <c r="L8" s="71">
        <f t="shared" ref="L8:L41" si="3">IF(A8="","--------",IF(D8="","",IF(E8="","",ROUND(IF(F8&lt;0.5,IF(J8=0,(MIN(D8,E8)/28)*S$4*100,IF(J8=1,(MIN(D8,E8)/24)*S$4*100,IF(J8=2,(MIN(D8,E8)/20)*S$4*100,(MIN(D8,E8)/10)*S$4*100))),(MAX(D8,E8)*100*(0.8+H$4/14000)/(36+9/F8))),2))))</f>
        <v>8.17</v>
      </c>
      <c r="M8" s="71" t="str">
        <f>IF(F8&lt;0.5,"----",ROUND(2*(D8+E8)*100/180,2))</f>
        <v>----</v>
      </c>
      <c r="N8" s="70">
        <f>IF(D8=0,"",IF(E8=0,"",EVEN(MAX(MAX(L8,M8),10))))</f>
        <v>10</v>
      </c>
      <c r="O8" s="70">
        <f>IF(N8&lt;=12,12,IF(N8&lt;=14,14,IF(N8&lt;=15,15,IF(N8&lt;=16,16,N8))))</f>
        <v>12</v>
      </c>
      <c r="P8" s="44">
        <f>+IF($D$4&gt;=1,1,"")</f>
        <v>1</v>
      </c>
      <c r="Q8" s="44" t="str">
        <f>+B8</f>
        <v>Lt-</v>
      </c>
      <c r="R8" s="86">
        <f>+IF(D$4&gt;=1,1,"")</f>
        <v>1</v>
      </c>
      <c r="S8" s="530"/>
      <c r="T8" s="531"/>
      <c r="U8" s="84">
        <f t="shared" ref="U8:U41" si="4">IF(B8="","",IF(D8=0,0,IF(E8=0,0,IF(S8="",0,IF(T8="X",ROUND((ATAN(S8/D8)*180/3.1415926),1),ROUND((ATAN(S8/E8)*180/3.1415926),1))))))</f>
        <v>0</v>
      </c>
      <c r="V8" s="295">
        <f>IF(A8="","",IF($J$3="Entrepiso",IF(O8=10,Cargas!K$9,IF(O8=12,Cargas!W$9,IF(O8=14,Cargas!K$34,IF(O8=16,Cargas!W$34,Cargas!K$62)))),IF(O8=10,Cargas!K$22,IF(O8=12,Cargas!W$22,IF(O8=14,Cargas!K$47,IF(O8=16,Cargas!W$47,Cargas!K$75))))))</f>
        <v>0.38799999999999996</v>
      </c>
      <c r="W8" s="295">
        <f>IF(A8="","",IF($J$3="Entrepiso",IF(O8=10,Cargas!K$13,IF(O8=12,Cargas!W$13,IF(O8=14,Cargas!K$38,IF(O8=16,Cargas!W$38,Cargas!K$66)))),IF(O8=10,Cargas!K$25,IF(O8=12,Cargas!W$25,IF(O8=14,Cargas!K$50,IF(O8=16,Cargas!W$50,Cargas!K$78))))))</f>
        <v>0.1</v>
      </c>
      <c r="X8" s="536"/>
      <c r="Y8" s="537"/>
      <c r="Z8" s="72">
        <f>IF(A8="","",Cargas!C$15*(V8+X8)*COS(U8*3.141592654/180)+Cargas!G$15*W8)</f>
        <v>0.62559999999999993</v>
      </c>
      <c r="AA8" s="21">
        <f t="shared" ref="AA8:AA41" si="5">IF(F8=0,0,IF(F8&gt;=0.5,(Z8*MIN(D8,E8))/3,IF(J8=0,(Z8*MIN(D8,E8)/2),IF(J8=1,(5*Z8*MIN(D8,E8)/8),IF(J8=2,(Z8*MIN(D8,E8)/2),(Z8*MIN(D8,E8)))))))</f>
        <v>0.95794999999999997</v>
      </c>
      <c r="AB8" s="21">
        <f t="shared" ref="AB8:AB41" si="6">IF(F8&lt;0.5,0,AA8*(3-F8^2)/2)</f>
        <v>0</v>
      </c>
      <c r="AC8" s="21"/>
      <c r="AD8" s="21" t="str">
        <f>+CONCATENATE(B8,C8)</f>
        <v>Lt-1</v>
      </c>
      <c r="AE8" s="74">
        <v>0.2</v>
      </c>
      <c r="AF8" s="74">
        <v>0.2</v>
      </c>
      <c r="AG8" s="74">
        <v>0.2</v>
      </c>
      <c r="AH8" s="74">
        <v>0.2</v>
      </c>
      <c r="AI8" s="52">
        <f>IF(AD8="","",(D8+AE8/2+AF8/2)*(E8+AG8/2+AH8/2))</f>
        <v>20.537500000000001</v>
      </c>
      <c r="AJ8" s="50">
        <f>IF(AD8="","",(D8+AE8+AF8)/2)</f>
        <v>3.9750000000000001</v>
      </c>
      <c r="AK8" s="50">
        <f>IF(AD8="","",(E8+AG8+AH8)/2)</f>
        <v>1.4250000000000003</v>
      </c>
      <c r="AL8" s="355">
        <f t="shared" ref="AL8:AL14" si="7">IF(AI8="","",AI8*AJ8)</f>
        <v>81.636562500000011</v>
      </c>
      <c r="AM8" s="355">
        <f t="shared" ref="AM8:AM14" si="8">IF(AI8="","",AI8*AK8)</f>
        <v>29.265937500000007</v>
      </c>
      <c r="AN8" s="51"/>
      <c r="AO8" s="51"/>
      <c r="AP8" s="52" t="str">
        <f>+B8</f>
        <v>Lt-</v>
      </c>
      <c r="AQ8" s="538">
        <v>0.2</v>
      </c>
      <c r="AR8" s="539">
        <v>0.2</v>
      </c>
      <c r="AS8" s="52">
        <f t="shared" ref="AS8:AS41" si="9">ROUNDUP((D8+AQ8)*(E8+AR8),2)</f>
        <v>20.540000000000003</v>
      </c>
      <c r="AT8" s="50"/>
      <c r="AU8" s="50"/>
      <c r="AV8" s="51">
        <f>ROUNDUP(AS8*AT8,2)</f>
        <v>0</v>
      </c>
      <c r="AW8" s="51">
        <f>ROUNDUP(AS8*AU8,2)</f>
        <v>0</v>
      </c>
      <c r="AX8" s="45"/>
      <c r="AY8" s="45"/>
    </row>
    <row r="9" spans="1:53" s="1" customFormat="1" ht="21" customHeight="1">
      <c r="A9" s="44">
        <f t="shared" ref="A9:A41" si="10">IF(A8="","",IF($D$4&gt;=A8+1,A8+1,""))</f>
        <v>2</v>
      </c>
      <c r="B9" s="44" t="str">
        <f t="shared" si="0"/>
        <v>Lt-</v>
      </c>
      <c r="C9" s="86">
        <f t="shared" ref="C9:C41" si="11">IF(C8="","",IF(D$4&gt;=C8+1,C8+1,""))</f>
        <v>2</v>
      </c>
      <c r="D9" s="20">
        <v>6.1</v>
      </c>
      <c r="E9" s="20">
        <v>2.4</v>
      </c>
      <c r="F9" s="69">
        <f t="shared" si="1"/>
        <v>0.39</v>
      </c>
      <c r="G9" s="68" t="str">
        <f>IF(F9&lt;0.5,IF(F9=0,"","una dirección"),"dos direcciones")</f>
        <v>una dirección</v>
      </c>
      <c r="H9" s="44">
        <v>1</v>
      </c>
      <c r="I9" s="44">
        <v>0</v>
      </c>
      <c r="J9" s="44">
        <f>+IF(D9=0,"",IF(E9=0,"",H9+I9))</f>
        <v>1</v>
      </c>
      <c r="K9" s="68" t="str">
        <f t="shared" si="2"/>
        <v>empotrada-articulada</v>
      </c>
      <c r="L9" s="71">
        <f t="shared" si="3"/>
        <v>8</v>
      </c>
      <c r="M9" s="71" t="str">
        <f t="shared" ref="M9:M40" si="12">IF(F9&lt;0.5,"----",ROUND(2*(D9+E9)*100/180,2))</f>
        <v>----</v>
      </c>
      <c r="N9" s="70">
        <f t="shared" ref="N9:N39" si="13">IF(D9=0,"",IF(E9=0,"",EVEN(MAX(MAX(L9,M9),10))))</f>
        <v>10</v>
      </c>
      <c r="O9" s="70">
        <f t="shared" ref="O9:O41" si="14">IF(N9&lt;=12,12,IF(N9&lt;=14,14,IF(N9&lt;=15,15,IF(N9&lt;=16,16,N9))))</f>
        <v>12</v>
      </c>
      <c r="P9" s="44">
        <f>+IF($D$4&gt;=2,2,"")</f>
        <v>2</v>
      </c>
      <c r="Q9" s="44" t="str">
        <f t="shared" ref="Q9:Q41" si="15">+B9</f>
        <v>Lt-</v>
      </c>
      <c r="R9" s="86">
        <f t="shared" ref="R9:R41" si="16">IF(R8="","",IF(D$4&gt;=R8+1,R8+1,""))</f>
        <v>2</v>
      </c>
      <c r="S9" s="83"/>
      <c r="T9" s="85"/>
      <c r="U9" s="84">
        <f t="shared" si="4"/>
        <v>0</v>
      </c>
      <c r="V9" s="295">
        <f>IF(A9="","",IF($J$3="Entrepiso",IF(O9=10,Cargas!K$9,IF(O9=12,Cargas!W$9,IF(O9=14,Cargas!K$34,IF(O9=16,Cargas!W$34,Cargas!K$62)))),IF(O9=10,Cargas!K$22,IF(O9=12,Cargas!W$22,IF(O9=14,Cargas!K$47,IF(O9=16,Cargas!W$47,Cargas!K$75))))))</f>
        <v>0.38799999999999996</v>
      </c>
      <c r="W9" s="295">
        <f>IF(A9="","",IF($J$3="Entrepiso",IF(O9=10,Cargas!K$13,IF(O9=12,Cargas!W$13,IF(O9=14,Cargas!K$38,IF(O9=16,Cargas!W$38,Cargas!K$66)))),IF(O9=10,Cargas!K$25,IF(O9=12,Cargas!W$25,IF(O9=14,Cargas!K$50,IF(O9=16,Cargas!W$50,Cargas!K$78))))))</f>
        <v>0.1</v>
      </c>
      <c r="X9" s="72"/>
      <c r="Y9" s="295"/>
      <c r="Z9" s="72">
        <f>IF(A9="","",Cargas!C$15*(V9+X9)*COS(U9*3.141592654/180)+Cargas!G$15*W9)</f>
        <v>0.62559999999999993</v>
      </c>
      <c r="AA9" s="21">
        <f t="shared" si="5"/>
        <v>0.9383999999999999</v>
      </c>
      <c r="AB9" s="21">
        <f t="shared" si="6"/>
        <v>0</v>
      </c>
      <c r="AC9" s="21"/>
      <c r="AD9" s="21" t="str">
        <f>+CONCATENATE(B9,C9)</f>
        <v>Lt-2</v>
      </c>
      <c r="AE9" s="74">
        <v>0.2</v>
      </c>
      <c r="AF9" s="74">
        <v>0.2</v>
      </c>
      <c r="AG9" s="74">
        <v>0.2</v>
      </c>
      <c r="AH9" s="74">
        <v>0.2</v>
      </c>
      <c r="AI9" s="52">
        <f t="shared" ref="AI9:AI41" si="17">IF(AD9="","",(D9+AE9/2+AF9/2)*(E9+AG9/2+AH9/2))</f>
        <v>16.38</v>
      </c>
      <c r="AJ9" s="50">
        <f t="shared" ref="AJ9:AJ16" si="18">IF(AD9="","",(D9+AE9+AF9)/2)</f>
        <v>3.25</v>
      </c>
      <c r="AK9" s="50">
        <f t="shared" ref="AK9:AK16" si="19">IF(AD9="","",(E9+AG9+AH9)/2)</f>
        <v>1.4000000000000001</v>
      </c>
      <c r="AL9" s="355">
        <f t="shared" si="7"/>
        <v>53.234999999999999</v>
      </c>
      <c r="AM9" s="355">
        <f t="shared" si="8"/>
        <v>22.932000000000002</v>
      </c>
      <c r="AN9" s="51"/>
      <c r="AO9" s="51"/>
      <c r="AP9" s="52" t="str">
        <f t="shared" ref="AP9:AP41" si="20">+B9</f>
        <v>Lt-</v>
      </c>
      <c r="AQ9" s="52">
        <v>0.2</v>
      </c>
      <c r="AR9" s="52">
        <v>0.2</v>
      </c>
      <c r="AS9" s="52">
        <f t="shared" si="9"/>
        <v>16.38</v>
      </c>
      <c r="AT9" s="50"/>
      <c r="AU9" s="50"/>
      <c r="AV9" s="51">
        <f t="shared" ref="AV9:AV38" si="21">ROUNDUP(AS9*AT9,2)</f>
        <v>0</v>
      </c>
      <c r="AW9" s="51">
        <f t="shared" ref="AW9:AW38" si="22">ROUNDUP(AS9*AU9,2)</f>
        <v>0</v>
      </c>
      <c r="AX9" s="45"/>
      <c r="AY9" s="45"/>
    </row>
    <row r="10" spans="1:53" s="1" customFormat="1" ht="21" customHeight="1">
      <c r="A10" s="44">
        <f t="shared" si="10"/>
        <v>3</v>
      </c>
      <c r="B10" s="44" t="str">
        <f t="shared" si="0"/>
        <v>Lt-</v>
      </c>
      <c r="C10" s="86">
        <f t="shared" si="11"/>
        <v>3</v>
      </c>
      <c r="D10" s="20">
        <f>+D8</f>
        <v>7.55</v>
      </c>
      <c r="E10" s="20">
        <v>5.3</v>
      </c>
      <c r="F10" s="69">
        <f t="shared" si="1"/>
        <v>0.7</v>
      </c>
      <c r="G10" s="68" t="str">
        <f t="shared" ref="G10:G41" si="23">IF(F10&lt;0.5,IF(F10=0,"","una dirección"),"dos direcciones")</f>
        <v>dos direcciones</v>
      </c>
      <c r="H10" s="44">
        <v>1</v>
      </c>
      <c r="I10" s="44">
        <v>1</v>
      </c>
      <c r="J10" s="44">
        <f t="shared" ref="J10:J28" si="24">+IF(D10=0,"",IF(E10=0,"",H10+I10))</f>
        <v>2</v>
      </c>
      <c r="K10" s="68" t="str">
        <f t="shared" si="2"/>
        <v xml:space="preserve">        </v>
      </c>
      <c r="L10" s="71">
        <f t="shared" si="3"/>
        <v>15.45</v>
      </c>
      <c r="M10" s="71">
        <f t="shared" si="12"/>
        <v>14.28</v>
      </c>
      <c r="N10" s="70">
        <f t="shared" si="13"/>
        <v>16</v>
      </c>
      <c r="O10" s="70">
        <f t="shared" si="14"/>
        <v>16</v>
      </c>
      <c r="P10" s="44">
        <f>+IF($D$4&gt;=3,3,"")</f>
        <v>3</v>
      </c>
      <c r="Q10" s="44" t="str">
        <f t="shared" si="15"/>
        <v>Lt-</v>
      </c>
      <c r="R10" s="86">
        <f t="shared" si="16"/>
        <v>3</v>
      </c>
      <c r="S10" s="83"/>
      <c r="T10" s="85"/>
      <c r="U10" s="84">
        <f t="shared" si="4"/>
        <v>0</v>
      </c>
      <c r="V10" s="295">
        <f>IF(A10="","",IF($J$3="Entrepiso",IF(O10=10,Cargas!K$9,IF(O10=12,Cargas!W$9,IF(O10=14,Cargas!K$34,IF(O10=16,Cargas!W$34,Cargas!K$62)))),IF(O10=10,Cargas!K$22,IF(O10=12,Cargas!W$22,IF(O10=14,Cargas!K$47,IF(O10=16,Cargas!W$47,Cargas!K$75))))))</f>
        <v>0.48399999999999999</v>
      </c>
      <c r="W10" s="295">
        <f>IF(A10="","",IF($J$3="Entrepiso",IF(O10=10,Cargas!K$13,IF(O10=12,Cargas!W$13,IF(O10=14,Cargas!K$38,IF(O10=16,Cargas!W$38,Cargas!K$66)))),IF(O10=10,Cargas!K$25,IF(O10=12,Cargas!W$25,IF(O10=14,Cargas!K$50,IF(O10=16,Cargas!W$50,Cargas!K$78))))))</f>
        <v>0.1</v>
      </c>
      <c r="X10" s="72"/>
      <c r="Y10" s="295"/>
      <c r="Z10" s="72">
        <f>IF(A10="","",Cargas!C$15*(V10+X10)*COS(U10*3.141592654/180)+Cargas!G$15*W10)</f>
        <v>0.74080000000000001</v>
      </c>
      <c r="AA10" s="21">
        <f t="shared" si="5"/>
        <v>1.3087466666666667</v>
      </c>
      <c r="AB10" s="21">
        <f t="shared" si="6"/>
        <v>1.6424770666666668</v>
      </c>
      <c r="AC10" s="21"/>
      <c r="AD10" s="21" t="str">
        <f t="shared" ref="AD10:AD15" si="25">+CONCATENATE(B10,C10)</f>
        <v>Lt-3</v>
      </c>
      <c r="AE10" s="74">
        <v>0.2</v>
      </c>
      <c r="AF10" s="74">
        <v>0.2</v>
      </c>
      <c r="AG10" s="74">
        <v>0.2</v>
      </c>
      <c r="AH10" s="74">
        <v>0.2</v>
      </c>
      <c r="AI10" s="52">
        <f t="shared" si="17"/>
        <v>42.624999999999986</v>
      </c>
      <c r="AJ10" s="50">
        <f t="shared" si="18"/>
        <v>3.9750000000000001</v>
      </c>
      <c r="AK10" s="50">
        <f t="shared" si="19"/>
        <v>2.85</v>
      </c>
      <c r="AL10" s="355">
        <f t="shared" si="7"/>
        <v>169.43437499999996</v>
      </c>
      <c r="AM10" s="355">
        <f t="shared" si="8"/>
        <v>121.48124999999996</v>
      </c>
      <c r="AN10" s="51"/>
      <c r="AO10" s="51"/>
      <c r="AP10" s="52" t="str">
        <f t="shared" si="20"/>
        <v>Lt-</v>
      </c>
      <c r="AQ10" s="52">
        <v>0.2</v>
      </c>
      <c r="AR10" s="52">
        <v>0.2</v>
      </c>
      <c r="AS10" s="52">
        <f t="shared" si="9"/>
        <v>42.629999999999995</v>
      </c>
      <c r="AT10" s="50"/>
      <c r="AU10" s="50"/>
      <c r="AV10" s="51">
        <f t="shared" si="21"/>
        <v>0</v>
      </c>
      <c r="AW10" s="51">
        <f t="shared" si="22"/>
        <v>0</v>
      </c>
      <c r="AX10" s="45"/>
      <c r="AY10" s="45"/>
    </row>
    <row r="11" spans="1:53" s="1" customFormat="1" ht="21" customHeight="1">
      <c r="A11" s="44">
        <f t="shared" si="10"/>
        <v>4</v>
      </c>
      <c r="B11" s="44" t="str">
        <f t="shared" si="0"/>
        <v>Lt-</v>
      </c>
      <c r="C11" s="86">
        <f t="shared" si="11"/>
        <v>4</v>
      </c>
      <c r="D11" s="20">
        <f>+D9</f>
        <v>6.1</v>
      </c>
      <c r="E11" s="20">
        <v>4.05</v>
      </c>
      <c r="F11" s="69">
        <f t="shared" si="1"/>
        <v>0.66</v>
      </c>
      <c r="G11" s="68" t="str">
        <f t="shared" si="23"/>
        <v>dos direcciones</v>
      </c>
      <c r="H11" s="44">
        <v>0</v>
      </c>
      <c r="I11" s="44">
        <v>1</v>
      </c>
      <c r="J11" s="44">
        <f t="shared" si="24"/>
        <v>1</v>
      </c>
      <c r="K11" s="68" t="str">
        <f t="shared" si="2"/>
        <v xml:space="preserve">        </v>
      </c>
      <c r="L11" s="71">
        <f t="shared" si="3"/>
        <v>12.29</v>
      </c>
      <c r="M11" s="71">
        <f t="shared" si="12"/>
        <v>11.28</v>
      </c>
      <c r="N11" s="70">
        <f t="shared" si="13"/>
        <v>14</v>
      </c>
      <c r="O11" s="70">
        <f t="shared" si="14"/>
        <v>14</v>
      </c>
      <c r="P11" s="44">
        <f>+IF($D$4&gt;=4,4,"")</f>
        <v>4</v>
      </c>
      <c r="Q11" s="44" t="str">
        <f t="shared" si="15"/>
        <v>Lt-</v>
      </c>
      <c r="R11" s="86">
        <f t="shared" si="16"/>
        <v>4</v>
      </c>
      <c r="S11" s="83"/>
      <c r="T11" s="85"/>
      <c r="U11" s="84">
        <f t="shared" si="4"/>
        <v>0</v>
      </c>
      <c r="V11" s="295">
        <f>IF(A11="","",IF($J$3="Entrepiso",IF(O11=10,Cargas!K$9,IF(O11=12,Cargas!W$9,IF(O11=14,Cargas!K$34,IF(O11=16,Cargas!W$34,Cargas!K$62)))),IF(O11=10,Cargas!K$22,IF(O11=12,Cargas!W$22,IF(O11=14,Cargas!K$47,IF(O11=16,Cargas!W$47,Cargas!K$75))))))</f>
        <v>0.436</v>
      </c>
      <c r="W11" s="295">
        <f>IF(A11="","",IF($J$3="Entrepiso",IF(O11=10,Cargas!K$13,IF(O11=12,Cargas!W$13,IF(O11=14,Cargas!K$38,IF(O11=16,Cargas!W$38,Cargas!K$66)))),IF(O11=10,Cargas!K$25,IF(O11=12,Cargas!W$25,IF(O11=14,Cargas!K$50,IF(O11=16,Cargas!W$50,Cargas!K$78))))))</f>
        <v>0.1</v>
      </c>
      <c r="X11" s="72"/>
      <c r="Y11" s="295"/>
      <c r="Z11" s="72">
        <f>IF(A11="","",Cargas!C$15*(V11+X11)*COS(U11*3.141592654/180)+Cargas!G$15*W11)</f>
        <v>0.68320000000000003</v>
      </c>
      <c r="AA11" s="21">
        <f t="shared" si="5"/>
        <v>0.92232000000000003</v>
      </c>
      <c r="AB11" s="21">
        <f t="shared" si="6"/>
        <v>1.1825987040000001</v>
      </c>
      <c r="AC11" s="21"/>
      <c r="AD11" s="21" t="str">
        <f t="shared" si="25"/>
        <v>Lt-4</v>
      </c>
      <c r="AE11" s="74">
        <v>0.2</v>
      </c>
      <c r="AF11" s="74">
        <v>0.2</v>
      </c>
      <c r="AG11" s="74">
        <v>0.2</v>
      </c>
      <c r="AH11" s="74">
        <v>0.2</v>
      </c>
      <c r="AI11" s="52">
        <f t="shared" si="17"/>
        <v>26.774999999999991</v>
      </c>
      <c r="AJ11" s="50">
        <f t="shared" si="18"/>
        <v>3.25</v>
      </c>
      <c r="AK11" s="50">
        <f t="shared" si="19"/>
        <v>2.2250000000000001</v>
      </c>
      <c r="AL11" s="355">
        <f t="shared" si="7"/>
        <v>87.018749999999969</v>
      </c>
      <c r="AM11" s="355">
        <f t="shared" si="8"/>
        <v>59.574374999999982</v>
      </c>
      <c r="AN11" s="51"/>
      <c r="AO11" s="51"/>
      <c r="AP11" s="52" t="str">
        <f t="shared" si="20"/>
        <v>Lt-</v>
      </c>
      <c r="AQ11" s="52">
        <v>0.2</v>
      </c>
      <c r="AR11" s="52">
        <v>0.2</v>
      </c>
      <c r="AS11" s="52">
        <f t="shared" si="9"/>
        <v>26.78</v>
      </c>
      <c r="AT11" s="50"/>
      <c r="AU11" s="50"/>
      <c r="AV11" s="51">
        <f t="shared" si="21"/>
        <v>0</v>
      </c>
      <c r="AW11" s="51">
        <f t="shared" si="22"/>
        <v>0</v>
      </c>
      <c r="AX11" s="45"/>
      <c r="AY11" s="45"/>
    </row>
    <row r="12" spans="1:53" s="1" customFormat="1" ht="21" customHeight="1">
      <c r="A12" s="44">
        <f t="shared" si="10"/>
        <v>5</v>
      </c>
      <c r="B12" s="44" t="str">
        <f t="shared" si="0"/>
        <v>Lt-</v>
      </c>
      <c r="C12" s="86">
        <f t="shared" si="11"/>
        <v>5</v>
      </c>
      <c r="D12" s="20">
        <v>6.4</v>
      </c>
      <c r="E12" s="20">
        <v>2.6</v>
      </c>
      <c r="F12" s="69">
        <f t="shared" si="1"/>
        <v>0.41</v>
      </c>
      <c r="G12" s="68" t="str">
        <f t="shared" si="23"/>
        <v>una dirección</v>
      </c>
      <c r="H12" s="44">
        <v>2</v>
      </c>
      <c r="I12" s="44">
        <v>0</v>
      </c>
      <c r="J12" s="44">
        <f t="shared" si="24"/>
        <v>2</v>
      </c>
      <c r="K12" s="68" t="str">
        <f t="shared" si="2"/>
        <v>simplemente apoyada</v>
      </c>
      <c r="L12" s="71">
        <f t="shared" si="3"/>
        <v>10.4</v>
      </c>
      <c r="M12" s="71" t="str">
        <f t="shared" si="12"/>
        <v>----</v>
      </c>
      <c r="N12" s="70">
        <f t="shared" si="13"/>
        <v>12</v>
      </c>
      <c r="O12" s="70">
        <f t="shared" si="14"/>
        <v>12</v>
      </c>
      <c r="P12" s="44">
        <f>+IF($D$4&gt;=5,5,"")</f>
        <v>5</v>
      </c>
      <c r="Q12" s="44" t="str">
        <f t="shared" si="15"/>
        <v>Lt-</v>
      </c>
      <c r="R12" s="86">
        <f t="shared" si="16"/>
        <v>5</v>
      </c>
      <c r="S12" s="83"/>
      <c r="T12" s="85"/>
      <c r="U12" s="84">
        <f t="shared" si="4"/>
        <v>0</v>
      </c>
      <c r="V12" s="72">
        <f>IF(A12="","",IF($J$3="Entrepiso",IF(O12=10,Cargas!K$9,IF(O12=12,Cargas!W$9,IF(O12=14,Cargas!K$34,IF(O12=16,Cargas!W$34,Cargas!K$62)))),IF(O12=10,Cargas!K$22,IF(O12=12,Cargas!W$22,IF(O12=14,Cargas!K$47,IF(O12=16,Cargas!W$47,Cargas!K$75))))))</f>
        <v>0.38799999999999996</v>
      </c>
      <c r="W12" s="295">
        <f>IF(A12="","",IF($J$3="Entrepiso",IF(O12=10,Cargas!K$13,IF(O12=12,Cargas!W$13,IF(O12=14,Cargas!K$38,IF(O12=16,Cargas!W$38,Cargas!K$66)))),IF(O12=10,Cargas!K$25,IF(O12=12,Cargas!W$25,IF(O12=14,Cargas!K$50,IF(O12=16,Cargas!W$50,Cargas!K$78))))))</f>
        <v>0.1</v>
      </c>
      <c r="X12" s="72"/>
      <c r="Y12" s="295"/>
      <c r="Z12" s="72">
        <f>IF(A12="","",Cargas!C$15*(V12+X12)*COS(U12*3.141592654/180)+Cargas!G$15*W12)</f>
        <v>0.62559999999999993</v>
      </c>
      <c r="AA12" s="21">
        <f t="shared" si="5"/>
        <v>0.81327999999999989</v>
      </c>
      <c r="AB12" s="21">
        <f t="shared" si="6"/>
        <v>0</v>
      </c>
      <c r="AC12" s="21"/>
      <c r="AD12" s="21" t="str">
        <f t="shared" si="25"/>
        <v>Lt-5</v>
      </c>
      <c r="AE12" s="74">
        <v>0.2</v>
      </c>
      <c r="AF12" s="74">
        <v>0.2</v>
      </c>
      <c r="AG12" s="74">
        <v>0.2</v>
      </c>
      <c r="AH12" s="74">
        <v>0.2</v>
      </c>
      <c r="AI12" s="52">
        <f t="shared" si="17"/>
        <v>18.48</v>
      </c>
      <c r="AJ12" s="50">
        <f t="shared" si="18"/>
        <v>3.4000000000000004</v>
      </c>
      <c r="AK12" s="50">
        <f t="shared" si="19"/>
        <v>1.5000000000000002</v>
      </c>
      <c r="AL12" s="355">
        <f t="shared" si="7"/>
        <v>62.832000000000008</v>
      </c>
      <c r="AM12" s="355">
        <f t="shared" si="8"/>
        <v>27.720000000000006</v>
      </c>
      <c r="AN12" s="51"/>
      <c r="AO12" s="51"/>
      <c r="AP12" s="52" t="str">
        <f t="shared" si="20"/>
        <v>Lt-</v>
      </c>
      <c r="AQ12" s="52">
        <v>0.2</v>
      </c>
      <c r="AR12" s="52">
        <v>0.2</v>
      </c>
      <c r="AS12" s="52">
        <f t="shared" si="9"/>
        <v>18.48</v>
      </c>
      <c r="AT12" s="50"/>
      <c r="AU12" s="50"/>
      <c r="AV12" s="51">
        <f t="shared" si="21"/>
        <v>0</v>
      </c>
      <c r="AW12" s="51">
        <f t="shared" si="22"/>
        <v>0</v>
      </c>
      <c r="AX12" s="45"/>
      <c r="AY12" s="45"/>
    </row>
    <row r="13" spans="1:53" s="1" customFormat="1" ht="21" customHeight="1">
      <c r="A13" s="44">
        <f t="shared" si="10"/>
        <v>6</v>
      </c>
      <c r="B13" s="44" t="str">
        <f t="shared" si="0"/>
        <v>Lt-</v>
      </c>
      <c r="C13" s="86">
        <f t="shared" si="11"/>
        <v>6</v>
      </c>
      <c r="D13" s="20">
        <v>5.05</v>
      </c>
      <c r="E13" s="20">
        <v>3.6</v>
      </c>
      <c r="F13" s="69">
        <f t="shared" si="1"/>
        <v>0.71</v>
      </c>
      <c r="G13" s="68" t="str">
        <f t="shared" si="23"/>
        <v>dos direcciones</v>
      </c>
      <c r="H13" s="44">
        <v>0</v>
      </c>
      <c r="I13" s="44">
        <v>2</v>
      </c>
      <c r="J13" s="44">
        <f t="shared" si="24"/>
        <v>2</v>
      </c>
      <c r="K13" s="68" t="str">
        <f t="shared" si="2"/>
        <v xml:space="preserve">        </v>
      </c>
      <c r="L13" s="71">
        <f t="shared" si="3"/>
        <v>10.37</v>
      </c>
      <c r="M13" s="71">
        <f t="shared" si="12"/>
        <v>9.61</v>
      </c>
      <c r="N13" s="70">
        <f t="shared" si="13"/>
        <v>12</v>
      </c>
      <c r="O13" s="70">
        <f t="shared" si="14"/>
        <v>12</v>
      </c>
      <c r="P13" s="44">
        <f>+IF($D$4&gt;=6,6,"")</f>
        <v>6</v>
      </c>
      <c r="Q13" s="44" t="str">
        <f t="shared" si="15"/>
        <v>Lt-</v>
      </c>
      <c r="R13" s="86">
        <f t="shared" si="16"/>
        <v>6</v>
      </c>
      <c r="S13" s="83"/>
      <c r="T13" s="85"/>
      <c r="U13" s="84">
        <f t="shared" si="4"/>
        <v>0</v>
      </c>
      <c r="V13" s="295">
        <f>IF(A13="","",IF($J$3="Entrepiso",IF(O13=10,Cargas!K$9,IF(O13=12,Cargas!W$9,IF(O13=14,Cargas!K$34,IF(O13=16,Cargas!W$34,Cargas!K$62)))),IF(O13=10,Cargas!K$22,IF(O13=12,Cargas!W$22,IF(O13=14,Cargas!K$47,IF(O13=16,Cargas!W$47,Cargas!K$75))))))</f>
        <v>0.38799999999999996</v>
      </c>
      <c r="W13" s="295">
        <f>IF(A13="","",IF($J$3="Entrepiso",IF(O13=10,Cargas!K$13,IF(O13=12,Cargas!W$13,IF(O13=14,Cargas!K$38,IF(O13=16,Cargas!W$38,Cargas!K$66)))),IF(O13=10,Cargas!K$25,IF(O13=12,Cargas!W$25,IF(O13=14,Cargas!K$50,IF(O13=16,Cargas!W$50,Cargas!K$78))))))</f>
        <v>0.1</v>
      </c>
      <c r="X13" s="72"/>
      <c r="Y13" s="295"/>
      <c r="Z13" s="72">
        <f>IF(A13="","",Cargas!C$15*(V13+X13)*COS(U13*3.141592654/180)+Cargas!G$15*W13)</f>
        <v>0.62559999999999993</v>
      </c>
      <c r="AA13" s="21">
        <f t="shared" si="5"/>
        <v>0.75071999999999994</v>
      </c>
      <c r="AB13" s="21">
        <f t="shared" si="6"/>
        <v>0.93686102399999982</v>
      </c>
      <c r="AC13" s="21"/>
      <c r="AD13" s="21" t="str">
        <f t="shared" si="25"/>
        <v>Lt-6</v>
      </c>
      <c r="AE13" s="74">
        <v>0.2</v>
      </c>
      <c r="AF13" s="74">
        <v>0.2</v>
      </c>
      <c r="AG13" s="74">
        <v>0.2</v>
      </c>
      <c r="AH13" s="74">
        <v>0.2</v>
      </c>
      <c r="AI13" s="52">
        <f t="shared" si="17"/>
        <v>19.95</v>
      </c>
      <c r="AJ13" s="50">
        <f t="shared" si="18"/>
        <v>2.7250000000000001</v>
      </c>
      <c r="AK13" s="50">
        <f t="shared" si="19"/>
        <v>2</v>
      </c>
      <c r="AL13" s="355">
        <f t="shared" si="7"/>
        <v>54.363750000000003</v>
      </c>
      <c r="AM13" s="355">
        <f t="shared" si="8"/>
        <v>39.9</v>
      </c>
      <c r="AN13" s="51"/>
      <c r="AO13" s="51"/>
      <c r="AP13" s="52" t="str">
        <f t="shared" si="20"/>
        <v>Lt-</v>
      </c>
      <c r="AQ13" s="52">
        <v>0.2</v>
      </c>
      <c r="AR13" s="52">
        <v>0.2</v>
      </c>
      <c r="AS13" s="52">
        <f t="shared" si="9"/>
        <v>19.95</v>
      </c>
      <c r="AT13" s="50"/>
      <c r="AU13" s="50"/>
      <c r="AV13" s="51">
        <f t="shared" si="21"/>
        <v>0</v>
      </c>
      <c r="AW13" s="51">
        <f t="shared" si="22"/>
        <v>0</v>
      </c>
      <c r="AX13" s="45"/>
      <c r="AY13" s="45"/>
    </row>
    <row r="14" spans="1:53" s="1" customFormat="1" ht="21" customHeight="1">
      <c r="A14" s="44">
        <f t="shared" si="10"/>
        <v>7</v>
      </c>
      <c r="B14" s="44" t="str">
        <f t="shared" si="0"/>
        <v>Lt-</v>
      </c>
      <c r="C14" s="86">
        <f t="shared" si="11"/>
        <v>7</v>
      </c>
      <c r="D14" s="20">
        <v>7.55</v>
      </c>
      <c r="E14" s="20">
        <v>6.75</v>
      </c>
      <c r="F14" s="69">
        <f t="shared" si="1"/>
        <v>0.89</v>
      </c>
      <c r="G14" s="68" t="str">
        <f t="shared" si="23"/>
        <v>dos direcciones</v>
      </c>
      <c r="H14" s="44">
        <v>1</v>
      </c>
      <c r="I14" s="44">
        <v>2</v>
      </c>
      <c r="J14" s="44">
        <f>+IF(D14=0,"",IF(E14=0,"",H14+I14))</f>
        <v>3</v>
      </c>
      <c r="K14" s="68" t="str">
        <f>IF(F14&lt;0.5,IF(F14=0,"",IF(J14=3,"en voladizo",IF(J14=2,"simplemente apoyada",IF(J14=1,"empotrada-articulada","empotrada-empotrada")))),"        ")</f>
        <v xml:space="preserve">        </v>
      </c>
      <c r="L14" s="71">
        <f t="shared" si="3"/>
        <v>16.37</v>
      </c>
      <c r="M14" s="71">
        <f t="shared" si="12"/>
        <v>15.89</v>
      </c>
      <c r="N14" s="70">
        <f t="shared" si="13"/>
        <v>18</v>
      </c>
      <c r="O14" s="70">
        <f t="shared" si="14"/>
        <v>18</v>
      </c>
      <c r="P14" s="44">
        <f>+IF($D$4&gt;=7,7,"")</f>
        <v>7</v>
      </c>
      <c r="Q14" s="44" t="str">
        <f t="shared" si="15"/>
        <v>Lt-</v>
      </c>
      <c r="R14" s="86">
        <f t="shared" si="16"/>
        <v>7</v>
      </c>
      <c r="S14" s="83"/>
      <c r="T14" s="85"/>
      <c r="U14" s="84">
        <f t="shared" si="4"/>
        <v>0</v>
      </c>
      <c r="V14" s="295">
        <f>IF(A14="","",IF($J$3="Entrepiso",IF(O14=10,Cargas!K$9,IF(O14=12,Cargas!W$9,IF(O14=14,Cargas!K$34,IF(O14=16,Cargas!W$34,Cargas!K$62)))),IF(O14=10,Cargas!K$22,IF(O14=12,Cargas!W$22,IF(O14=14,Cargas!K$47,IF(O14=16,Cargas!W$47,Cargas!K$75))))))</f>
        <v>0.53200000000000003</v>
      </c>
      <c r="W14" s="295">
        <f>IF(A14="","",IF($J$3="Entrepiso",IF(O14=10,Cargas!K$13,IF(O14=12,Cargas!W$13,IF(O14=14,Cargas!K$38,IF(O14=16,Cargas!W$38,Cargas!K$66)))),IF(O14=10,Cargas!K$25,IF(O14=12,Cargas!W$25,IF(O14=14,Cargas!K$50,IF(O14=16,Cargas!W$50,Cargas!K$78))))))</f>
        <v>0.1</v>
      </c>
      <c r="X14" s="72"/>
      <c r="Y14" s="295"/>
      <c r="Z14" s="72">
        <f>IF(A14="","",Cargas!C$15*(V14+X14)*COS(U14*3.141592654/180)+Cargas!G$15*W14)</f>
        <v>0.7984</v>
      </c>
      <c r="AA14" s="21">
        <f t="shared" si="5"/>
        <v>1.7964</v>
      </c>
      <c r="AB14" s="21">
        <f t="shared" si="6"/>
        <v>1.98313578</v>
      </c>
      <c r="AC14" s="21"/>
      <c r="AD14" s="21" t="str">
        <f t="shared" si="25"/>
        <v>Lt-7</v>
      </c>
      <c r="AE14" s="74">
        <v>0.2</v>
      </c>
      <c r="AF14" s="74">
        <v>0.2</v>
      </c>
      <c r="AG14" s="74">
        <v>0.2</v>
      </c>
      <c r="AH14" s="74">
        <v>0.2</v>
      </c>
      <c r="AI14" s="52">
        <f t="shared" si="17"/>
        <v>53.86249999999999</v>
      </c>
      <c r="AJ14" s="50">
        <f t="shared" si="18"/>
        <v>3.9750000000000001</v>
      </c>
      <c r="AK14" s="50">
        <f t="shared" si="19"/>
        <v>3.5750000000000002</v>
      </c>
      <c r="AL14" s="355">
        <f t="shared" si="7"/>
        <v>214.10343749999996</v>
      </c>
      <c r="AM14" s="355">
        <f t="shared" si="8"/>
        <v>192.55843749999997</v>
      </c>
      <c r="AN14" s="51"/>
      <c r="AO14" s="51"/>
      <c r="AP14" s="52" t="str">
        <f t="shared" si="20"/>
        <v>Lt-</v>
      </c>
      <c r="AQ14" s="52">
        <v>0.2</v>
      </c>
      <c r="AR14" s="52">
        <v>0.2</v>
      </c>
      <c r="AS14" s="52">
        <f t="shared" si="9"/>
        <v>53.87</v>
      </c>
      <c r="AT14" s="50"/>
      <c r="AU14" s="50"/>
      <c r="AV14" s="51">
        <f t="shared" si="21"/>
        <v>0</v>
      </c>
      <c r="AW14" s="51">
        <f t="shared" si="22"/>
        <v>0</v>
      </c>
      <c r="AX14" s="45"/>
      <c r="AY14" s="45"/>
    </row>
    <row r="15" spans="1:53" s="1" customFormat="1" ht="21" customHeight="1">
      <c r="A15" s="44">
        <f t="shared" si="10"/>
        <v>8</v>
      </c>
      <c r="B15" s="44" t="str">
        <f t="shared" si="0"/>
        <v>Lt-</v>
      </c>
      <c r="C15" s="86">
        <f t="shared" si="11"/>
        <v>8</v>
      </c>
      <c r="D15" s="20"/>
      <c r="E15" s="20"/>
      <c r="F15" s="69">
        <f t="shared" si="1"/>
        <v>0</v>
      </c>
      <c r="G15" s="68" t="str">
        <f t="shared" si="23"/>
        <v/>
      </c>
      <c r="H15" s="44"/>
      <c r="I15" s="44"/>
      <c r="J15" s="44" t="str">
        <f t="shared" si="24"/>
        <v/>
      </c>
      <c r="K15" s="68" t="str">
        <f t="shared" ref="K15:K41" si="26">IF(F15&lt;0.5,IF(F15=0,"",IF(J15=3,"en voladizo",IF(J15=2,"simplemente apoyada",IF(J15=1,"empotrada-articulada","empotrada-empotrada")))),"        ")</f>
        <v/>
      </c>
      <c r="L15" s="71" t="str">
        <f t="shared" si="3"/>
        <v/>
      </c>
      <c r="M15" s="71" t="str">
        <f t="shared" si="12"/>
        <v>----</v>
      </c>
      <c r="N15" s="70" t="str">
        <f t="shared" si="13"/>
        <v/>
      </c>
      <c r="O15" s="70" t="str">
        <f t="shared" si="14"/>
        <v/>
      </c>
      <c r="P15" s="44">
        <f>+IF($D$4&gt;=8,8,"")</f>
        <v>8</v>
      </c>
      <c r="Q15" s="44" t="str">
        <f t="shared" si="15"/>
        <v>Lt-</v>
      </c>
      <c r="R15" s="86">
        <f t="shared" si="16"/>
        <v>8</v>
      </c>
      <c r="S15" s="83"/>
      <c r="T15" s="85"/>
      <c r="U15" s="84">
        <f t="shared" si="4"/>
        <v>0</v>
      </c>
      <c r="V15" s="295">
        <f>IF(A15="","",IF($J$3="Entrepiso",IF(O15=10,Cargas!K$9,IF(O15=12,Cargas!W$9,IF(O15=14,Cargas!K$34,IF(O15=16,Cargas!W$34,Cargas!K$62)))),IF(O15=10,Cargas!K$22,IF(O15=12,Cargas!W$22,IF(O15=14,Cargas!K$47,IF(O15=16,Cargas!W$47,Cargas!K$75))))))</f>
        <v>0.53200000000000003</v>
      </c>
      <c r="W15" s="295">
        <f>IF(A15="","",IF($J$3="Entrepiso",IF(O15=10,Cargas!K$13,IF(O15=12,Cargas!W$13,IF(O15=14,Cargas!K$38,IF(O15=16,Cargas!W$38,Cargas!K$66)))),IF(O15=10,Cargas!K$25,IF(O15=12,Cargas!W$25,IF(O15=14,Cargas!K$50,IF(O15=16,Cargas!W$50,Cargas!K$78))))))</f>
        <v>0.1</v>
      </c>
      <c r="X15" s="72"/>
      <c r="Y15" s="295"/>
      <c r="Z15" s="72">
        <f>IF(A15="","",Cargas!C$15*(V15+X15)*COS(U15*3.141592654/180)+Cargas!G$15*W15)</f>
        <v>0.7984</v>
      </c>
      <c r="AA15" s="21">
        <f t="shared" si="5"/>
        <v>0</v>
      </c>
      <c r="AB15" s="21">
        <f t="shared" si="6"/>
        <v>0</v>
      </c>
      <c r="AC15" s="21"/>
      <c r="AD15" s="21" t="str">
        <f t="shared" si="25"/>
        <v>Lt-8</v>
      </c>
      <c r="AE15" s="74">
        <v>0.2</v>
      </c>
      <c r="AF15" s="74">
        <v>0.2</v>
      </c>
      <c r="AG15" s="74">
        <v>0.2</v>
      </c>
      <c r="AH15" s="74">
        <v>0.2</v>
      </c>
      <c r="AI15" s="52">
        <f t="shared" si="17"/>
        <v>4.0000000000000008E-2</v>
      </c>
      <c r="AJ15" s="50">
        <f t="shared" si="18"/>
        <v>0.2</v>
      </c>
      <c r="AK15" s="50">
        <f t="shared" si="19"/>
        <v>0.2</v>
      </c>
      <c r="AL15" s="355">
        <f t="shared" ref="AL15:AL19" si="27">IF(AI15="","",AI15*AJ15)</f>
        <v>8.0000000000000019E-3</v>
      </c>
      <c r="AM15" s="355">
        <f t="shared" ref="AM15:AM19" si="28">IF(AI15="","",AI15*AK15)</f>
        <v>8.0000000000000019E-3</v>
      </c>
      <c r="AN15" s="51"/>
      <c r="AO15" s="51"/>
      <c r="AP15" s="52" t="str">
        <f t="shared" si="20"/>
        <v>Lt-</v>
      </c>
      <c r="AQ15" s="52">
        <v>0.2</v>
      </c>
      <c r="AR15" s="52">
        <v>0.2</v>
      </c>
      <c r="AS15" s="52">
        <f t="shared" si="9"/>
        <v>0.04</v>
      </c>
      <c r="AT15" s="50"/>
      <c r="AU15" s="50"/>
      <c r="AV15" s="51">
        <f t="shared" si="21"/>
        <v>0</v>
      </c>
      <c r="AW15" s="51">
        <f t="shared" si="22"/>
        <v>0</v>
      </c>
      <c r="AX15" s="45"/>
      <c r="AY15" s="45"/>
    </row>
    <row r="16" spans="1:53" s="1" customFormat="1" ht="21" customHeight="1">
      <c r="A16" s="44">
        <f t="shared" si="10"/>
        <v>9</v>
      </c>
      <c r="B16" s="44" t="str">
        <f t="shared" si="0"/>
        <v>Lt-</v>
      </c>
      <c r="C16" s="86">
        <f t="shared" si="11"/>
        <v>9</v>
      </c>
      <c r="D16" s="20"/>
      <c r="E16" s="20"/>
      <c r="F16" s="69">
        <f t="shared" si="1"/>
        <v>0</v>
      </c>
      <c r="G16" s="87" t="str">
        <f t="shared" si="23"/>
        <v/>
      </c>
      <c r="H16" s="44"/>
      <c r="I16" s="44"/>
      <c r="J16" s="44" t="str">
        <f t="shared" si="24"/>
        <v/>
      </c>
      <c r="K16" s="68" t="str">
        <f t="shared" si="26"/>
        <v/>
      </c>
      <c r="L16" s="71" t="str">
        <f t="shared" si="3"/>
        <v/>
      </c>
      <c r="M16" s="71" t="str">
        <f t="shared" si="12"/>
        <v>----</v>
      </c>
      <c r="N16" s="70" t="str">
        <f t="shared" si="13"/>
        <v/>
      </c>
      <c r="O16" s="70" t="str">
        <f t="shared" si="14"/>
        <v/>
      </c>
      <c r="P16" s="44">
        <f>+IF($D$4&gt;=9,9,"")</f>
        <v>9</v>
      </c>
      <c r="Q16" s="44" t="str">
        <f t="shared" si="15"/>
        <v>Lt-</v>
      </c>
      <c r="R16" s="86">
        <f t="shared" si="16"/>
        <v>9</v>
      </c>
      <c r="S16" s="83"/>
      <c r="T16" s="85"/>
      <c r="U16" s="84">
        <f t="shared" si="4"/>
        <v>0</v>
      </c>
      <c r="V16" s="295">
        <f>IF(A16="","",IF($J$3="Entrepiso",IF(O16=10,Cargas!K$9,IF(O16=12,Cargas!W$9,IF(O16=14,Cargas!K$34,IF(O16=16,Cargas!W$34,Cargas!K$62)))),IF(O16=10,Cargas!K$22,IF(O16=12,Cargas!W$22,IF(O16=14,Cargas!K$47,IF(O16=16,Cargas!W$47,Cargas!K$75))))))</f>
        <v>0.53200000000000003</v>
      </c>
      <c r="W16" s="295">
        <f>IF(A16="","",IF($J$3="Entrepiso",IF(O16=10,Cargas!K$13,IF(O16=12,Cargas!W$13,IF(O16=14,Cargas!K$38,IF(O16=16,Cargas!W$38,Cargas!K$66)))),IF(O16=10,Cargas!K$25,IF(O16=12,Cargas!W$25,IF(O16=14,Cargas!K$50,IF(O16=16,Cargas!W$50,Cargas!K$78))))))</f>
        <v>0.1</v>
      </c>
      <c r="X16" s="72"/>
      <c r="Y16" s="295"/>
      <c r="Z16" s="72">
        <f>IF(A16="","",Cargas!C$15*(V16+X16)*COS(U16*3.141592654/180)+Cargas!G$15*W16)</f>
        <v>0.7984</v>
      </c>
      <c r="AA16" s="21">
        <f t="shared" si="5"/>
        <v>0</v>
      </c>
      <c r="AB16" s="21">
        <f t="shared" si="6"/>
        <v>0</v>
      </c>
      <c r="AC16" s="21"/>
      <c r="AD16" s="21" t="str">
        <f>+CONCATENATE(B16,C16)</f>
        <v>Lt-9</v>
      </c>
      <c r="AE16" s="74">
        <v>0.2</v>
      </c>
      <c r="AF16" s="74">
        <v>0.2</v>
      </c>
      <c r="AG16" s="74">
        <v>0.2</v>
      </c>
      <c r="AH16" s="74">
        <v>0.2</v>
      </c>
      <c r="AI16" s="52">
        <f t="shared" si="17"/>
        <v>4.0000000000000008E-2</v>
      </c>
      <c r="AJ16" s="50">
        <f t="shared" si="18"/>
        <v>0.2</v>
      </c>
      <c r="AK16" s="50">
        <f t="shared" si="19"/>
        <v>0.2</v>
      </c>
      <c r="AL16" s="355">
        <f t="shared" si="27"/>
        <v>8.0000000000000019E-3</v>
      </c>
      <c r="AM16" s="355">
        <f t="shared" si="28"/>
        <v>8.0000000000000019E-3</v>
      </c>
      <c r="AN16" s="51"/>
      <c r="AO16" s="51"/>
      <c r="AP16" s="52" t="str">
        <f t="shared" si="20"/>
        <v>Lt-</v>
      </c>
      <c r="AQ16" s="52">
        <v>0.2</v>
      </c>
      <c r="AR16" s="52">
        <v>0.2</v>
      </c>
      <c r="AS16" s="52">
        <f t="shared" si="9"/>
        <v>0.04</v>
      </c>
      <c r="AT16" s="50"/>
      <c r="AU16" s="50"/>
      <c r="AV16" s="51">
        <f t="shared" si="21"/>
        <v>0</v>
      </c>
      <c r="AW16" s="51">
        <f t="shared" si="22"/>
        <v>0</v>
      </c>
      <c r="AX16" s="45"/>
      <c r="AY16" s="45"/>
    </row>
    <row r="17" spans="1:51" s="1" customFormat="1" ht="21" customHeight="1">
      <c r="A17" s="44">
        <f t="shared" si="10"/>
        <v>10</v>
      </c>
      <c r="B17" s="44" t="str">
        <f t="shared" si="0"/>
        <v>Lt-</v>
      </c>
      <c r="C17" s="86">
        <f t="shared" si="11"/>
        <v>10</v>
      </c>
      <c r="D17" s="20"/>
      <c r="E17" s="20"/>
      <c r="F17" s="69">
        <f t="shared" si="1"/>
        <v>0</v>
      </c>
      <c r="G17" s="68" t="str">
        <f t="shared" si="23"/>
        <v/>
      </c>
      <c r="H17" s="44"/>
      <c r="I17" s="44"/>
      <c r="J17" s="44" t="str">
        <f t="shared" si="24"/>
        <v/>
      </c>
      <c r="K17" s="68" t="str">
        <f t="shared" si="26"/>
        <v/>
      </c>
      <c r="L17" s="71" t="str">
        <f t="shared" si="3"/>
        <v/>
      </c>
      <c r="M17" s="71" t="str">
        <f t="shared" si="12"/>
        <v>----</v>
      </c>
      <c r="N17" s="70" t="str">
        <f t="shared" si="13"/>
        <v/>
      </c>
      <c r="O17" s="70" t="str">
        <f t="shared" si="14"/>
        <v/>
      </c>
      <c r="P17" s="44">
        <f>+IF($D$4&gt;=10,10,"")</f>
        <v>10</v>
      </c>
      <c r="Q17" s="44" t="str">
        <f t="shared" si="15"/>
        <v>Lt-</v>
      </c>
      <c r="R17" s="86">
        <f t="shared" si="16"/>
        <v>10</v>
      </c>
      <c r="S17" s="83"/>
      <c r="T17" s="85"/>
      <c r="U17" s="84">
        <f t="shared" si="4"/>
        <v>0</v>
      </c>
      <c r="V17" s="295">
        <f>IF(A17="","",IF($J$3="Entrepiso",IF(O17=10,Cargas!K$9,IF(O17=12,Cargas!W$9,IF(O17=14,Cargas!K$34,IF(O17=16,Cargas!W$34,Cargas!K$62)))),IF(O17=10,Cargas!K$22,IF(O17=12,Cargas!W$22,IF(O17=14,Cargas!K$47,IF(O17=16,Cargas!W$47,Cargas!K$75))))))</f>
        <v>0.53200000000000003</v>
      </c>
      <c r="W17" s="295">
        <f>IF(A17="","",IF($J$3="Entrepiso",IF(O17=10,Cargas!K$13,IF(O17=12,Cargas!W$13,IF(O17=14,Cargas!K$38,IF(O17=16,Cargas!W$38,Cargas!K$66)))),IF(O17=10,Cargas!K$25,IF(O17=12,Cargas!W$25,IF(O17=14,Cargas!K$50,IF(O17=16,Cargas!W$50,Cargas!K$78))))))</f>
        <v>0.1</v>
      </c>
      <c r="X17" s="72"/>
      <c r="Y17" s="295"/>
      <c r="Z17" s="72">
        <f>IF(A17="","",Cargas!C$15*(V17+X17)*COS(U17*3.141592654/180)+Cargas!G$15*W17)</f>
        <v>0.7984</v>
      </c>
      <c r="AA17" s="21">
        <f t="shared" si="5"/>
        <v>0</v>
      </c>
      <c r="AB17" s="21">
        <f t="shared" si="6"/>
        <v>0</v>
      </c>
      <c r="AC17" s="21"/>
      <c r="AD17" s="21" t="str">
        <f>+CONCATENATE(B17,C17)</f>
        <v>Lt-10</v>
      </c>
      <c r="AE17" s="74">
        <v>0.2</v>
      </c>
      <c r="AF17" s="74">
        <v>0.2</v>
      </c>
      <c r="AG17" s="74">
        <v>0.2</v>
      </c>
      <c r="AH17" s="74">
        <v>0.2</v>
      </c>
      <c r="AI17" s="52">
        <f t="shared" si="17"/>
        <v>4.0000000000000008E-2</v>
      </c>
      <c r="AJ17" s="50">
        <f t="shared" ref="AJ17:AJ25" si="29">IF(AD17="","",(D17+AE17+AF17)/2)</f>
        <v>0.2</v>
      </c>
      <c r="AK17" s="50">
        <f t="shared" ref="AK17:AK25" si="30">IF(AD17="","",(E17+AG17+AH17)/2)</f>
        <v>0.2</v>
      </c>
      <c r="AL17" s="355">
        <f t="shared" si="27"/>
        <v>8.0000000000000019E-3</v>
      </c>
      <c r="AM17" s="355">
        <f t="shared" si="28"/>
        <v>8.0000000000000019E-3</v>
      </c>
      <c r="AN17" s="51"/>
      <c r="AO17" s="51"/>
      <c r="AP17" s="52" t="str">
        <f t="shared" si="20"/>
        <v>Lt-</v>
      </c>
      <c r="AQ17" s="52">
        <v>0.2</v>
      </c>
      <c r="AR17" s="52">
        <v>0.2</v>
      </c>
      <c r="AS17" s="52">
        <f t="shared" si="9"/>
        <v>0.04</v>
      </c>
      <c r="AT17" s="50"/>
      <c r="AU17" s="50"/>
      <c r="AV17" s="51">
        <f t="shared" si="21"/>
        <v>0</v>
      </c>
      <c r="AW17" s="51">
        <f t="shared" si="22"/>
        <v>0</v>
      </c>
      <c r="AX17" s="45"/>
      <c r="AY17" s="45"/>
    </row>
    <row r="18" spans="1:51" s="1" customFormat="1" ht="21" customHeight="1">
      <c r="A18" s="44">
        <f t="shared" si="10"/>
        <v>11</v>
      </c>
      <c r="B18" s="44" t="str">
        <f t="shared" si="0"/>
        <v>Lt-</v>
      </c>
      <c r="C18" s="86">
        <f t="shared" si="11"/>
        <v>11</v>
      </c>
      <c r="D18" s="20"/>
      <c r="E18" s="20"/>
      <c r="F18" s="69">
        <f t="shared" si="1"/>
        <v>0</v>
      </c>
      <c r="G18" s="68" t="str">
        <f t="shared" si="23"/>
        <v/>
      </c>
      <c r="H18" s="44"/>
      <c r="I18" s="44"/>
      <c r="J18" s="44" t="str">
        <f t="shared" si="24"/>
        <v/>
      </c>
      <c r="K18" s="68" t="str">
        <f t="shared" si="26"/>
        <v/>
      </c>
      <c r="L18" s="71" t="str">
        <f t="shared" si="3"/>
        <v/>
      </c>
      <c r="M18" s="71" t="str">
        <f t="shared" si="12"/>
        <v>----</v>
      </c>
      <c r="N18" s="70" t="str">
        <f t="shared" si="13"/>
        <v/>
      </c>
      <c r="O18" s="70" t="str">
        <f t="shared" si="14"/>
        <v/>
      </c>
      <c r="P18" s="44">
        <f>+IF($D$4&gt;=11,11,"")</f>
        <v>11</v>
      </c>
      <c r="Q18" s="44" t="str">
        <f t="shared" si="15"/>
        <v>Lt-</v>
      </c>
      <c r="R18" s="86">
        <f t="shared" si="16"/>
        <v>11</v>
      </c>
      <c r="S18" s="83"/>
      <c r="T18" s="85"/>
      <c r="U18" s="84">
        <f t="shared" si="4"/>
        <v>0</v>
      </c>
      <c r="V18" s="295">
        <f>IF(A18="","",IF($J$3="Entrepiso",IF(O18=10,Cargas!K$9,IF(O18=12,Cargas!W$9,IF(O18=14,Cargas!K$34,IF(O18=16,Cargas!W$34,Cargas!K$62)))),IF(O18=10,Cargas!K$22,IF(O18=12,Cargas!W$22,IF(O18=14,Cargas!K$47,IF(O18=16,Cargas!W$47,Cargas!K$75))))))</f>
        <v>0.53200000000000003</v>
      </c>
      <c r="W18" s="295">
        <f>IF(A18="","",IF($J$3="Entrepiso",IF(O18=10,Cargas!K$13,IF(O18=12,Cargas!W$13,IF(O18=14,Cargas!K$38,IF(O18=16,Cargas!W$38,Cargas!K$66)))),IF(O18=10,Cargas!K$25,IF(O18=12,Cargas!W$25,IF(O18=14,Cargas!K$50,IF(O18=16,Cargas!W$50,Cargas!K$78))))))</f>
        <v>0.1</v>
      </c>
      <c r="X18" s="72"/>
      <c r="Y18" s="295"/>
      <c r="Z18" s="72">
        <f>IF(A18="","",Cargas!C$15*(V18+X18)*COS(U18*3.141592654/180)+Cargas!G$15*W18)</f>
        <v>0.7984</v>
      </c>
      <c r="AA18" s="21">
        <f t="shared" si="5"/>
        <v>0</v>
      </c>
      <c r="AB18" s="21">
        <f t="shared" si="6"/>
        <v>0</v>
      </c>
      <c r="AC18" s="21"/>
      <c r="AD18" s="21" t="str">
        <f t="shared" ref="AD18:AD41" si="31">+CONCATENATE(B18,C18)</f>
        <v>Lt-11</v>
      </c>
      <c r="AE18" s="74">
        <v>0.2</v>
      </c>
      <c r="AF18" s="74">
        <v>0.2</v>
      </c>
      <c r="AG18" s="74">
        <v>0.2</v>
      </c>
      <c r="AH18" s="74">
        <v>0.2</v>
      </c>
      <c r="AI18" s="52">
        <f>IF(AD18="","",(D18+AE18/2+AF18/2)*(E18+AG18/2+AH18/2))</f>
        <v>4.0000000000000008E-2</v>
      </c>
      <c r="AJ18" s="50">
        <f t="shared" si="29"/>
        <v>0.2</v>
      </c>
      <c r="AK18" s="50">
        <f t="shared" si="30"/>
        <v>0.2</v>
      </c>
      <c r="AL18" s="355">
        <f t="shared" si="27"/>
        <v>8.0000000000000019E-3</v>
      </c>
      <c r="AM18" s="355">
        <f t="shared" si="28"/>
        <v>8.0000000000000019E-3</v>
      </c>
      <c r="AN18" s="51"/>
      <c r="AO18" s="51"/>
      <c r="AP18" s="52" t="str">
        <f t="shared" si="20"/>
        <v>Lt-</v>
      </c>
      <c r="AQ18" s="52">
        <v>0.2</v>
      </c>
      <c r="AR18" s="52">
        <v>0.2</v>
      </c>
      <c r="AS18" s="52">
        <f t="shared" si="9"/>
        <v>0.04</v>
      </c>
      <c r="AT18" s="50"/>
      <c r="AU18" s="50"/>
      <c r="AV18" s="51">
        <f t="shared" si="21"/>
        <v>0</v>
      </c>
      <c r="AW18" s="51">
        <f t="shared" si="22"/>
        <v>0</v>
      </c>
      <c r="AX18" s="45"/>
      <c r="AY18" s="45"/>
    </row>
    <row r="19" spans="1:51" s="1" customFormat="1" ht="21" customHeight="1">
      <c r="A19" s="44">
        <f t="shared" si="10"/>
        <v>12</v>
      </c>
      <c r="B19" s="44" t="str">
        <f t="shared" si="0"/>
        <v>Lt-</v>
      </c>
      <c r="C19" s="86">
        <f t="shared" si="11"/>
        <v>12</v>
      </c>
      <c r="D19" s="20"/>
      <c r="E19" s="20"/>
      <c r="F19" s="69">
        <f t="shared" si="1"/>
        <v>0</v>
      </c>
      <c r="G19" s="68" t="str">
        <f t="shared" si="23"/>
        <v/>
      </c>
      <c r="H19" s="44"/>
      <c r="I19" s="44"/>
      <c r="J19" s="44" t="str">
        <f t="shared" si="24"/>
        <v/>
      </c>
      <c r="K19" s="68" t="str">
        <f t="shared" si="26"/>
        <v/>
      </c>
      <c r="L19" s="71" t="str">
        <f t="shared" si="3"/>
        <v/>
      </c>
      <c r="M19" s="71" t="str">
        <f t="shared" si="12"/>
        <v>----</v>
      </c>
      <c r="N19" s="70" t="str">
        <f t="shared" si="13"/>
        <v/>
      </c>
      <c r="O19" s="70" t="str">
        <f t="shared" si="14"/>
        <v/>
      </c>
      <c r="P19" s="44">
        <f>+IF($D$4&gt;=12,12,"")</f>
        <v>12</v>
      </c>
      <c r="Q19" s="44" t="str">
        <f t="shared" si="15"/>
        <v>Lt-</v>
      </c>
      <c r="R19" s="86">
        <f t="shared" si="16"/>
        <v>12</v>
      </c>
      <c r="S19" s="83"/>
      <c r="T19" s="85"/>
      <c r="U19" s="84">
        <f t="shared" si="4"/>
        <v>0</v>
      </c>
      <c r="V19" s="295">
        <f>IF(A19="","",IF($J$3="Entrepiso",IF(O19=10,Cargas!K$9,IF(O19=12,Cargas!W$9,IF(O19=14,Cargas!K$34,IF(O19=16,Cargas!W$34,Cargas!K$62)))),IF(O19=10,Cargas!K$22,IF(O19=12,Cargas!W$22,IF(O19=14,Cargas!K$47,IF(O19=16,Cargas!W$47,Cargas!K$75))))))</f>
        <v>0.53200000000000003</v>
      </c>
      <c r="W19" s="295">
        <f>IF(A19="","",IF($J$3="Entrepiso",IF(O19=10,Cargas!K$13,IF(O19=12,Cargas!W$13,IF(O19=14,Cargas!K$38,IF(O19=16,Cargas!W$38,Cargas!K$66)))),IF(O19=10,Cargas!K$25,IF(O19=12,Cargas!W$25,IF(O19=14,Cargas!K$50,IF(O19=16,Cargas!W$50,Cargas!K$78))))))</f>
        <v>0.1</v>
      </c>
      <c r="X19" s="72"/>
      <c r="Y19" s="295"/>
      <c r="Z19" s="72">
        <f>IF(A19="","",Cargas!C$15*(V19+X19)*COS(U19*3.141592654/180)+Cargas!G$15*W19)</f>
        <v>0.7984</v>
      </c>
      <c r="AA19" s="21">
        <f t="shared" si="5"/>
        <v>0</v>
      </c>
      <c r="AB19" s="21">
        <f t="shared" si="6"/>
        <v>0</v>
      </c>
      <c r="AC19" s="21"/>
      <c r="AD19" s="21" t="str">
        <f t="shared" si="31"/>
        <v>Lt-12</v>
      </c>
      <c r="AE19" s="74">
        <v>0.2</v>
      </c>
      <c r="AF19" s="74">
        <v>0.2</v>
      </c>
      <c r="AG19" s="74">
        <v>0.2</v>
      </c>
      <c r="AH19" s="74">
        <v>0.2</v>
      </c>
      <c r="AI19" s="52">
        <f t="shared" si="17"/>
        <v>4.0000000000000008E-2</v>
      </c>
      <c r="AJ19" s="50">
        <f t="shared" si="29"/>
        <v>0.2</v>
      </c>
      <c r="AK19" s="50">
        <f t="shared" si="30"/>
        <v>0.2</v>
      </c>
      <c r="AL19" s="355">
        <f t="shared" si="27"/>
        <v>8.0000000000000019E-3</v>
      </c>
      <c r="AM19" s="355">
        <f t="shared" si="28"/>
        <v>8.0000000000000019E-3</v>
      </c>
      <c r="AN19" s="51"/>
      <c r="AO19" s="51"/>
      <c r="AP19" s="52" t="str">
        <f t="shared" si="20"/>
        <v>Lt-</v>
      </c>
      <c r="AQ19" s="52">
        <v>0.2</v>
      </c>
      <c r="AR19" s="52">
        <v>0.2</v>
      </c>
      <c r="AS19" s="52">
        <f t="shared" si="9"/>
        <v>0.04</v>
      </c>
      <c r="AT19" s="50"/>
      <c r="AU19" s="50"/>
      <c r="AV19" s="51">
        <f>ROUNDUP(AS19*AT19,2)</f>
        <v>0</v>
      </c>
      <c r="AW19" s="51">
        <f t="shared" si="22"/>
        <v>0</v>
      </c>
      <c r="AX19" s="45"/>
      <c r="AY19" s="45"/>
    </row>
    <row r="20" spans="1:51" s="1" customFormat="1" ht="21" customHeight="1">
      <c r="A20" s="44">
        <f t="shared" si="10"/>
        <v>13</v>
      </c>
      <c r="B20" s="44" t="str">
        <f t="shared" si="0"/>
        <v>Lt-</v>
      </c>
      <c r="C20" s="86">
        <f t="shared" si="11"/>
        <v>13</v>
      </c>
      <c r="D20" s="20"/>
      <c r="E20" s="20"/>
      <c r="F20" s="69">
        <f t="shared" si="1"/>
        <v>0</v>
      </c>
      <c r="G20" s="68" t="str">
        <f t="shared" si="23"/>
        <v/>
      </c>
      <c r="H20" s="44"/>
      <c r="I20" s="44"/>
      <c r="J20" s="44" t="str">
        <f t="shared" si="24"/>
        <v/>
      </c>
      <c r="K20" s="68" t="str">
        <f t="shared" si="26"/>
        <v/>
      </c>
      <c r="L20" s="71" t="str">
        <f t="shared" si="3"/>
        <v/>
      </c>
      <c r="M20" s="71" t="str">
        <f t="shared" si="12"/>
        <v>----</v>
      </c>
      <c r="N20" s="70" t="str">
        <f t="shared" si="13"/>
        <v/>
      </c>
      <c r="O20" s="70" t="str">
        <f t="shared" si="14"/>
        <v/>
      </c>
      <c r="P20" s="44">
        <f>+IF($D$4&gt;=13,13,"")</f>
        <v>13</v>
      </c>
      <c r="Q20" s="44" t="str">
        <f t="shared" si="15"/>
        <v>Lt-</v>
      </c>
      <c r="R20" s="86">
        <f t="shared" si="16"/>
        <v>13</v>
      </c>
      <c r="S20" s="83"/>
      <c r="T20" s="85"/>
      <c r="U20" s="84">
        <f t="shared" si="4"/>
        <v>0</v>
      </c>
      <c r="V20" s="295">
        <f>IF(A20="","",IF($J$3="Entrepiso",IF(O20=10,Cargas!K$9,IF(O20=12,Cargas!W$9,IF(O20=14,Cargas!K$34,IF(O20=16,Cargas!W$34,Cargas!K$62)))),IF(O20=10,Cargas!K$22,IF(O20=12,Cargas!W$22,IF(O20=14,Cargas!K$47,IF(O20=16,Cargas!W$47,Cargas!K$75))))))</f>
        <v>0.53200000000000003</v>
      </c>
      <c r="W20" s="295">
        <f>IF(A20="","",IF($J$3="Entrepiso",IF(O20=10,Cargas!K$13,IF(O20=12,Cargas!W$13,IF(O20=14,Cargas!K$38,IF(O20=16,Cargas!W$38,Cargas!K$66)))),IF(O20=10,Cargas!K$25,IF(O20=12,Cargas!W$25,IF(O20=14,Cargas!K$50,IF(O20=16,Cargas!W$50,Cargas!K$78))))))</f>
        <v>0.1</v>
      </c>
      <c r="X20" s="72"/>
      <c r="Y20" s="295"/>
      <c r="Z20" s="72">
        <f>IF(A20="","",Cargas!C$15*(V20+X20)*COS(U20*3.141592654/180)+Cargas!G$15*W20)</f>
        <v>0.7984</v>
      </c>
      <c r="AA20" s="21">
        <f t="shared" si="5"/>
        <v>0</v>
      </c>
      <c r="AB20" s="21">
        <f t="shared" si="6"/>
        <v>0</v>
      </c>
      <c r="AC20" s="21"/>
      <c r="AD20" s="21" t="str">
        <f t="shared" si="31"/>
        <v>Lt-13</v>
      </c>
      <c r="AE20" s="74">
        <v>0.2</v>
      </c>
      <c r="AF20" s="74">
        <v>0.2</v>
      </c>
      <c r="AG20" s="74">
        <v>0.2</v>
      </c>
      <c r="AH20" s="74">
        <v>0.2</v>
      </c>
      <c r="AI20" s="52">
        <f t="shared" si="17"/>
        <v>4.0000000000000008E-2</v>
      </c>
      <c r="AJ20" s="50">
        <f t="shared" si="29"/>
        <v>0.2</v>
      </c>
      <c r="AK20" s="50">
        <f t="shared" si="30"/>
        <v>0.2</v>
      </c>
      <c r="AL20" s="355">
        <f t="shared" ref="AL20:AL24" si="32">IF(AI20="","",AI20*AJ20)</f>
        <v>8.0000000000000019E-3</v>
      </c>
      <c r="AM20" s="355">
        <f t="shared" ref="AM20:AM24" si="33">IF(AI20="","",AI20*AK20)</f>
        <v>8.0000000000000019E-3</v>
      </c>
      <c r="AN20" s="51"/>
      <c r="AO20" s="51"/>
      <c r="AP20" s="52" t="str">
        <f t="shared" si="20"/>
        <v>Lt-</v>
      </c>
      <c r="AQ20" s="52">
        <v>0.2</v>
      </c>
      <c r="AR20" s="52">
        <v>0.2</v>
      </c>
      <c r="AS20" s="52">
        <f t="shared" si="9"/>
        <v>0.04</v>
      </c>
      <c r="AT20" s="50"/>
      <c r="AU20" s="50"/>
      <c r="AV20" s="51">
        <f t="shared" si="21"/>
        <v>0</v>
      </c>
      <c r="AW20" s="51">
        <f>ROUNDUP(AS20*AU20,2)</f>
        <v>0</v>
      </c>
      <c r="AX20" s="45"/>
      <c r="AY20" s="45"/>
    </row>
    <row r="21" spans="1:51" s="1" customFormat="1" ht="21" customHeight="1">
      <c r="A21" s="44">
        <f t="shared" si="10"/>
        <v>14</v>
      </c>
      <c r="B21" s="44" t="str">
        <f t="shared" si="0"/>
        <v>Lt-</v>
      </c>
      <c r="C21" s="86">
        <f t="shared" si="11"/>
        <v>14</v>
      </c>
      <c r="D21" s="20"/>
      <c r="E21" s="20"/>
      <c r="F21" s="69">
        <f t="shared" si="1"/>
        <v>0</v>
      </c>
      <c r="G21" s="68" t="str">
        <f t="shared" si="23"/>
        <v/>
      </c>
      <c r="H21" s="44"/>
      <c r="I21" s="44"/>
      <c r="J21" s="44" t="str">
        <f t="shared" si="24"/>
        <v/>
      </c>
      <c r="K21" s="68" t="str">
        <f t="shared" si="26"/>
        <v/>
      </c>
      <c r="L21" s="71" t="str">
        <f t="shared" si="3"/>
        <v/>
      </c>
      <c r="M21" s="71" t="str">
        <f t="shared" si="12"/>
        <v>----</v>
      </c>
      <c r="N21" s="70" t="str">
        <f t="shared" si="13"/>
        <v/>
      </c>
      <c r="O21" s="70" t="str">
        <f t="shared" si="14"/>
        <v/>
      </c>
      <c r="P21" s="44">
        <f>+IF($D$4&gt;=14,14,"")</f>
        <v>14</v>
      </c>
      <c r="Q21" s="44" t="str">
        <f t="shared" si="15"/>
        <v>Lt-</v>
      </c>
      <c r="R21" s="86">
        <f t="shared" si="16"/>
        <v>14</v>
      </c>
      <c r="S21" s="83"/>
      <c r="T21" s="85"/>
      <c r="U21" s="84">
        <f t="shared" si="4"/>
        <v>0</v>
      </c>
      <c r="V21" s="295">
        <f>IF(A21="","",IF($J$3="Entrepiso",IF(O21=10,Cargas!K$9,IF(O21=12,Cargas!W$9,IF(O21=14,Cargas!K$34,IF(O21=16,Cargas!W$34,Cargas!K$62)))),IF(O21=10,Cargas!K$22,IF(O21=12,Cargas!W$22,IF(O21=14,Cargas!K$47,IF(O21=16,Cargas!W$47,Cargas!K$75))))))</f>
        <v>0.53200000000000003</v>
      </c>
      <c r="W21" s="295">
        <f>IF(A21="","",IF($J$3="Entrepiso",IF(O21=10,Cargas!K$13,IF(O21=12,Cargas!W$13,IF(O21=14,Cargas!K$38,IF(O21=16,Cargas!W$38,Cargas!K$66)))),IF(O21=10,Cargas!K$25,IF(O21=12,Cargas!W$25,IF(O21=14,Cargas!K$50,IF(O21=16,Cargas!W$50,Cargas!K$78))))))</f>
        <v>0.1</v>
      </c>
      <c r="X21" s="72"/>
      <c r="Y21" s="295"/>
      <c r="Z21" s="72">
        <f>IF(A21="","",Cargas!C$15*(V21+X21)*COS(U21*3.141592654/180)+Cargas!G$15*W21)</f>
        <v>0.7984</v>
      </c>
      <c r="AA21" s="21">
        <f t="shared" si="5"/>
        <v>0</v>
      </c>
      <c r="AB21" s="21">
        <f t="shared" si="6"/>
        <v>0</v>
      </c>
      <c r="AC21" s="21"/>
      <c r="AD21" s="21" t="str">
        <f t="shared" si="31"/>
        <v>Lt-14</v>
      </c>
      <c r="AE21" s="74">
        <v>0.2</v>
      </c>
      <c r="AF21" s="74">
        <v>0.2</v>
      </c>
      <c r="AG21" s="74">
        <v>0.2</v>
      </c>
      <c r="AH21" s="74">
        <v>0.2</v>
      </c>
      <c r="AI21" s="52">
        <f t="shared" si="17"/>
        <v>4.0000000000000008E-2</v>
      </c>
      <c r="AJ21" s="50">
        <f t="shared" si="29"/>
        <v>0.2</v>
      </c>
      <c r="AK21" s="50">
        <f t="shared" si="30"/>
        <v>0.2</v>
      </c>
      <c r="AL21" s="355">
        <f t="shared" si="32"/>
        <v>8.0000000000000019E-3</v>
      </c>
      <c r="AM21" s="355">
        <f t="shared" si="33"/>
        <v>8.0000000000000019E-3</v>
      </c>
      <c r="AN21" s="51"/>
      <c r="AO21" s="51"/>
      <c r="AP21" s="52" t="str">
        <f t="shared" si="20"/>
        <v>Lt-</v>
      </c>
      <c r="AQ21" s="52">
        <v>0.2</v>
      </c>
      <c r="AR21" s="52">
        <v>0.2</v>
      </c>
      <c r="AS21" s="52">
        <f t="shared" si="9"/>
        <v>0.04</v>
      </c>
      <c r="AT21" s="50"/>
      <c r="AU21" s="50"/>
      <c r="AV21" s="51">
        <f t="shared" si="21"/>
        <v>0</v>
      </c>
      <c r="AW21" s="51">
        <f t="shared" si="22"/>
        <v>0</v>
      </c>
      <c r="AX21" s="45"/>
      <c r="AY21" s="45"/>
    </row>
    <row r="22" spans="1:51" s="1" customFormat="1" ht="21" customHeight="1">
      <c r="A22" s="44">
        <f t="shared" si="10"/>
        <v>15</v>
      </c>
      <c r="B22" s="44" t="str">
        <f t="shared" si="0"/>
        <v>Lt-</v>
      </c>
      <c r="C22" s="86">
        <f t="shared" si="11"/>
        <v>15</v>
      </c>
      <c r="D22" s="20"/>
      <c r="E22" s="20"/>
      <c r="F22" s="69">
        <f t="shared" si="1"/>
        <v>0</v>
      </c>
      <c r="G22" s="68" t="str">
        <f t="shared" si="23"/>
        <v/>
      </c>
      <c r="H22" s="44"/>
      <c r="I22" s="44"/>
      <c r="J22" s="44" t="str">
        <f t="shared" si="24"/>
        <v/>
      </c>
      <c r="K22" s="68" t="str">
        <f t="shared" si="26"/>
        <v/>
      </c>
      <c r="L22" s="71" t="str">
        <f t="shared" si="3"/>
        <v/>
      </c>
      <c r="M22" s="71" t="str">
        <f t="shared" si="12"/>
        <v>----</v>
      </c>
      <c r="N22" s="70" t="str">
        <f t="shared" si="13"/>
        <v/>
      </c>
      <c r="O22" s="70" t="str">
        <f>IF(N22&lt;=12,12,IF(N22&lt;=14,14,IF(N22&lt;=15,15,IF(N22&lt;=16,16,N22))))</f>
        <v/>
      </c>
      <c r="P22" s="44">
        <f>+IF($D$4&gt;=15,15,"")</f>
        <v>15</v>
      </c>
      <c r="Q22" s="44" t="str">
        <f t="shared" si="15"/>
        <v>Lt-</v>
      </c>
      <c r="R22" s="86">
        <f t="shared" si="16"/>
        <v>15</v>
      </c>
      <c r="S22" s="83"/>
      <c r="T22" s="85"/>
      <c r="U22" s="84">
        <f t="shared" si="4"/>
        <v>0</v>
      </c>
      <c r="V22" s="295">
        <f>IF(A22="","",IF($J$3="Entrepiso",IF(O22=10,Cargas!K$9,IF(O22=12,Cargas!W$9,IF(O22=14,Cargas!K$34,IF(O22=16,Cargas!W$34,Cargas!K$62)))),IF(O22=10,Cargas!K$22,IF(O22=12,Cargas!W$22,IF(O22=14,Cargas!K$47,IF(O22=16,Cargas!W$47,Cargas!K$75))))))</f>
        <v>0.53200000000000003</v>
      </c>
      <c r="W22" s="295">
        <f>IF(A22="","",IF($J$3="Entrepiso",IF(O22=10,Cargas!K$13,IF(O22=12,Cargas!W$13,IF(O22=14,Cargas!K$38,IF(O22=16,Cargas!W$38,Cargas!K$66)))),IF(O22=10,Cargas!K$25,IF(O22=12,Cargas!W$25,IF(O22=14,Cargas!K$50,IF(O22=16,Cargas!W$50,Cargas!K$78))))))</f>
        <v>0.1</v>
      </c>
      <c r="X22" s="72"/>
      <c r="Y22" s="295"/>
      <c r="Z22" s="72">
        <f>IF(A22="","",Cargas!C$15*(V22+X22)*COS(U22*3.141592654/180)+Cargas!G$15*W22)</f>
        <v>0.7984</v>
      </c>
      <c r="AA22" s="21">
        <f t="shared" si="5"/>
        <v>0</v>
      </c>
      <c r="AB22" s="21">
        <f t="shared" si="6"/>
        <v>0</v>
      </c>
      <c r="AC22" s="21"/>
      <c r="AD22" s="21" t="str">
        <f t="shared" si="31"/>
        <v>Lt-15</v>
      </c>
      <c r="AE22" s="74">
        <v>0.2</v>
      </c>
      <c r="AF22" s="74">
        <v>0.2</v>
      </c>
      <c r="AG22" s="74">
        <v>0.2</v>
      </c>
      <c r="AH22" s="74">
        <v>0.2</v>
      </c>
      <c r="AI22" s="52">
        <f t="shared" si="17"/>
        <v>4.0000000000000008E-2</v>
      </c>
      <c r="AJ22" s="50">
        <f t="shared" si="29"/>
        <v>0.2</v>
      </c>
      <c r="AK22" s="50">
        <f t="shared" si="30"/>
        <v>0.2</v>
      </c>
      <c r="AL22" s="355">
        <f t="shared" si="32"/>
        <v>8.0000000000000019E-3</v>
      </c>
      <c r="AM22" s="355">
        <f t="shared" si="33"/>
        <v>8.0000000000000019E-3</v>
      </c>
      <c r="AN22" s="51"/>
      <c r="AO22" s="51"/>
      <c r="AP22" s="52" t="str">
        <f t="shared" si="20"/>
        <v>Lt-</v>
      </c>
      <c r="AQ22" s="52">
        <v>0.2</v>
      </c>
      <c r="AR22" s="52">
        <v>0.2</v>
      </c>
      <c r="AS22" s="52">
        <f t="shared" si="9"/>
        <v>0.04</v>
      </c>
      <c r="AT22" s="50"/>
      <c r="AU22" s="50"/>
      <c r="AV22" s="51">
        <f t="shared" si="21"/>
        <v>0</v>
      </c>
      <c r="AW22" s="51">
        <f t="shared" si="22"/>
        <v>0</v>
      </c>
      <c r="AX22" s="45"/>
      <c r="AY22" s="45"/>
    </row>
    <row r="23" spans="1:51" s="1" customFormat="1" ht="21" customHeight="1">
      <c r="A23" s="44">
        <f t="shared" si="10"/>
        <v>16</v>
      </c>
      <c r="B23" s="44" t="str">
        <f t="shared" si="0"/>
        <v>Lt-</v>
      </c>
      <c r="C23" s="86">
        <f t="shared" si="11"/>
        <v>16</v>
      </c>
      <c r="D23" s="20"/>
      <c r="E23" s="20"/>
      <c r="F23" s="69">
        <f t="shared" si="1"/>
        <v>0</v>
      </c>
      <c r="G23" s="68" t="str">
        <f t="shared" si="23"/>
        <v/>
      </c>
      <c r="H23" s="44"/>
      <c r="I23" s="44"/>
      <c r="J23" s="44" t="str">
        <f t="shared" si="24"/>
        <v/>
      </c>
      <c r="K23" s="68" t="str">
        <f t="shared" si="26"/>
        <v/>
      </c>
      <c r="L23" s="71" t="str">
        <f t="shared" si="3"/>
        <v/>
      </c>
      <c r="M23" s="71" t="str">
        <f t="shared" si="12"/>
        <v>----</v>
      </c>
      <c r="N23" s="70" t="str">
        <f t="shared" si="13"/>
        <v/>
      </c>
      <c r="O23" s="70" t="str">
        <f t="shared" si="14"/>
        <v/>
      </c>
      <c r="P23" s="73">
        <f>+IF($D$4&gt;=16,16,"")</f>
        <v>16</v>
      </c>
      <c r="Q23" s="44" t="str">
        <f t="shared" si="15"/>
        <v>Lt-</v>
      </c>
      <c r="R23" s="86">
        <f t="shared" si="16"/>
        <v>16</v>
      </c>
      <c r="S23" s="83"/>
      <c r="T23" s="85"/>
      <c r="U23" s="84">
        <f t="shared" si="4"/>
        <v>0</v>
      </c>
      <c r="V23" s="295">
        <f>IF(A23="","",IF($J$3="Entrepiso",IF(O23=10,Cargas!K$9,IF(O23=12,Cargas!W$9,IF(O23=14,Cargas!K$34,IF(O23=16,Cargas!W$34,Cargas!K$62)))),IF(O23=10,Cargas!K$22,IF(O23=12,Cargas!W$22,IF(O23=14,Cargas!K$47,IF(O23=16,Cargas!W$47,Cargas!K$75))))))</f>
        <v>0.53200000000000003</v>
      </c>
      <c r="W23" s="295">
        <f>IF(A23="","",IF($J$3="Entrepiso",IF(O23=10,Cargas!K$13,IF(O23=12,Cargas!W$13,IF(O23=14,Cargas!K$38,IF(O23=16,Cargas!W$38,Cargas!K$66)))),IF(O23=10,Cargas!K$25,IF(O23=12,Cargas!W$25,IF(O23=14,Cargas!K$50,IF(O23=16,Cargas!W$50,Cargas!K$78))))))</f>
        <v>0.1</v>
      </c>
      <c r="X23" s="72"/>
      <c r="Y23" s="295"/>
      <c r="Z23" s="72">
        <f>IF(A23="","",Cargas!C$15*(V23+X23)*COS(U23*3.141592654/180)+Cargas!G$15*W23)</f>
        <v>0.7984</v>
      </c>
      <c r="AA23" s="21">
        <f t="shared" si="5"/>
        <v>0</v>
      </c>
      <c r="AB23" s="21">
        <f t="shared" si="6"/>
        <v>0</v>
      </c>
      <c r="AC23" s="21"/>
      <c r="AD23" s="21" t="str">
        <f t="shared" si="31"/>
        <v>Lt-16</v>
      </c>
      <c r="AE23" s="74">
        <v>0.2</v>
      </c>
      <c r="AF23" s="74">
        <v>0.2</v>
      </c>
      <c r="AG23" s="74">
        <v>0.2</v>
      </c>
      <c r="AH23" s="74">
        <v>0.2</v>
      </c>
      <c r="AI23" s="52">
        <f t="shared" si="17"/>
        <v>4.0000000000000008E-2</v>
      </c>
      <c r="AJ23" s="50">
        <f t="shared" si="29"/>
        <v>0.2</v>
      </c>
      <c r="AK23" s="50">
        <f t="shared" si="30"/>
        <v>0.2</v>
      </c>
      <c r="AL23" s="355">
        <f t="shared" si="32"/>
        <v>8.0000000000000019E-3</v>
      </c>
      <c r="AM23" s="355">
        <f t="shared" si="33"/>
        <v>8.0000000000000019E-3</v>
      </c>
      <c r="AN23" s="51"/>
      <c r="AO23" s="51"/>
      <c r="AP23" s="52" t="str">
        <f t="shared" si="20"/>
        <v>Lt-</v>
      </c>
      <c r="AQ23" s="52">
        <v>0.2</v>
      </c>
      <c r="AR23" s="52">
        <v>0.2</v>
      </c>
      <c r="AS23" s="52">
        <f t="shared" si="9"/>
        <v>0.04</v>
      </c>
      <c r="AT23" s="50"/>
      <c r="AU23" s="50"/>
      <c r="AV23" s="51">
        <f t="shared" si="21"/>
        <v>0</v>
      </c>
      <c r="AW23" s="51">
        <f t="shared" si="22"/>
        <v>0</v>
      </c>
      <c r="AX23" s="45"/>
      <c r="AY23" s="45"/>
    </row>
    <row r="24" spans="1:51" s="1" customFormat="1" ht="21" customHeight="1">
      <c r="A24" s="44">
        <f t="shared" si="10"/>
        <v>17</v>
      </c>
      <c r="B24" s="44" t="str">
        <f t="shared" si="0"/>
        <v>Lt-</v>
      </c>
      <c r="C24" s="86">
        <f t="shared" si="11"/>
        <v>17</v>
      </c>
      <c r="D24" s="20"/>
      <c r="E24" s="20"/>
      <c r="F24" s="69">
        <f t="shared" si="1"/>
        <v>0</v>
      </c>
      <c r="G24" s="68" t="str">
        <f t="shared" si="23"/>
        <v/>
      </c>
      <c r="H24" s="44"/>
      <c r="I24" s="44"/>
      <c r="J24" s="44" t="str">
        <f t="shared" si="24"/>
        <v/>
      </c>
      <c r="K24" s="68" t="str">
        <f t="shared" si="26"/>
        <v/>
      </c>
      <c r="L24" s="71" t="str">
        <f t="shared" si="3"/>
        <v/>
      </c>
      <c r="M24" s="71" t="str">
        <f t="shared" si="12"/>
        <v>----</v>
      </c>
      <c r="N24" s="70" t="str">
        <f t="shared" si="13"/>
        <v/>
      </c>
      <c r="O24" s="70" t="str">
        <f t="shared" si="14"/>
        <v/>
      </c>
      <c r="P24" s="73">
        <f>+IF($D$4&gt;=17,17,"")</f>
        <v>17</v>
      </c>
      <c r="Q24" s="44" t="str">
        <f t="shared" si="15"/>
        <v>Lt-</v>
      </c>
      <c r="R24" s="86">
        <f t="shared" si="16"/>
        <v>17</v>
      </c>
      <c r="S24" s="83"/>
      <c r="T24" s="85"/>
      <c r="U24" s="84">
        <f t="shared" si="4"/>
        <v>0</v>
      </c>
      <c r="V24" s="295">
        <f>IF(A24="","",IF($J$3="Entrepiso",IF(O24=10,Cargas!K$9,IF(O24=12,Cargas!W$9,IF(O24=14,Cargas!K$34,IF(O24=16,Cargas!W$34,Cargas!K$62)))),IF(O24=10,Cargas!K$22,IF(O24=12,Cargas!W$22,IF(O24=14,Cargas!K$47,IF(O24=16,Cargas!W$47,Cargas!K$75))))))</f>
        <v>0.53200000000000003</v>
      </c>
      <c r="W24" s="295">
        <f>IF(A24="","",IF($J$3="Entrepiso",IF(O24=10,Cargas!K$13,IF(O24=12,Cargas!W$13,IF(O24=14,Cargas!K$38,IF(O24=16,Cargas!W$38,Cargas!K$66)))),IF(O24=10,Cargas!K$25,IF(O24=12,Cargas!W$25,IF(O24=14,Cargas!K$50,IF(O24=16,Cargas!W$50,Cargas!K$78))))))</f>
        <v>0.1</v>
      </c>
      <c r="X24" s="72"/>
      <c r="Y24" s="295"/>
      <c r="Z24" s="72">
        <f>IF(A24="","",Cargas!C$15*(V24+X24)*COS(U24*3.141592654/180)+Cargas!G$15*W24)</f>
        <v>0.7984</v>
      </c>
      <c r="AA24" s="21">
        <f t="shared" si="5"/>
        <v>0</v>
      </c>
      <c r="AB24" s="21">
        <f t="shared" si="6"/>
        <v>0</v>
      </c>
      <c r="AC24" s="21"/>
      <c r="AD24" s="21" t="str">
        <f t="shared" si="31"/>
        <v>Lt-17</v>
      </c>
      <c r="AE24" s="74">
        <v>0.2</v>
      </c>
      <c r="AF24" s="74">
        <v>0.2</v>
      </c>
      <c r="AG24" s="74">
        <v>0.2</v>
      </c>
      <c r="AH24" s="74">
        <v>0.2</v>
      </c>
      <c r="AI24" s="52">
        <f t="shared" si="17"/>
        <v>4.0000000000000008E-2</v>
      </c>
      <c r="AJ24" s="50">
        <f t="shared" si="29"/>
        <v>0.2</v>
      </c>
      <c r="AK24" s="50">
        <f t="shared" si="30"/>
        <v>0.2</v>
      </c>
      <c r="AL24" s="355">
        <f t="shared" si="32"/>
        <v>8.0000000000000019E-3</v>
      </c>
      <c r="AM24" s="355">
        <f t="shared" si="33"/>
        <v>8.0000000000000019E-3</v>
      </c>
      <c r="AN24" s="51"/>
      <c r="AO24" s="51"/>
      <c r="AP24" s="52" t="str">
        <f t="shared" si="20"/>
        <v>Lt-</v>
      </c>
      <c r="AQ24" s="52">
        <v>0.2</v>
      </c>
      <c r="AR24" s="52">
        <v>0.2</v>
      </c>
      <c r="AS24" s="52">
        <f t="shared" si="9"/>
        <v>0.04</v>
      </c>
      <c r="AT24" s="50"/>
      <c r="AU24" s="50"/>
      <c r="AV24" s="51">
        <f t="shared" si="21"/>
        <v>0</v>
      </c>
      <c r="AW24" s="51">
        <f t="shared" si="22"/>
        <v>0</v>
      </c>
      <c r="AX24" s="45"/>
      <c r="AY24" s="45"/>
    </row>
    <row r="25" spans="1:51" s="1" customFormat="1" ht="21" customHeight="1">
      <c r="A25" s="44">
        <f t="shared" si="10"/>
        <v>18</v>
      </c>
      <c r="B25" s="44" t="str">
        <f t="shared" si="0"/>
        <v>Lt-</v>
      </c>
      <c r="C25" s="86">
        <f t="shared" si="11"/>
        <v>18</v>
      </c>
      <c r="D25" s="20"/>
      <c r="E25" s="20"/>
      <c r="F25" s="69">
        <f t="shared" si="1"/>
        <v>0</v>
      </c>
      <c r="G25" s="68" t="str">
        <f t="shared" si="23"/>
        <v/>
      </c>
      <c r="H25" s="44"/>
      <c r="I25" s="44"/>
      <c r="J25" s="44" t="str">
        <f t="shared" si="24"/>
        <v/>
      </c>
      <c r="K25" s="68" t="str">
        <f t="shared" si="26"/>
        <v/>
      </c>
      <c r="L25" s="71" t="str">
        <f t="shared" si="3"/>
        <v/>
      </c>
      <c r="M25" s="71" t="str">
        <f t="shared" si="12"/>
        <v>----</v>
      </c>
      <c r="N25" s="70" t="str">
        <f t="shared" si="13"/>
        <v/>
      </c>
      <c r="O25" s="70" t="str">
        <f t="shared" si="14"/>
        <v/>
      </c>
      <c r="P25" s="73">
        <f>+IF($D$4&gt;=18,18,"")</f>
        <v>18</v>
      </c>
      <c r="Q25" s="44" t="str">
        <f>+B25</f>
        <v>Lt-</v>
      </c>
      <c r="R25" s="86">
        <f t="shared" si="16"/>
        <v>18</v>
      </c>
      <c r="S25" s="83"/>
      <c r="T25" s="85"/>
      <c r="U25" s="84">
        <f t="shared" si="4"/>
        <v>0</v>
      </c>
      <c r="V25" s="295">
        <f>IF(A25="","",IF($J$3="Entrepiso",IF(O25=10,Cargas!K$9,IF(O25=12,Cargas!W$9,IF(O25=14,Cargas!K$34,IF(O25=16,Cargas!W$34,Cargas!K$62)))),IF(O25=10,Cargas!K$22,IF(O25=12,Cargas!W$22,IF(O25=14,Cargas!K$47,IF(O25=16,Cargas!W$47,Cargas!K$75))))))</f>
        <v>0.53200000000000003</v>
      </c>
      <c r="W25" s="295">
        <f>IF(A25="","",IF($J$3="Entrepiso",IF(O25=10,Cargas!K$13,IF(O25=12,Cargas!W$13,IF(O25=14,Cargas!K$38,IF(O25=16,Cargas!W$38,Cargas!K$66)))),IF(O25=10,Cargas!K$25,IF(O25=12,Cargas!W$25,IF(O25=14,Cargas!K$50,IF(O25=16,Cargas!W$50,Cargas!K$78))))))</f>
        <v>0.1</v>
      </c>
      <c r="X25" s="72"/>
      <c r="Y25" s="295"/>
      <c r="Z25" s="72">
        <f>IF(A25="","",Cargas!C$15*(V25+X25)*COS(U25*3.141592654/180)+Cargas!G$15*W25)</f>
        <v>0.7984</v>
      </c>
      <c r="AA25" s="21">
        <f t="shared" si="5"/>
        <v>0</v>
      </c>
      <c r="AB25" s="21">
        <f t="shared" si="6"/>
        <v>0</v>
      </c>
      <c r="AC25" s="21"/>
      <c r="AD25" s="21" t="str">
        <f t="shared" si="31"/>
        <v>Lt-18</v>
      </c>
      <c r="AE25" s="74">
        <v>0.2</v>
      </c>
      <c r="AF25" s="74">
        <v>0.2</v>
      </c>
      <c r="AG25" s="74">
        <v>0.2</v>
      </c>
      <c r="AH25" s="74">
        <v>0.2</v>
      </c>
      <c r="AI25" s="52">
        <f t="shared" si="17"/>
        <v>4.0000000000000008E-2</v>
      </c>
      <c r="AJ25" s="50">
        <f t="shared" si="29"/>
        <v>0.2</v>
      </c>
      <c r="AK25" s="50">
        <f t="shared" si="30"/>
        <v>0.2</v>
      </c>
      <c r="AL25" s="355">
        <f t="shared" ref="AL25:AL35" si="34">IF(AI25="","",AI25*AJ25)</f>
        <v>8.0000000000000019E-3</v>
      </c>
      <c r="AM25" s="355">
        <f t="shared" ref="AM25:AM35" si="35">IF(AI25="","",AI25*AK25)</f>
        <v>8.0000000000000019E-3</v>
      </c>
      <c r="AN25" s="51"/>
      <c r="AO25" s="51"/>
      <c r="AP25" s="52" t="str">
        <f t="shared" si="20"/>
        <v>Lt-</v>
      </c>
      <c r="AQ25" s="52">
        <v>0.2</v>
      </c>
      <c r="AR25" s="52">
        <v>0.2</v>
      </c>
      <c r="AS25" s="52">
        <f t="shared" si="9"/>
        <v>0.04</v>
      </c>
      <c r="AT25" s="50"/>
      <c r="AU25" s="50"/>
      <c r="AV25" s="51">
        <f>ROUNDUP(AS25*AT25,2)</f>
        <v>0</v>
      </c>
      <c r="AW25" s="51">
        <f t="shared" si="22"/>
        <v>0</v>
      </c>
      <c r="AX25" s="45"/>
      <c r="AY25" s="45"/>
    </row>
    <row r="26" spans="1:51" s="1" customFormat="1" ht="21" customHeight="1">
      <c r="A26" s="44">
        <f t="shared" si="10"/>
        <v>19</v>
      </c>
      <c r="B26" s="44" t="str">
        <f t="shared" si="0"/>
        <v>Lt-</v>
      </c>
      <c r="C26" s="86">
        <f t="shared" si="11"/>
        <v>19</v>
      </c>
      <c r="D26" s="20"/>
      <c r="E26" s="20"/>
      <c r="F26" s="69">
        <f t="shared" si="1"/>
        <v>0</v>
      </c>
      <c r="G26" s="68" t="str">
        <f t="shared" si="23"/>
        <v/>
      </c>
      <c r="H26" s="44"/>
      <c r="I26" s="44"/>
      <c r="J26" s="44" t="str">
        <f t="shared" si="24"/>
        <v/>
      </c>
      <c r="K26" s="68" t="str">
        <f t="shared" si="26"/>
        <v/>
      </c>
      <c r="L26" s="71" t="str">
        <f t="shared" si="3"/>
        <v/>
      </c>
      <c r="M26" s="71" t="str">
        <f t="shared" si="12"/>
        <v>----</v>
      </c>
      <c r="N26" s="70" t="str">
        <f t="shared" si="13"/>
        <v/>
      </c>
      <c r="O26" s="70" t="str">
        <f t="shared" si="14"/>
        <v/>
      </c>
      <c r="P26" s="73">
        <f>+IF($D$4&gt;=19,19,"")</f>
        <v>19</v>
      </c>
      <c r="Q26" s="44" t="str">
        <f t="shared" si="15"/>
        <v>Lt-</v>
      </c>
      <c r="R26" s="86">
        <f t="shared" si="16"/>
        <v>19</v>
      </c>
      <c r="S26" s="83"/>
      <c r="T26" s="85"/>
      <c r="U26" s="84">
        <f t="shared" si="4"/>
        <v>0</v>
      </c>
      <c r="V26" s="295">
        <f>IF(A26="","",IF($J$3="Entrepiso",IF(O26=10,Cargas!K$9,IF(O26=12,Cargas!W$9,IF(O26=14,Cargas!K$34,IF(O26=16,Cargas!W$34,Cargas!K$62)))),IF(O26=10,Cargas!K$22,IF(O26=12,Cargas!W$22,IF(O26=14,Cargas!K$47,IF(O26=16,Cargas!W$47,Cargas!K$75))))))</f>
        <v>0.53200000000000003</v>
      </c>
      <c r="W26" s="295">
        <f>IF(A26="","",IF($J$3="Entrepiso",IF(O26=10,Cargas!K$13,IF(O26=12,Cargas!W$13,IF(O26=14,Cargas!K$38,IF(O26=16,Cargas!W$38,Cargas!K$66)))),IF(O26=10,Cargas!K$25,IF(O26=12,Cargas!W$25,IF(O26=14,Cargas!K$50,IF(O26=16,Cargas!W$50,Cargas!K$78))))))</f>
        <v>0.1</v>
      </c>
      <c r="X26" s="72"/>
      <c r="Y26" s="295"/>
      <c r="Z26" s="72">
        <f>IF(A26="","",Cargas!C$15*(V26+X26)*COS(U26*3.141592654/180)+Cargas!G$15*W26)</f>
        <v>0.7984</v>
      </c>
      <c r="AA26" s="21">
        <f t="shared" si="5"/>
        <v>0</v>
      </c>
      <c r="AB26" s="21">
        <f t="shared" si="6"/>
        <v>0</v>
      </c>
      <c r="AC26" s="21"/>
      <c r="AD26" s="21" t="str">
        <f t="shared" si="31"/>
        <v>Lt-19</v>
      </c>
      <c r="AE26" s="74">
        <v>0.2</v>
      </c>
      <c r="AF26" s="74">
        <v>0.2</v>
      </c>
      <c r="AG26" s="74">
        <v>0.2</v>
      </c>
      <c r="AH26" s="74">
        <v>0.2</v>
      </c>
      <c r="AI26" s="52">
        <f t="shared" si="17"/>
        <v>4.0000000000000008E-2</v>
      </c>
      <c r="AJ26" s="50">
        <f>IF(AD26="","",(D26+AE26+AF26)/2)</f>
        <v>0.2</v>
      </c>
      <c r="AK26" s="50">
        <f>IF(AD26="","",(E26+AG26+AH26)/2)</f>
        <v>0.2</v>
      </c>
      <c r="AL26" s="355">
        <f t="shared" si="34"/>
        <v>8.0000000000000019E-3</v>
      </c>
      <c r="AM26" s="355">
        <f t="shared" si="35"/>
        <v>8.0000000000000019E-3</v>
      </c>
      <c r="AN26" s="51"/>
      <c r="AO26" s="51"/>
      <c r="AP26" s="52" t="str">
        <f t="shared" si="20"/>
        <v>Lt-</v>
      </c>
      <c r="AQ26" s="52">
        <v>0.2</v>
      </c>
      <c r="AR26" s="52">
        <v>0.2</v>
      </c>
      <c r="AS26" s="52">
        <f t="shared" si="9"/>
        <v>0.04</v>
      </c>
      <c r="AT26" s="50"/>
      <c r="AU26" s="50"/>
      <c r="AV26" s="51">
        <f t="shared" si="21"/>
        <v>0</v>
      </c>
      <c r="AW26" s="51">
        <f t="shared" si="22"/>
        <v>0</v>
      </c>
      <c r="AX26" s="45"/>
      <c r="AY26" s="45"/>
    </row>
    <row r="27" spans="1:51" s="1" customFormat="1" ht="21" customHeight="1">
      <c r="A27" s="44">
        <f t="shared" si="10"/>
        <v>20</v>
      </c>
      <c r="B27" s="44" t="str">
        <f t="shared" si="0"/>
        <v>Lt-</v>
      </c>
      <c r="C27" s="86">
        <f t="shared" si="11"/>
        <v>20</v>
      </c>
      <c r="D27" s="20"/>
      <c r="E27" s="20"/>
      <c r="F27" s="69">
        <f t="shared" si="1"/>
        <v>0</v>
      </c>
      <c r="G27" s="68" t="str">
        <f t="shared" si="23"/>
        <v/>
      </c>
      <c r="H27" s="44"/>
      <c r="I27" s="44"/>
      <c r="J27" s="44" t="str">
        <f t="shared" si="24"/>
        <v/>
      </c>
      <c r="K27" s="68" t="str">
        <f t="shared" si="26"/>
        <v/>
      </c>
      <c r="L27" s="71" t="str">
        <f t="shared" si="3"/>
        <v/>
      </c>
      <c r="M27" s="71" t="str">
        <f t="shared" si="12"/>
        <v>----</v>
      </c>
      <c r="N27" s="70" t="str">
        <f t="shared" si="13"/>
        <v/>
      </c>
      <c r="O27" s="70" t="str">
        <f t="shared" si="14"/>
        <v/>
      </c>
      <c r="P27" s="73">
        <f>+IF($D$4&gt;=20,20,"")</f>
        <v>20</v>
      </c>
      <c r="Q27" s="44" t="str">
        <f t="shared" si="15"/>
        <v>Lt-</v>
      </c>
      <c r="R27" s="86">
        <f t="shared" si="16"/>
        <v>20</v>
      </c>
      <c r="S27" s="83"/>
      <c r="T27" s="85"/>
      <c r="U27" s="84">
        <f t="shared" si="4"/>
        <v>0</v>
      </c>
      <c r="V27" s="295">
        <f>IF(A27="","",IF($J$3="Entrepiso",IF(O27=10,Cargas!K$9,IF(O27=12,Cargas!W$9,IF(O27=14,Cargas!K$34,IF(O27=16,Cargas!W$34,Cargas!K$62)))),IF(O27=10,Cargas!K$22,IF(O27=12,Cargas!W$22,IF(O27=14,Cargas!K$47,IF(O27=16,Cargas!W$47,Cargas!K$75))))))</f>
        <v>0.53200000000000003</v>
      </c>
      <c r="W27" s="295">
        <f>IF(A27="","",IF($J$3="Entrepiso",IF(O27=10,Cargas!K$13,IF(O27=12,Cargas!W$13,IF(O27=14,Cargas!K$38,IF(O27=16,Cargas!W$38,Cargas!K$66)))),IF(O27=10,Cargas!K$25,IF(O27=12,Cargas!W$25,IF(O27=14,Cargas!K$50,IF(O27=16,Cargas!W$50,Cargas!K$78))))))</f>
        <v>0.1</v>
      </c>
      <c r="X27" s="72"/>
      <c r="Y27" s="295"/>
      <c r="Z27" s="72">
        <f>IF(A27="","",Cargas!C$15*(V27+X27)*COS(U27*3.141592654/180)+Cargas!G$15*W27)</f>
        <v>0.7984</v>
      </c>
      <c r="AA27" s="21">
        <f t="shared" si="5"/>
        <v>0</v>
      </c>
      <c r="AB27" s="21">
        <f t="shared" si="6"/>
        <v>0</v>
      </c>
      <c r="AC27" s="21"/>
      <c r="AD27" s="21" t="str">
        <f t="shared" si="31"/>
        <v>Lt-20</v>
      </c>
      <c r="AE27" s="74">
        <v>0.2</v>
      </c>
      <c r="AF27" s="74">
        <v>0.2</v>
      </c>
      <c r="AG27" s="74">
        <v>0.2</v>
      </c>
      <c r="AH27" s="74">
        <v>0.2</v>
      </c>
      <c r="AI27" s="52">
        <f t="shared" si="17"/>
        <v>4.0000000000000008E-2</v>
      </c>
      <c r="AJ27" s="50">
        <f t="shared" ref="AJ27:AJ41" si="36">IF(AD27="","",(D27+AE27+AF27)/2)</f>
        <v>0.2</v>
      </c>
      <c r="AK27" s="50">
        <f t="shared" ref="AK27:AK41" si="37">IF(AD27="","",(E27+AG27+AH27)/2)</f>
        <v>0.2</v>
      </c>
      <c r="AL27" s="355">
        <f t="shared" si="34"/>
        <v>8.0000000000000019E-3</v>
      </c>
      <c r="AM27" s="355">
        <f t="shared" si="35"/>
        <v>8.0000000000000019E-3</v>
      </c>
      <c r="AN27" s="51"/>
      <c r="AO27" s="51"/>
      <c r="AP27" s="52" t="str">
        <f t="shared" si="20"/>
        <v>Lt-</v>
      </c>
      <c r="AQ27" s="52">
        <v>0.2</v>
      </c>
      <c r="AR27" s="52">
        <v>0.2</v>
      </c>
      <c r="AS27" s="52">
        <f t="shared" si="9"/>
        <v>0.04</v>
      </c>
      <c r="AT27" s="50"/>
      <c r="AU27" s="50"/>
      <c r="AV27" s="51">
        <f t="shared" si="21"/>
        <v>0</v>
      </c>
      <c r="AW27" s="51">
        <f t="shared" si="22"/>
        <v>0</v>
      </c>
      <c r="AX27" s="45"/>
      <c r="AY27" s="45"/>
    </row>
    <row r="28" spans="1:51" s="1" customFormat="1" ht="21" customHeight="1">
      <c r="A28" s="44">
        <f t="shared" si="10"/>
        <v>21</v>
      </c>
      <c r="B28" s="44" t="str">
        <f t="shared" si="0"/>
        <v>Lt-</v>
      </c>
      <c r="C28" s="86">
        <f t="shared" si="11"/>
        <v>21</v>
      </c>
      <c r="D28" s="20"/>
      <c r="E28" s="20"/>
      <c r="F28" s="69">
        <f t="shared" si="1"/>
        <v>0</v>
      </c>
      <c r="G28" s="68" t="str">
        <f t="shared" si="23"/>
        <v/>
      </c>
      <c r="H28" s="44"/>
      <c r="I28" s="44"/>
      <c r="J28" s="44" t="str">
        <f t="shared" si="24"/>
        <v/>
      </c>
      <c r="K28" s="68" t="str">
        <f t="shared" si="26"/>
        <v/>
      </c>
      <c r="L28" s="71" t="str">
        <f t="shared" si="3"/>
        <v/>
      </c>
      <c r="M28" s="71" t="str">
        <f t="shared" si="12"/>
        <v>----</v>
      </c>
      <c r="N28" s="70" t="str">
        <f t="shared" si="13"/>
        <v/>
      </c>
      <c r="O28" s="70" t="str">
        <f t="shared" si="14"/>
        <v/>
      </c>
      <c r="P28" s="73">
        <f>+IF($D$4&gt;=21,21,"")</f>
        <v>21</v>
      </c>
      <c r="Q28" s="44" t="str">
        <f t="shared" si="15"/>
        <v>Lt-</v>
      </c>
      <c r="R28" s="86">
        <f t="shared" si="16"/>
        <v>21</v>
      </c>
      <c r="S28" s="83"/>
      <c r="T28" s="85"/>
      <c r="U28" s="84">
        <f t="shared" si="4"/>
        <v>0</v>
      </c>
      <c r="V28" s="295">
        <f>IF(A28="","",IF($J$3="Entrepiso",IF(O28=10,Cargas!K$9,IF(O28=12,Cargas!W$9,IF(O28=14,Cargas!K$34,IF(O28=16,Cargas!W$34,Cargas!K$62)))),IF(O28=10,Cargas!K$22,IF(O28=12,Cargas!W$22,IF(O28=14,Cargas!K$47,IF(O28=16,Cargas!W$47,Cargas!K$75))))))</f>
        <v>0.53200000000000003</v>
      </c>
      <c r="W28" s="295">
        <f>IF(A28="","",IF($J$3="Entrepiso",IF(O28=10,Cargas!K$13,IF(O28=12,Cargas!W$13,IF(O28=14,Cargas!K$38,IF(O28=16,Cargas!W$38,Cargas!K$66)))),IF(O28=10,Cargas!K$25,IF(O28=12,Cargas!W$25,IF(O28=14,Cargas!K$50,IF(O28=16,Cargas!W$50,Cargas!K$78))))))</f>
        <v>0.1</v>
      </c>
      <c r="X28" s="72"/>
      <c r="Y28" s="295"/>
      <c r="Z28" s="72">
        <f>IF(A28="","",Cargas!C$15*(V28+X28)*COS(U28*3.141592654/180)+Cargas!G$15*W28)</f>
        <v>0.7984</v>
      </c>
      <c r="AA28" s="21">
        <f t="shared" si="5"/>
        <v>0</v>
      </c>
      <c r="AB28" s="21">
        <f t="shared" si="6"/>
        <v>0</v>
      </c>
      <c r="AC28" s="21"/>
      <c r="AD28" s="21" t="str">
        <f t="shared" si="31"/>
        <v>Lt-21</v>
      </c>
      <c r="AE28" s="74">
        <v>0.2</v>
      </c>
      <c r="AF28" s="74">
        <v>0.2</v>
      </c>
      <c r="AG28" s="74">
        <v>0.2</v>
      </c>
      <c r="AH28" s="74">
        <v>0.2</v>
      </c>
      <c r="AI28" s="52">
        <f t="shared" si="17"/>
        <v>4.0000000000000008E-2</v>
      </c>
      <c r="AJ28" s="50">
        <f t="shared" si="36"/>
        <v>0.2</v>
      </c>
      <c r="AK28" s="50">
        <f t="shared" si="37"/>
        <v>0.2</v>
      </c>
      <c r="AL28" s="355">
        <f t="shared" si="34"/>
        <v>8.0000000000000019E-3</v>
      </c>
      <c r="AM28" s="355">
        <f t="shared" si="35"/>
        <v>8.0000000000000019E-3</v>
      </c>
      <c r="AN28" s="51"/>
      <c r="AO28" s="51"/>
      <c r="AP28" s="52" t="str">
        <f t="shared" si="20"/>
        <v>Lt-</v>
      </c>
      <c r="AQ28" s="52">
        <v>0.2</v>
      </c>
      <c r="AR28" s="52">
        <v>0.2</v>
      </c>
      <c r="AS28" s="52">
        <f t="shared" si="9"/>
        <v>0.04</v>
      </c>
      <c r="AT28" s="50"/>
      <c r="AU28" s="50"/>
      <c r="AV28" s="51">
        <f t="shared" si="21"/>
        <v>0</v>
      </c>
      <c r="AW28" s="51">
        <f>ROUNDUP(AS28*AU28,2)</f>
        <v>0</v>
      </c>
      <c r="AX28" s="45"/>
      <c r="AY28" s="45"/>
    </row>
    <row r="29" spans="1:51" s="1" customFormat="1" ht="21" customHeight="1">
      <c r="A29" s="44">
        <f t="shared" si="10"/>
        <v>22</v>
      </c>
      <c r="B29" s="44" t="str">
        <f t="shared" si="0"/>
        <v>Lt-</v>
      </c>
      <c r="C29" s="86">
        <f t="shared" si="11"/>
        <v>22</v>
      </c>
      <c r="D29" s="20"/>
      <c r="E29" s="20"/>
      <c r="F29" s="69">
        <f t="shared" si="1"/>
        <v>0</v>
      </c>
      <c r="G29" s="68" t="str">
        <f t="shared" si="23"/>
        <v/>
      </c>
      <c r="H29" s="44"/>
      <c r="I29" s="44"/>
      <c r="J29" s="44" t="str">
        <f>+IF(D29=0,"",IF(E29=0,"",H29+I29))</f>
        <v/>
      </c>
      <c r="K29" s="68" t="str">
        <f t="shared" si="26"/>
        <v/>
      </c>
      <c r="L29" s="71" t="str">
        <f t="shared" si="3"/>
        <v/>
      </c>
      <c r="M29" s="71" t="str">
        <f t="shared" si="12"/>
        <v>----</v>
      </c>
      <c r="N29" s="70" t="str">
        <f t="shared" si="13"/>
        <v/>
      </c>
      <c r="O29" s="70" t="str">
        <f t="shared" si="14"/>
        <v/>
      </c>
      <c r="P29" s="73">
        <f>+IF($D$4&gt;=22,22,"")</f>
        <v>22</v>
      </c>
      <c r="Q29" s="44" t="str">
        <f t="shared" si="15"/>
        <v>Lt-</v>
      </c>
      <c r="R29" s="86">
        <f t="shared" si="16"/>
        <v>22</v>
      </c>
      <c r="S29" s="83"/>
      <c r="T29" s="85"/>
      <c r="U29" s="84">
        <f t="shared" si="4"/>
        <v>0</v>
      </c>
      <c r="V29" s="295">
        <f>IF(A29="","",IF($J$3="Entrepiso",IF(O29=10,Cargas!K$9,IF(O29=12,Cargas!W$9,IF(O29=14,Cargas!K$34,IF(O29=16,Cargas!W$34,Cargas!K$62)))),IF(O29=10,Cargas!K$22,IF(O29=12,Cargas!W$22,IF(O29=14,Cargas!K$47,IF(O29=16,Cargas!W$47,Cargas!K$75))))))</f>
        <v>0.53200000000000003</v>
      </c>
      <c r="W29" s="295">
        <f>IF(A29="","",IF($J$3="Entrepiso",IF(O29=10,Cargas!K$13,IF(O29=12,Cargas!W$13,IF(O29=14,Cargas!K$38,IF(O29=16,Cargas!W$38,Cargas!K$66)))),IF(O29=10,Cargas!K$25,IF(O29=12,Cargas!W$25,IF(O29=14,Cargas!K$50,IF(O29=16,Cargas!W$50,Cargas!K$78))))))</f>
        <v>0.1</v>
      </c>
      <c r="X29" s="72"/>
      <c r="Y29" s="295"/>
      <c r="Z29" s="72">
        <f>IF(A29="","",Cargas!C$15*(V29+X29)*COS(U29*3.141592654/180)+Cargas!G$15*W29)</f>
        <v>0.7984</v>
      </c>
      <c r="AA29" s="21">
        <f t="shared" si="5"/>
        <v>0</v>
      </c>
      <c r="AB29" s="21">
        <f t="shared" si="6"/>
        <v>0</v>
      </c>
      <c r="AC29" s="21"/>
      <c r="AD29" s="21" t="str">
        <f t="shared" si="31"/>
        <v>Lt-22</v>
      </c>
      <c r="AE29" s="74">
        <v>0.2</v>
      </c>
      <c r="AF29" s="74">
        <v>0.2</v>
      </c>
      <c r="AG29" s="74">
        <v>0.2</v>
      </c>
      <c r="AH29" s="74">
        <v>0.2</v>
      </c>
      <c r="AI29" s="52">
        <f t="shared" si="17"/>
        <v>4.0000000000000008E-2</v>
      </c>
      <c r="AJ29" s="50">
        <f t="shared" si="36"/>
        <v>0.2</v>
      </c>
      <c r="AK29" s="50">
        <f t="shared" si="37"/>
        <v>0.2</v>
      </c>
      <c r="AL29" s="355">
        <f t="shared" si="34"/>
        <v>8.0000000000000019E-3</v>
      </c>
      <c r="AM29" s="355">
        <f t="shared" si="35"/>
        <v>8.0000000000000019E-3</v>
      </c>
      <c r="AN29" s="51"/>
      <c r="AO29" s="51"/>
      <c r="AP29" s="52" t="str">
        <f t="shared" si="20"/>
        <v>Lt-</v>
      </c>
      <c r="AQ29" s="52">
        <v>0.2</v>
      </c>
      <c r="AR29" s="52">
        <v>0.2</v>
      </c>
      <c r="AS29" s="52">
        <f t="shared" si="9"/>
        <v>0.04</v>
      </c>
      <c r="AT29" s="50"/>
      <c r="AU29" s="50"/>
      <c r="AV29" s="51">
        <f t="shared" si="21"/>
        <v>0</v>
      </c>
      <c r="AW29" s="51">
        <f t="shared" si="22"/>
        <v>0</v>
      </c>
      <c r="AX29" s="45"/>
      <c r="AY29" s="45"/>
    </row>
    <row r="30" spans="1:51" s="1" customFormat="1" ht="21" customHeight="1">
      <c r="A30" s="44">
        <f t="shared" si="10"/>
        <v>23</v>
      </c>
      <c r="B30" s="44" t="str">
        <f t="shared" si="0"/>
        <v>Lt-</v>
      </c>
      <c r="C30" s="86">
        <f t="shared" si="11"/>
        <v>23</v>
      </c>
      <c r="D30" s="20"/>
      <c r="E30" s="20"/>
      <c r="F30" s="69">
        <f t="shared" si="1"/>
        <v>0</v>
      </c>
      <c r="G30" s="68" t="str">
        <f t="shared" si="23"/>
        <v/>
      </c>
      <c r="H30" s="44"/>
      <c r="I30" s="44"/>
      <c r="J30" s="44" t="str">
        <f>+IF(D30=0,"",IF(E30=0,"",H30+I30))</f>
        <v/>
      </c>
      <c r="K30" s="68" t="str">
        <f t="shared" si="26"/>
        <v/>
      </c>
      <c r="L30" s="71" t="str">
        <f t="shared" si="3"/>
        <v/>
      </c>
      <c r="M30" s="71" t="str">
        <f t="shared" si="12"/>
        <v>----</v>
      </c>
      <c r="N30" s="70" t="str">
        <f t="shared" si="13"/>
        <v/>
      </c>
      <c r="O30" s="70" t="str">
        <f t="shared" si="14"/>
        <v/>
      </c>
      <c r="P30" s="73">
        <f>+IF($D$4&gt;=23,23,"")</f>
        <v>23</v>
      </c>
      <c r="Q30" s="44" t="str">
        <f t="shared" si="15"/>
        <v>Lt-</v>
      </c>
      <c r="R30" s="86">
        <f t="shared" si="16"/>
        <v>23</v>
      </c>
      <c r="S30" s="83"/>
      <c r="T30" s="85"/>
      <c r="U30" s="84">
        <f t="shared" si="4"/>
        <v>0</v>
      </c>
      <c r="V30" s="295">
        <f>IF(A30="","",IF($J$3="Entrepiso",IF(O30=10,Cargas!K$9,IF(O30=12,Cargas!W$9,IF(O30=14,Cargas!K$34,IF(O30=16,Cargas!W$34,Cargas!K$62)))),IF(O30=10,Cargas!K$22,IF(O30=12,Cargas!W$22,IF(O30=14,Cargas!K$47,IF(O30=16,Cargas!W$47,Cargas!K$75))))))</f>
        <v>0.53200000000000003</v>
      </c>
      <c r="W30" s="295">
        <f>IF(A30="","",IF($J$3="Entrepiso",IF(O30=10,Cargas!K$13,IF(O30=12,Cargas!W$13,IF(O30=14,Cargas!K$38,IF(O30=16,Cargas!W$38,Cargas!K$66)))),IF(O30=10,Cargas!K$25,IF(O30=12,Cargas!W$25,IF(O30=14,Cargas!K$50,IF(O30=16,Cargas!W$50,Cargas!K$78))))))</f>
        <v>0.1</v>
      </c>
      <c r="X30" s="72"/>
      <c r="Y30" s="295"/>
      <c r="Z30" s="72">
        <f>IF(A30="","",Cargas!C$15*(V30+X30)*COS(U30*3.141592654/180)+Cargas!G$15*W30)</f>
        <v>0.7984</v>
      </c>
      <c r="AA30" s="21">
        <f t="shared" si="5"/>
        <v>0</v>
      </c>
      <c r="AB30" s="21">
        <f t="shared" si="6"/>
        <v>0</v>
      </c>
      <c r="AC30" s="21"/>
      <c r="AD30" s="21" t="str">
        <f t="shared" si="31"/>
        <v>Lt-23</v>
      </c>
      <c r="AE30" s="74">
        <v>0.2</v>
      </c>
      <c r="AF30" s="74">
        <v>0.2</v>
      </c>
      <c r="AG30" s="74">
        <v>0.2</v>
      </c>
      <c r="AH30" s="74">
        <v>0.2</v>
      </c>
      <c r="AI30" s="52">
        <f t="shared" si="17"/>
        <v>4.0000000000000008E-2</v>
      </c>
      <c r="AJ30" s="50">
        <f t="shared" si="36"/>
        <v>0.2</v>
      </c>
      <c r="AK30" s="50">
        <f t="shared" si="37"/>
        <v>0.2</v>
      </c>
      <c r="AL30" s="355">
        <f t="shared" si="34"/>
        <v>8.0000000000000019E-3</v>
      </c>
      <c r="AM30" s="355">
        <f t="shared" si="35"/>
        <v>8.0000000000000019E-3</v>
      </c>
      <c r="AN30" s="51"/>
      <c r="AO30" s="51"/>
      <c r="AP30" s="52" t="str">
        <f t="shared" si="20"/>
        <v>Lt-</v>
      </c>
      <c r="AQ30" s="52">
        <v>0.2</v>
      </c>
      <c r="AR30" s="52">
        <v>0.2</v>
      </c>
      <c r="AS30" s="52">
        <f t="shared" si="9"/>
        <v>0.04</v>
      </c>
      <c r="AT30" s="50"/>
      <c r="AU30" s="50"/>
      <c r="AV30" s="51">
        <f t="shared" si="21"/>
        <v>0</v>
      </c>
      <c r="AW30" s="51">
        <f t="shared" si="22"/>
        <v>0</v>
      </c>
      <c r="AX30" s="45"/>
      <c r="AY30" s="45"/>
    </row>
    <row r="31" spans="1:51" s="1" customFormat="1" ht="21" customHeight="1">
      <c r="A31" s="44">
        <f t="shared" si="10"/>
        <v>24</v>
      </c>
      <c r="B31" s="44" t="str">
        <f t="shared" si="0"/>
        <v>Lt-</v>
      </c>
      <c r="C31" s="86">
        <f t="shared" si="11"/>
        <v>24</v>
      </c>
      <c r="D31" s="20"/>
      <c r="E31" s="20"/>
      <c r="F31" s="69">
        <f t="shared" si="1"/>
        <v>0</v>
      </c>
      <c r="G31" s="68" t="str">
        <f t="shared" si="23"/>
        <v/>
      </c>
      <c r="H31" s="44"/>
      <c r="I31" s="44"/>
      <c r="J31" s="44" t="str">
        <f>+IF(D31=0,"",IF(E31=0,"",H31+I31))</f>
        <v/>
      </c>
      <c r="K31" s="68" t="str">
        <f t="shared" si="26"/>
        <v/>
      </c>
      <c r="L31" s="71" t="str">
        <f t="shared" si="3"/>
        <v/>
      </c>
      <c r="M31" s="71" t="str">
        <f t="shared" si="12"/>
        <v>----</v>
      </c>
      <c r="N31" s="70" t="str">
        <f t="shared" si="13"/>
        <v/>
      </c>
      <c r="O31" s="70" t="str">
        <f t="shared" si="14"/>
        <v/>
      </c>
      <c r="P31" s="73">
        <f>+IF($D$4&gt;=24,24,"")</f>
        <v>24</v>
      </c>
      <c r="Q31" s="44" t="str">
        <f t="shared" si="15"/>
        <v>Lt-</v>
      </c>
      <c r="R31" s="86">
        <f t="shared" si="16"/>
        <v>24</v>
      </c>
      <c r="S31" s="83"/>
      <c r="T31" s="85"/>
      <c r="U31" s="84">
        <f t="shared" si="4"/>
        <v>0</v>
      </c>
      <c r="V31" s="295">
        <f>IF(A31="","",IF($J$3="Entrepiso",IF(O31=10,Cargas!K$9,IF(O31=12,Cargas!W$9,IF(O31=14,Cargas!K$34,IF(O31=16,Cargas!W$34,Cargas!K$62)))),IF(O31=10,Cargas!K$22,IF(O31=12,Cargas!W$22,IF(O31=14,Cargas!K$47,IF(O31=16,Cargas!W$47,Cargas!K$75))))))</f>
        <v>0.53200000000000003</v>
      </c>
      <c r="W31" s="295">
        <f>IF(A31="","",IF($J$3="Entrepiso",IF(O31=10,Cargas!K$13,IF(O31=12,Cargas!W$13,IF(O31=14,Cargas!K$38,IF(O31=16,Cargas!W$38,Cargas!K$66)))),IF(O31=10,Cargas!K$25,IF(O31=12,Cargas!W$25,IF(O31=14,Cargas!K$50,IF(O31=16,Cargas!W$50,Cargas!K$78))))))</f>
        <v>0.1</v>
      </c>
      <c r="X31" s="72"/>
      <c r="Y31" s="295"/>
      <c r="Z31" s="72">
        <f>IF(A31="","",Cargas!C$15*(V31+X31)*COS(U31*3.141592654/180)+Cargas!G$15*W31)</f>
        <v>0.7984</v>
      </c>
      <c r="AA31" s="21">
        <f t="shared" si="5"/>
        <v>0</v>
      </c>
      <c r="AB31" s="21">
        <f t="shared" si="6"/>
        <v>0</v>
      </c>
      <c r="AC31" s="21"/>
      <c r="AD31" s="21" t="str">
        <f t="shared" si="31"/>
        <v>Lt-24</v>
      </c>
      <c r="AE31" s="74">
        <v>0.2</v>
      </c>
      <c r="AF31" s="74">
        <v>0.2</v>
      </c>
      <c r="AG31" s="74">
        <v>0.2</v>
      </c>
      <c r="AH31" s="74">
        <v>0.2</v>
      </c>
      <c r="AI31" s="52">
        <f t="shared" si="17"/>
        <v>4.0000000000000008E-2</v>
      </c>
      <c r="AJ31" s="50">
        <f t="shared" si="36"/>
        <v>0.2</v>
      </c>
      <c r="AK31" s="50">
        <f t="shared" si="37"/>
        <v>0.2</v>
      </c>
      <c r="AL31" s="355">
        <f t="shared" si="34"/>
        <v>8.0000000000000019E-3</v>
      </c>
      <c r="AM31" s="355">
        <f t="shared" si="35"/>
        <v>8.0000000000000019E-3</v>
      </c>
      <c r="AN31" s="51"/>
      <c r="AO31" s="51"/>
      <c r="AP31" s="52" t="str">
        <f t="shared" si="20"/>
        <v>Lt-</v>
      </c>
      <c r="AQ31" s="52">
        <v>0.2</v>
      </c>
      <c r="AR31" s="52">
        <v>0.2</v>
      </c>
      <c r="AS31" s="52">
        <f t="shared" si="9"/>
        <v>0.04</v>
      </c>
      <c r="AT31" s="50"/>
      <c r="AU31" s="50"/>
      <c r="AV31" s="51">
        <f t="shared" si="21"/>
        <v>0</v>
      </c>
      <c r="AW31" s="51">
        <f t="shared" si="22"/>
        <v>0</v>
      </c>
      <c r="AX31" s="45"/>
      <c r="AY31" s="45"/>
    </row>
    <row r="32" spans="1:51" s="1" customFormat="1" ht="21" customHeight="1">
      <c r="A32" s="44">
        <f t="shared" si="10"/>
        <v>25</v>
      </c>
      <c r="B32" s="44" t="str">
        <f t="shared" si="0"/>
        <v>Lt-</v>
      </c>
      <c r="C32" s="86">
        <f t="shared" si="11"/>
        <v>25</v>
      </c>
      <c r="D32" s="20"/>
      <c r="E32" s="20"/>
      <c r="F32" s="69">
        <f t="shared" si="1"/>
        <v>0</v>
      </c>
      <c r="G32" s="68" t="str">
        <f t="shared" si="23"/>
        <v/>
      </c>
      <c r="H32" s="44"/>
      <c r="I32" s="44"/>
      <c r="J32" s="44" t="str">
        <f t="shared" ref="J32:J37" si="38">+IF(D32=0,"",IF(E32=0,"",H32+I32))</f>
        <v/>
      </c>
      <c r="K32" s="68" t="str">
        <f t="shared" si="26"/>
        <v/>
      </c>
      <c r="L32" s="71" t="str">
        <f t="shared" si="3"/>
        <v/>
      </c>
      <c r="M32" s="71" t="str">
        <f t="shared" si="12"/>
        <v>----</v>
      </c>
      <c r="N32" s="70" t="str">
        <f t="shared" si="13"/>
        <v/>
      </c>
      <c r="O32" s="70" t="str">
        <f t="shared" si="14"/>
        <v/>
      </c>
      <c r="P32" s="73">
        <f>+IF($D$4&gt;=25,25,"")</f>
        <v>25</v>
      </c>
      <c r="Q32" s="44" t="str">
        <f t="shared" si="15"/>
        <v>Lt-</v>
      </c>
      <c r="R32" s="86">
        <f t="shared" si="16"/>
        <v>25</v>
      </c>
      <c r="S32" s="83"/>
      <c r="T32" s="85"/>
      <c r="U32" s="84">
        <f t="shared" si="4"/>
        <v>0</v>
      </c>
      <c r="V32" s="295">
        <f>IF(A32="","",IF($J$3="Entrepiso",IF(O32=10,Cargas!K$9,IF(O32=12,Cargas!W$9,IF(O32=14,Cargas!K$34,IF(O32=16,Cargas!W$34,Cargas!K$62)))),IF(O32=10,Cargas!K$22,IF(O32=12,Cargas!W$22,IF(O32=14,Cargas!K$47,IF(O32=16,Cargas!W$47,Cargas!K$75))))))</f>
        <v>0.53200000000000003</v>
      </c>
      <c r="W32" s="295">
        <f>IF(A32="","",IF($J$3="Entrepiso",IF(O32=10,Cargas!K$13,IF(O32=12,Cargas!W$13,IF(O32=14,Cargas!K$38,IF(O32=16,Cargas!W$38,Cargas!K$66)))),IF(O32=10,Cargas!K$25,IF(O32=12,Cargas!W$25,IF(O32=14,Cargas!K$50,IF(O32=16,Cargas!W$50,Cargas!K$78))))))</f>
        <v>0.1</v>
      </c>
      <c r="X32" s="72"/>
      <c r="Y32" s="295"/>
      <c r="Z32" s="72">
        <f>IF(A32="","",Cargas!C$15*(V32+X32)*COS(U32*3.141592654/180)+Cargas!G$15*W32)</f>
        <v>0.7984</v>
      </c>
      <c r="AA32" s="21">
        <f t="shared" si="5"/>
        <v>0</v>
      </c>
      <c r="AB32" s="21">
        <f t="shared" si="6"/>
        <v>0</v>
      </c>
      <c r="AC32" s="21"/>
      <c r="AD32" s="21" t="str">
        <f t="shared" si="31"/>
        <v>Lt-25</v>
      </c>
      <c r="AE32" s="74">
        <v>0.2</v>
      </c>
      <c r="AF32" s="74">
        <v>0.2</v>
      </c>
      <c r="AG32" s="74">
        <v>0.2</v>
      </c>
      <c r="AH32" s="74">
        <v>0.2</v>
      </c>
      <c r="AI32" s="52">
        <f t="shared" si="17"/>
        <v>4.0000000000000008E-2</v>
      </c>
      <c r="AJ32" s="50">
        <f t="shared" si="36"/>
        <v>0.2</v>
      </c>
      <c r="AK32" s="50">
        <f t="shared" si="37"/>
        <v>0.2</v>
      </c>
      <c r="AL32" s="355">
        <f t="shared" si="34"/>
        <v>8.0000000000000019E-3</v>
      </c>
      <c r="AM32" s="355">
        <f t="shared" si="35"/>
        <v>8.0000000000000019E-3</v>
      </c>
      <c r="AN32" s="51"/>
      <c r="AO32" s="51"/>
      <c r="AP32" s="52" t="str">
        <f t="shared" si="20"/>
        <v>Lt-</v>
      </c>
      <c r="AQ32" s="52">
        <v>0.2</v>
      </c>
      <c r="AR32" s="52">
        <v>0.2</v>
      </c>
      <c r="AS32" s="52">
        <f t="shared" si="9"/>
        <v>0.04</v>
      </c>
      <c r="AT32" s="50"/>
      <c r="AU32" s="50"/>
      <c r="AV32" s="51">
        <f t="shared" si="21"/>
        <v>0</v>
      </c>
      <c r="AW32" s="51">
        <f t="shared" si="22"/>
        <v>0</v>
      </c>
      <c r="AX32" s="45"/>
      <c r="AY32" s="45"/>
    </row>
    <row r="33" spans="1:51" s="1" customFormat="1" ht="21" customHeight="1">
      <c r="A33" s="44">
        <f t="shared" si="10"/>
        <v>26</v>
      </c>
      <c r="B33" s="44" t="str">
        <f t="shared" si="0"/>
        <v>Lt-</v>
      </c>
      <c r="C33" s="86">
        <f t="shared" si="11"/>
        <v>26</v>
      </c>
      <c r="D33" s="20"/>
      <c r="E33" s="20"/>
      <c r="F33" s="69">
        <f t="shared" si="1"/>
        <v>0</v>
      </c>
      <c r="G33" s="68" t="str">
        <f t="shared" si="23"/>
        <v/>
      </c>
      <c r="H33" s="44"/>
      <c r="I33" s="44"/>
      <c r="J33" s="44" t="str">
        <f t="shared" si="38"/>
        <v/>
      </c>
      <c r="K33" s="68" t="str">
        <f t="shared" si="26"/>
        <v/>
      </c>
      <c r="L33" s="71" t="str">
        <f t="shared" si="3"/>
        <v/>
      </c>
      <c r="M33" s="71" t="str">
        <f t="shared" si="12"/>
        <v>----</v>
      </c>
      <c r="N33" s="70" t="str">
        <f t="shared" si="13"/>
        <v/>
      </c>
      <c r="O33" s="70" t="str">
        <f t="shared" si="14"/>
        <v/>
      </c>
      <c r="P33" s="73">
        <f>+IF($D$4&gt;=26,26,"")</f>
        <v>26</v>
      </c>
      <c r="Q33" s="44" t="str">
        <f t="shared" si="15"/>
        <v>Lt-</v>
      </c>
      <c r="R33" s="86">
        <f t="shared" si="16"/>
        <v>26</v>
      </c>
      <c r="S33" s="83"/>
      <c r="T33" s="85"/>
      <c r="U33" s="84">
        <f t="shared" si="4"/>
        <v>0</v>
      </c>
      <c r="V33" s="295">
        <f>IF(A33="","",IF($J$3="Entrepiso",IF(O33=10,Cargas!K$9,IF(O33=12,Cargas!W$9,IF(O33=14,Cargas!K$34,IF(O33=16,Cargas!W$34,Cargas!K$62)))),IF(O33=10,Cargas!K$22,IF(O33=12,Cargas!W$22,IF(O33=14,Cargas!K$47,IF(O33=16,Cargas!W$47,Cargas!K$75))))))</f>
        <v>0.53200000000000003</v>
      </c>
      <c r="W33" s="295">
        <f>IF(A33="","",IF($J$3="Entrepiso",IF(O33=10,Cargas!K$13,IF(O33=12,Cargas!W$13,IF(O33=14,Cargas!K$38,IF(O33=16,Cargas!W$38,Cargas!K$66)))),IF(O33=10,Cargas!K$25,IF(O33=12,Cargas!W$25,IF(O33=14,Cargas!K$50,IF(O33=16,Cargas!W$50,Cargas!K$78))))))</f>
        <v>0.1</v>
      </c>
      <c r="X33" s="72"/>
      <c r="Y33" s="295"/>
      <c r="Z33" s="72">
        <f>IF(A33="","",Cargas!C$15*(V33+X33)*COS(U33*3.141592654/180)+Cargas!G$15*W33)</f>
        <v>0.7984</v>
      </c>
      <c r="AA33" s="21">
        <f t="shared" si="5"/>
        <v>0</v>
      </c>
      <c r="AB33" s="21">
        <f t="shared" si="6"/>
        <v>0</v>
      </c>
      <c r="AC33" s="21"/>
      <c r="AD33" s="21" t="str">
        <f t="shared" si="31"/>
        <v>Lt-26</v>
      </c>
      <c r="AE33" s="74">
        <v>0.2</v>
      </c>
      <c r="AF33" s="74">
        <v>0.2</v>
      </c>
      <c r="AG33" s="74">
        <v>0.2</v>
      </c>
      <c r="AH33" s="74">
        <v>0.2</v>
      </c>
      <c r="AI33" s="52">
        <f t="shared" si="17"/>
        <v>4.0000000000000008E-2</v>
      </c>
      <c r="AJ33" s="50">
        <f t="shared" si="36"/>
        <v>0.2</v>
      </c>
      <c r="AK33" s="50">
        <f t="shared" si="37"/>
        <v>0.2</v>
      </c>
      <c r="AL33" s="355">
        <f t="shared" si="34"/>
        <v>8.0000000000000019E-3</v>
      </c>
      <c r="AM33" s="355">
        <f t="shared" si="35"/>
        <v>8.0000000000000019E-3</v>
      </c>
      <c r="AN33" s="51"/>
      <c r="AO33" s="51"/>
      <c r="AP33" s="52" t="str">
        <f t="shared" si="20"/>
        <v>Lt-</v>
      </c>
      <c r="AQ33" s="52">
        <v>0.2</v>
      </c>
      <c r="AR33" s="52">
        <v>0.2</v>
      </c>
      <c r="AS33" s="52">
        <f t="shared" si="9"/>
        <v>0.04</v>
      </c>
      <c r="AT33" s="50"/>
      <c r="AU33" s="50"/>
      <c r="AV33" s="51">
        <f t="shared" si="21"/>
        <v>0</v>
      </c>
      <c r="AW33" s="51">
        <f t="shared" si="22"/>
        <v>0</v>
      </c>
      <c r="AX33" s="45"/>
      <c r="AY33" s="45"/>
    </row>
    <row r="34" spans="1:51" s="1" customFormat="1" ht="21" customHeight="1">
      <c r="A34" s="44">
        <f t="shared" si="10"/>
        <v>27</v>
      </c>
      <c r="B34" s="44" t="str">
        <f t="shared" si="0"/>
        <v>Lt-</v>
      </c>
      <c r="C34" s="86">
        <f t="shared" si="11"/>
        <v>27</v>
      </c>
      <c r="D34" s="20"/>
      <c r="E34" s="20"/>
      <c r="F34" s="69">
        <f t="shared" si="1"/>
        <v>0</v>
      </c>
      <c r="G34" s="68" t="str">
        <f t="shared" si="23"/>
        <v/>
      </c>
      <c r="H34" s="44"/>
      <c r="I34" s="44"/>
      <c r="J34" s="44" t="str">
        <f t="shared" si="38"/>
        <v/>
      </c>
      <c r="K34" s="68" t="str">
        <f t="shared" si="26"/>
        <v/>
      </c>
      <c r="L34" s="71" t="str">
        <f t="shared" si="3"/>
        <v/>
      </c>
      <c r="M34" s="71" t="str">
        <f t="shared" si="12"/>
        <v>----</v>
      </c>
      <c r="N34" s="70" t="str">
        <f t="shared" si="13"/>
        <v/>
      </c>
      <c r="O34" s="70" t="str">
        <f>IF(N34&lt;=12,12,IF(N34&lt;=14,14,IF(N34&lt;=15,15,IF(N34&lt;=16,16,N34))))</f>
        <v/>
      </c>
      <c r="P34" s="73">
        <f>+IF($D$4&gt;=27,27,"")</f>
        <v>27</v>
      </c>
      <c r="Q34" s="44" t="str">
        <f t="shared" si="15"/>
        <v>Lt-</v>
      </c>
      <c r="R34" s="86">
        <f t="shared" si="16"/>
        <v>27</v>
      </c>
      <c r="S34" s="83"/>
      <c r="T34" s="85"/>
      <c r="U34" s="84">
        <f t="shared" si="4"/>
        <v>0</v>
      </c>
      <c r="V34" s="295">
        <f>IF(A34="","",IF($J$3="Entrepiso",IF(O34=10,Cargas!K$9,IF(O34=12,Cargas!W$9,IF(O34=14,Cargas!K$34,IF(O34=16,Cargas!W$34,Cargas!K$62)))),IF(O34=10,Cargas!K$22,IF(O34=12,Cargas!W$22,IF(O34=14,Cargas!K$47,IF(O34=16,Cargas!W$47,Cargas!K$75))))))</f>
        <v>0.53200000000000003</v>
      </c>
      <c r="W34" s="295">
        <f>IF(A34="","",IF($J$3="Entrepiso",IF(O34=10,Cargas!K$13,IF(O34=12,Cargas!W$13,IF(O34=14,Cargas!K$38,IF(O34=16,Cargas!W$38,Cargas!K$66)))),IF(O34=10,Cargas!K$25,IF(O34=12,Cargas!W$25,IF(O34=14,Cargas!K$50,IF(O34=16,Cargas!W$50,Cargas!K$78))))))</f>
        <v>0.1</v>
      </c>
      <c r="X34" s="72"/>
      <c r="Y34" s="295"/>
      <c r="Z34" s="72">
        <f>IF(A34="","",Cargas!C$15*(V34+X34)*COS(U34*3.141592654/180)+Cargas!G$15*W34)</f>
        <v>0.7984</v>
      </c>
      <c r="AA34" s="21">
        <f t="shared" si="5"/>
        <v>0</v>
      </c>
      <c r="AB34" s="21">
        <f t="shared" si="6"/>
        <v>0</v>
      </c>
      <c r="AC34" s="21"/>
      <c r="AD34" s="21" t="str">
        <f t="shared" si="31"/>
        <v>Lt-27</v>
      </c>
      <c r="AE34" s="74">
        <v>0.2</v>
      </c>
      <c r="AF34" s="74">
        <v>0.2</v>
      </c>
      <c r="AG34" s="74">
        <v>0.2</v>
      </c>
      <c r="AH34" s="74">
        <v>0.2</v>
      </c>
      <c r="AI34" s="52">
        <f t="shared" si="17"/>
        <v>4.0000000000000008E-2</v>
      </c>
      <c r="AJ34" s="50">
        <f t="shared" si="36"/>
        <v>0.2</v>
      </c>
      <c r="AK34" s="50">
        <f t="shared" si="37"/>
        <v>0.2</v>
      </c>
      <c r="AL34" s="355">
        <f t="shared" si="34"/>
        <v>8.0000000000000019E-3</v>
      </c>
      <c r="AM34" s="355">
        <f t="shared" si="35"/>
        <v>8.0000000000000019E-3</v>
      </c>
      <c r="AN34" s="51"/>
      <c r="AO34" s="51"/>
      <c r="AP34" s="52" t="str">
        <f t="shared" si="20"/>
        <v>Lt-</v>
      </c>
      <c r="AQ34" s="52">
        <v>0.2</v>
      </c>
      <c r="AR34" s="52">
        <v>0.2</v>
      </c>
      <c r="AS34" s="52">
        <f t="shared" si="9"/>
        <v>0.04</v>
      </c>
      <c r="AT34" s="50"/>
      <c r="AU34" s="50"/>
      <c r="AV34" s="51">
        <f t="shared" si="21"/>
        <v>0</v>
      </c>
      <c r="AW34" s="51">
        <f t="shared" si="22"/>
        <v>0</v>
      </c>
      <c r="AX34" s="45"/>
      <c r="AY34" s="45"/>
    </row>
    <row r="35" spans="1:51" s="1" customFormat="1" ht="21" customHeight="1">
      <c r="A35" s="44">
        <f t="shared" si="10"/>
        <v>28</v>
      </c>
      <c r="B35" s="44" t="str">
        <f t="shared" si="0"/>
        <v>Lt-</v>
      </c>
      <c r="C35" s="86">
        <f t="shared" si="11"/>
        <v>28</v>
      </c>
      <c r="D35" s="20"/>
      <c r="E35" s="20"/>
      <c r="F35" s="69">
        <f t="shared" si="1"/>
        <v>0</v>
      </c>
      <c r="G35" s="68" t="str">
        <f t="shared" si="23"/>
        <v/>
      </c>
      <c r="H35" s="44"/>
      <c r="I35" s="44"/>
      <c r="J35" s="44" t="str">
        <f t="shared" si="38"/>
        <v/>
      </c>
      <c r="K35" s="68" t="str">
        <f t="shared" si="26"/>
        <v/>
      </c>
      <c r="L35" s="71" t="str">
        <f t="shared" si="3"/>
        <v/>
      </c>
      <c r="M35" s="71" t="str">
        <f t="shared" si="12"/>
        <v>----</v>
      </c>
      <c r="N35" s="70" t="str">
        <f t="shared" si="13"/>
        <v/>
      </c>
      <c r="O35" s="70" t="str">
        <f t="shared" si="14"/>
        <v/>
      </c>
      <c r="P35" s="73">
        <f>+IF($D$4&gt;=28,28,"")</f>
        <v>28</v>
      </c>
      <c r="Q35" s="44" t="str">
        <f t="shared" si="15"/>
        <v>Lt-</v>
      </c>
      <c r="R35" s="86">
        <f t="shared" si="16"/>
        <v>28</v>
      </c>
      <c r="S35" s="83"/>
      <c r="T35" s="85"/>
      <c r="U35" s="84">
        <f t="shared" si="4"/>
        <v>0</v>
      </c>
      <c r="V35" s="295">
        <f>IF(A35="","",IF($J$3="Entrepiso",IF(O35=10,Cargas!K$9,IF(O35=12,Cargas!W$9,IF(O35=14,Cargas!K$34,IF(O35=16,Cargas!W$34,Cargas!K$62)))),IF(O35=10,Cargas!K$22,IF(O35=12,Cargas!W$22,IF(O35=14,Cargas!K$47,IF(O35=16,Cargas!W$47,Cargas!K$75))))))</f>
        <v>0.53200000000000003</v>
      </c>
      <c r="W35" s="295">
        <f>IF(A35="","",IF($J$3="Entrepiso",IF(O35=10,Cargas!K$13,IF(O35=12,Cargas!W$13,IF(O35=14,Cargas!K$38,IF(O35=16,Cargas!W$38,Cargas!K$66)))),IF(O35=10,Cargas!K$25,IF(O35=12,Cargas!W$25,IF(O35=14,Cargas!K$50,IF(O35=16,Cargas!W$50,Cargas!K$78))))))</f>
        <v>0.1</v>
      </c>
      <c r="X35" s="72"/>
      <c r="Y35" s="295"/>
      <c r="Z35" s="72">
        <f>IF(A35="","",Cargas!C$15*(V35+X35)*COS(U35*3.141592654/180)+Cargas!G$15*W35)</f>
        <v>0.7984</v>
      </c>
      <c r="AA35" s="21">
        <f t="shared" si="5"/>
        <v>0</v>
      </c>
      <c r="AB35" s="21">
        <f t="shared" si="6"/>
        <v>0</v>
      </c>
      <c r="AC35" s="21"/>
      <c r="AD35" s="21" t="str">
        <f t="shared" si="31"/>
        <v>Lt-28</v>
      </c>
      <c r="AE35" s="74">
        <v>0.2</v>
      </c>
      <c r="AF35" s="74">
        <v>0.2</v>
      </c>
      <c r="AG35" s="74">
        <v>0.2</v>
      </c>
      <c r="AH35" s="74">
        <v>0.2</v>
      </c>
      <c r="AI35" s="52">
        <f t="shared" si="17"/>
        <v>4.0000000000000008E-2</v>
      </c>
      <c r="AJ35" s="50">
        <f t="shared" si="36"/>
        <v>0.2</v>
      </c>
      <c r="AK35" s="50">
        <f t="shared" si="37"/>
        <v>0.2</v>
      </c>
      <c r="AL35" s="355">
        <f t="shared" si="34"/>
        <v>8.0000000000000019E-3</v>
      </c>
      <c r="AM35" s="355">
        <f t="shared" si="35"/>
        <v>8.0000000000000019E-3</v>
      </c>
      <c r="AN35" s="51"/>
      <c r="AO35" s="51"/>
      <c r="AP35" s="52" t="str">
        <f t="shared" si="20"/>
        <v>Lt-</v>
      </c>
      <c r="AQ35" s="52">
        <v>0.2</v>
      </c>
      <c r="AR35" s="52">
        <v>0.2</v>
      </c>
      <c r="AS35" s="52">
        <f t="shared" si="9"/>
        <v>0.04</v>
      </c>
      <c r="AT35" s="50"/>
      <c r="AU35" s="50"/>
      <c r="AV35" s="51">
        <f>ROUNDUP(AS35*AT35,2)</f>
        <v>0</v>
      </c>
      <c r="AW35" s="51">
        <f t="shared" si="22"/>
        <v>0</v>
      </c>
      <c r="AX35" s="45"/>
      <c r="AY35" s="45"/>
    </row>
    <row r="36" spans="1:51" s="1" customFormat="1" ht="21" customHeight="1">
      <c r="A36" s="44">
        <f t="shared" si="10"/>
        <v>29</v>
      </c>
      <c r="B36" s="44" t="str">
        <f t="shared" si="0"/>
        <v>Lt-</v>
      </c>
      <c r="C36" s="86">
        <f t="shared" si="11"/>
        <v>29</v>
      </c>
      <c r="D36" s="20"/>
      <c r="E36" s="20"/>
      <c r="F36" s="69">
        <f t="shared" si="1"/>
        <v>0</v>
      </c>
      <c r="G36" s="68" t="str">
        <f t="shared" si="23"/>
        <v/>
      </c>
      <c r="H36" s="44"/>
      <c r="I36" s="44"/>
      <c r="J36" s="44" t="str">
        <f t="shared" si="38"/>
        <v/>
      </c>
      <c r="K36" s="68" t="str">
        <f t="shared" si="26"/>
        <v/>
      </c>
      <c r="L36" s="71" t="str">
        <f t="shared" si="3"/>
        <v/>
      </c>
      <c r="M36" s="71" t="str">
        <f t="shared" si="12"/>
        <v>----</v>
      </c>
      <c r="N36" s="70" t="str">
        <f t="shared" si="13"/>
        <v/>
      </c>
      <c r="O36" s="70" t="str">
        <f t="shared" si="14"/>
        <v/>
      </c>
      <c r="P36" s="73">
        <f>+IF($D$4&gt;=29,29,"")</f>
        <v>29</v>
      </c>
      <c r="Q36" s="44" t="str">
        <f t="shared" si="15"/>
        <v>Lt-</v>
      </c>
      <c r="R36" s="86">
        <f t="shared" si="16"/>
        <v>29</v>
      </c>
      <c r="S36" s="83"/>
      <c r="T36" s="85"/>
      <c r="U36" s="84">
        <f t="shared" si="4"/>
        <v>0</v>
      </c>
      <c r="V36" s="295">
        <f>IF(A36="","",IF($J$3="Entrepiso",IF(O36=10,Cargas!K$9,IF(O36=12,Cargas!W$9,IF(O36=14,Cargas!K$34,IF(O36=16,Cargas!W$34,Cargas!K$62)))),IF(O36=10,Cargas!K$22,IF(O36=12,Cargas!W$22,IF(O36=14,Cargas!K$47,IF(O36=16,Cargas!W$47,Cargas!K$75))))))</f>
        <v>0.53200000000000003</v>
      </c>
      <c r="W36" s="295">
        <f>IF(A36="","",IF($J$3="Entrepiso",IF(O36=10,Cargas!K$13,IF(O36=12,Cargas!W$13,IF(O36=14,Cargas!K$38,IF(O36=16,Cargas!W$38,Cargas!K$66)))),IF(O36=10,Cargas!K$25,IF(O36=12,Cargas!W$25,IF(O36=14,Cargas!K$50,IF(O36=16,Cargas!W$50,Cargas!K$78))))))</f>
        <v>0.1</v>
      </c>
      <c r="X36" s="72"/>
      <c r="Y36" s="295"/>
      <c r="Z36" s="72">
        <f>IF(A36="","",Cargas!C$15*(V36+X36)*COS(U36*3.141592654/180)+Cargas!G$15*W36)</f>
        <v>0.7984</v>
      </c>
      <c r="AA36" s="21">
        <f t="shared" si="5"/>
        <v>0</v>
      </c>
      <c r="AB36" s="21">
        <f t="shared" si="6"/>
        <v>0</v>
      </c>
      <c r="AC36" s="21"/>
      <c r="AD36" s="21" t="str">
        <f t="shared" si="31"/>
        <v>Lt-29</v>
      </c>
      <c r="AE36" s="74">
        <v>0.2</v>
      </c>
      <c r="AF36" s="74">
        <v>0.2</v>
      </c>
      <c r="AG36" s="74">
        <v>0.2</v>
      </c>
      <c r="AH36" s="74">
        <v>0.2</v>
      </c>
      <c r="AI36" s="52">
        <f t="shared" si="17"/>
        <v>4.0000000000000008E-2</v>
      </c>
      <c r="AJ36" s="50">
        <f t="shared" si="36"/>
        <v>0.2</v>
      </c>
      <c r="AK36" s="50">
        <f t="shared" si="37"/>
        <v>0.2</v>
      </c>
      <c r="AL36" s="355">
        <f t="shared" ref="AL36:AL41" si="39">IF(AI36="","",AI36*AJ36)</f>
        <v>8.0000000000000019E-3</v>
      </c>
      <c r="AM36" s="355">
        <f t="shared" ref="AM36:AM41" si="40">IF(AI36="","",AI36*AK36)</f>
        <v>8.0000000000000019E-3</v>
      </c>
      <c r="AN36" s="51"/>
      <c r="AO36" s="51"/>
      <c r="AP36" s="52" t="str">
        <f t="shared" si="20"/>
        <v>Lt-</v>
      </c>
      <c r="AQ36" s="52">
        <v>0.2</v>
      </c>
      <c r="AR36" s="52">
        <v>0.2</v>
      </c>
      <c r="AS36" s="52">
        <f t="shared" si="9"/>
        <v>0.04</v>
      </c>
      <c r="AT36" s="50"/>
      <c r="AU36" s="50"/>
      <c r="AV36" s="51">
        <f t="shared" si="21"/>
        <v>0</v>
      </c>
      <c r="AW36" s="51">
        <f t="shared" si="22"/>
        <v>0</v>
      </c>
      <c r="AX36" s="45"/>
      <c r="AY36" s="45"/>
    </row>
    <row r="37" spans="1:51" s="1" customFormat="1" ht="21" customHeight="1">
      <c r="A37" s="44">
        <f t="shared" si="10"/>
        <v>30</v>
      </c>
      <c r="B37" s="44" t="str">
        <f t="shared" si="0"/>
        <v>Lt-</v>
      </c>
      <c r="C37" s="86">
        <f t="shared" si="11"/>
        <v>30</v>
      </c>
      <c r="D37" s="20"/>
      <c r="E37" s="20"/>
      <c r="F37" s="69">
        <f t="shared" si="1"/>
        <v>0</v>
      </c>
      <c r="G37" s="68" t="str">
        <f t="shared" si="23"/>
        <v/>
      </c>
      <c r="H37" s="44"/>
      <c r="I37" s="44"/>
      <c r="J37" s="44" t="str">
        <f t="shared" si="38"/>
        <v/>
      </c>
      <c r="K37" s="68" t="str">
        <f t="shared" si="26"/>
        <v/>
      </c>
      <c r="L37" s="71" t="str">
        <f t="shared" si="3"/>
        <v/>
      </c>
      <c r="M37" s="71" t="str">
        <f t="shared" si="12"/>
        <v>----</v>
      </c>
      <c r="N37" s="70" t="str">
        <f t="shared" si="13"/>
        <v/>
      </c>
      <c r="O37" s="70" t="str">
        <f t="shared" si="14"/>
        <v/>
      </c>
      <c r="P37" s="73">
        <f>+IF($D$4&gt;=30,30,"")</f>
        <v>30</v>
      </c>
      <c r="Q37" s="44" t="str">
        <f t="shared" si="15"/>
        <v>Lt-</v>
      </c>
      <c r="R37" s="86">
        <f t="shared" si="16"/>
        <v>30</v>
      </c>
      <c r="S37" s="83"/>
      <c r="T37" s="85"/>
      <c r="U37" s="84">
        <f t="shared" si="4"/>
        <v>0</v>
      </c>
      <c r="V37" s="295">
        <f>IF(A37="","",IF($J$3="Entrepiso",IF(O37=10,Cargas!K$9,IF(O37=12,Cargas!W$9,IF(O37=14,Cargas!K$34,IF(O37=16,Cargas!W$34,Cargas!K$62)))),IF(O37=10,Cargas!K$22,IF(O37=12,Cargas!W$22,IF(O37=14,Cargas!K$47,IF(O37=16,Cargas!W$47,Cargas!K$75))))))</f>
        <v>0.53200000000000003</v>
      </c>
      <c r="W37" s="295">
        <f>IF(A37="","",IF($J$3="Entrepiso",IF(O37=10,Cargas!K$13,IF(O37=12,Cargas!W$13,IF(O37=14,Cargas!K$38,IF(O37=16,Cargas!W$38,Cargas!K$66)))),IF(O37=10,Cargas!K$25,IF(O37=12,Cargas!W$25,IF(O37=14,Cargas!K$50,IF(O37=16,Cargas!W$50,Cargas!K$78))))))</f>
        <v>0.1</v>
      </c>
      <c r="X37" s="72"/>
      <c r="Y37" s="295"/>
      <c r="Z37" s="72">
        <f>IF(A37="","",Cargas!C$15*(V37+X37)*COS(U37*3.141592654/180)+Cargas!G$15*W37)</f>
        <v>0.7984</v>
      </c>
      <c r="AA37" s="21">
        <f t="shared" si="5"/>
        <v>0</v>
      </c>
      <c r="AB37" s="21">
        <f t="shared" si="6"/>
        <v>0</v>
      </c>
      <c r="AC37" s="21"/>
      <c r="AD37" s="21" t="str">
        <f t="shared" si="31"/>
        <v>Lt-30</v>
      </c>
      <c r="AE37" s="74">
        <v>0.2</v>
      </c>
      <c r="AF37" s="74">
        <v>0.2</v>
      </c>
      <c r="AG37" s="74">
        <v>0.2</v>
      </c>
      <c r="AH37" s="74">
        <v>0.2</v>
      </c>
      <c r="AI37" s="52">
        <f t="shared" si="17"/>
        <v>4.0000000000000008E-2</v>
      </c>
      <c r="AJ37" s="50">
        <f t="shared" si="36"/>
        <v>0.2</v>
      </c>
      <c r="AK37" s="50">
        <f t="shared" si="37"/>
        <v>0.2</v>
      </c>
      <c r="AL37" s="355">
        <f t="shared" si="39"/>
        <v>8.0000000000000019E-3</v>
      </c>
      <c r="AM37" s="355">
        <f t="shared" si="40"/>
        <v>8.0000000000000019E-3</v>
      </c>
      <c r="AN37" s="51"/>
      <c r="AO37" s="51"/>
      <c r="AP37" s="52" t="str">
        <f t="shared" si="20"/>
        <v>Lt-</v>
      </c>
      <c r="AQ37" s="52">
        <v>0.2</v>
      </c>
      <c r="AR37" s="52">
        <v>0.2</v>
      </c>
      <c r="AS37" s="52">
        <f t="shared" si="9"/>
        <v>0.04</v>
      </c>
      <c r="AT37" s="50"/>
      <c r="AU37" s="50"/>
      <c r="AV37" s="51">
        <f t="shared" si="21"/>
        <v>0</v>
      </c>
      <c r="AW37" s="51">
        <f t="shared" si="22"/>
        <v>0</v>
      </c>
      <c r="AX37" s="45"/>
      <c r="AY37" s="45"/>
    </row>
    <row r="38" spans="1:51" s="1" customFormat="1" ht="21" customHeight="1">
      <c r="A38" s="44">
        <f t="shared" si="10"/>
        <v>31</v>
      </c>
      <c r="B38" s="44" t="str">
        <f t="shared" si="0"/>
        <v>Lt-</v>
      </c>
      <c r="C38" s="86">
        <f t="shared" si="11"/>
        <v>31</v>
      </c>
      <c r="D38" s="20"/>
      <c r="E38" s="20"/>
      <c r="F38" s="69">
        <f t="shared" si="1"/>
        <v>0</v>
      </c>
      <c r="G38" s="68" t="str">
        <f t="shared" si="23"/>
        <v/>
      </c>
      <c r="H38" s="44"/>
      <c r="I38" s="44"/>
      <c r="J38" s="44" t="str">
        <f>+IF(D38=0,"",IF(E38=0,"",H38+I38))</f>
        <v/>
      </c>
      <c r="K38" s="68" t="str">
        <f t="shared" si="26"/>
        <v/>
      </c>
      <c r="L38" s="71" t="str">
        <f t="shared" si="3"/>
        <v/>
      </c>
      <c r="M38" s="71" t="str">
        <f t="shared" si="12"/>
        <v>----</v>
      </c>
      <c r="N38" s="70" t="str">
        <f t="shared" si="13"/>
        <v/>
      </c>
      <c r="O38" s="70" t="str">
        <f t="shared" si="14"/>
        <v/>
      </c>
      <c r="P38" s="73">
        <f>+IF($D$4&gt;=31,31,"")</f>
        <v>31</v>
      </c>
      <c r="Q38" s="44" t="str">
        <f t="shared" si="15"/>
        <v>Lt-</v>
      </c>
      <c r="R38" s="86">
        <f t="shared" si="16"/>
        <v>31</v>
      </c>
      <c r="S38" s="83"/>
      <c r="T38" s="85"/>
      <c r="U38" s="84">
        <f t="shared" si="4"/>
        <v>0</v>
      </c>
      <c r="V38" s="295">
        <f>IF(A38="","",IF($J$3="Entrepiso",IF(O38=10,Cargas!K$9,IF(O38=12,Cargas!W$9,IF(O38=14,Cargas!K$34,IF(O38=16,Cargas!W$34,Cargas!K$62)))),IF(O38=10,Cargas!K$22,IF(O38=12,Cargas!W$22,IF(O38=14,Cargas!K$47,IF(O38=16,Cargas!W$47,Cargas!K$75))))))</f>
        <v>0.53200000000000003</v>
      </c>
      <c r="W38" s="295">
        <f>IF(A38="","",IF($J$3="Entrepiso",IF(O38=10,Cargas!K$13,IF(O38=12,Cargas!W$13,IF(O38=14,Cargas!K$38,IF(O38=16,Cargas!W$38,Cargas!K$66)))),IF(O38=10,Cargas!K$25,IF(O38=12,Cargas!W$25,IF(O38=14,Cargas!K$50,IF(O38=16,Cargas!W$50,Cargas!K$78))))))</f>
        <v>0.1</v>
      </c>
      <c r="X38" s="72"/>
      <c r="Y38" s="295"/>
      <c r="Z38" s="72">
        <f>IF(A38="","",Cargas!C$15*(V38+X38)*COS(U38*3.141592654/180)+Cargas!G$15*W38)</f>
        <v>0.7984</v>
      </c>
      <c r="AA38" s="21">
        <f t="shared" si="5"/>
        <v>0</v>
      </c>
      <c r="AB38" s="21">
        <f t="shared" si="6"/>
        <v>0</v>
      </c>
      <c r="AC38" s="21"/>
      <c r="AD38" s="21" t="str">
        <f t="shared" si="31"/>
        <v>Lt-31</v>
      </c>
      <c r="AE38" s="74">
        <v>0.2</v>
      </c>
      <c r="AF38" s="74">
        <v>0.2</v>
      </c>
      <c r="AG38" s="74">
        <v>0.2</v>
      </c>
      <c r="AH38" s="74">
        <v>0.2</v>
      </c>
      <c r="AI38" s="52">
        <f t="shared" si="17"/>
        <v>4.0000000000000008E-2</v>
      </c>
      <c r="AJ38" s="50">
        <f t="shared" si="36"/>
        <v>0.2</v>
      </c>
      <c r="AK38" s="50">
        <f t="shared" si="37"/>
        <v>0.2</v>
      </c>
      <c r="AL38" s="355">
        <f t="shared" si="39"/>
        <v>8.0000000000000019E-3</v>
      </c>
      <c r="AM38" s="355">
        <f t="shared" si="40"/>
        <v>8.0000000000000019E-3</v>
      </c>
      <c r="AN38" s="51"/>
      <c r="AO38" s="51"/>
      <c r="AP38" s="52" t="str">
        <f t="shared" si="20"/>
        <v>Lt-</v>
      </c>
      <c r="AQ38" s="52">
        <v>0.2</v>
      </c>
      <c r="AR38" s="52">
        <v>0.2</v>
      </c>
      <c r="AS38" s="52">
        <f t="shared" si="9"/>
        <v>0.04</v>
      </c>
      <c r="AT38" s="50"/>
      <c r="AU38" s="50"/>
      <c r="AV38" s="51">
        <f t="shared" si="21"/>
        <v>0</v>
      </c>
      <c r="AW38" s="51">
        <f t="shared" si="22"/>
        <v>0</v>
      </c>
      <c r="AX38" s="45"/>
      <c r="AY38" s="45"/>
    </row>
    <row r="39" spans="1:51" s="1" customFormat="1" ht="21" customHeight="1">
      <c r="A39" s="44">
        <f t="shared" si="10"/>
        <v>32</v>
      </c>
      <c r="B39" s="44" t="str">
        <f t="shared" si="0"/>
        <v>Lt-</v>
      </c>
      <c r="C39" s="86">
        <f t="shared" si="11"/>
        <v>32</v>
      </c>
      <c r="D39" s="20"/>
      <c r="E39" s="20"/>
      <c r="F39" s="69">
        <f t="shared" si="1"/>
        <v>0</v>
      </c>
      <c r="G39" s="68" t="str">
        <f t="shared" si="23"/>
        <v/>
      </c>
      <c r="H39" s="44"/>
      <c r="I39" s="44"/>
      <c r="J39" s="44" t="str">
        <f>+IF(D39=0,"",IF(E39=0,"",H39+I39))</f>
        <v/>
      </c>
      <c r="K39" s="68" t="str">
        <f t="shared" si="26"/>
        <v/>
      </c>
      <c r="L39" s="71" t="str">
        <f t="shared" si="3"/>
        <v/>
      </c>
      <c r="M39" s="71" t="str">
        <f t="shared" si="12"/>
        <v>----</v>
      </c>
      <c r="N39" s="70" t="str">
        <f t="shared" si="13"/>
        <v/>
      </c>
      <c r="O39" s="70" t="str">
        <f t="shared" si="14"/>
        <v/>
      </c>
      <c r="P39" s="73">
        <f>+IF($D$4&gt;=32,32,"")</f>
        <v>32</v>
      </c>
      <c r="Q39" s="44" t="str">
        <f t="shared" si="15"/>
        <v>Lt-</v>
      </c>
      <c r="R39" s="86">
        <f t="shared" si="16"/>
        <v>32</v>
      </c>
      <c r="S39" s="83"/>
      <c r="T39" s="85"/>
      <c r="U39" s="84">
        <f t="shared" si="4"/>
        <v>0</v>
      </c>
      <c r="V39" s="295">
        <f>IF(A39="","",IF($J$3="Entrepiso",IF(O39=10,Cargas!K$9,IF(O39=12,Cargas!W$9,IF(O39=14,Cargas!K$34,IF(O39=16,Cargas!W$34,Cargas!K$62)))),IF(O39=10,Cargas!K$22,IF(O39=12,Cargas!W$22,IF(O39=14,Cargas!K$47,IF(O39=16,Cargas!W$47,Cargas!K$75))))))</f>
        <v>0.53200000000000003</v>
      </c>
      <c r="W39" s="295">
        <f>IF(A39="","",IF($J$3="Entrepiso",IF(O39=10,Cargas!K$13,IF(O39=12,Cargas!W$13,IF(O39=14,Cargas!K$38,IF(O39=16,Cargas!W$38,Cargas!K$66)))),IF(O39=10,Cargas!K$25,IF(O39=12,Cargas!W$25,IF(O39=14,Cargas!K$50,IF(O39=16,Cargas!W$50,Cargas!K$78))))))</f>
        <v>0.1</v>
      </c>
      <c r="X39" s="72"/>
      <c r="Y39" s="295"/>
      <c r="Z39" s="72">
        <f>IF(A39="","",Cargas!C$15*(V39+X39)*COS(U39*3.141592654/180)+Cargas!G$15*W39)</f>
        <v>0.7984</v>
      </c>
      <c r="AA39" s="21">
        <f t="shared" si="5"/>
        <v>0</v>
      </c>
      <c r="AB39" s="21">
        <f t="shared" si="6"/>
        <v>0</v>
      </c>
      <c r="AC39" s="21"/>
      <c r="AD39" s="21" t="str">
        <f t="shared" si="31"/>
        <v>Lt-32</v>
      </c>
      <c r="AE39" s="74">
        <v>0.2</v>
      </c>
      <c r="AF39" s="74">
        <v>0.2</v>
      </c>
      <c r="AG39" s="74">
        <v>0.2</v>
      </c>
      <c r="AH39" s="74">
        <v>0.2</v>
      </c>
      <c r="AI39" s="52">
        <f t="shared" si="17"/>
        <v>4.0000000000000008E-2</v>
      </c>
      <c r="AJ39" s="50">
        <f t="shared" si="36"/>
        <v>0.2</v>
      </c>
      <c r="AK39" s="50">
        <f t="shared" si="37"/>
        <v>0.2</v>
      </c>
      <c r="AL39" s="355">
        <f t="shared" si="39"/>
        <v>8.0000000000000019E-3</v>
      </c>
      <c r="AM39" s="355">
        <f t="shared" si="40"/>
        <v>8.0000000000000019E-3</v>
      </c>
      <c r="AN39" s="51"/>
      <c r="AO39" s="51"/>
      <c r="AP39" s="52" t="str">
        <f t="shared" si="20"/>
        <v>Lt-</v>
      </c>
      <c r="AQ39" s="52">
        <v>0.2</v>
      </c>
      <c r="AR39" s="52">
        <v>0.2</v>
      </c>
      <c r="AS39" s="52">
        <f t="shared" si="9"/>
        <v>0.04</v>
      </c>
      <c r="AT39" s="50"/>
      <c r="AU39" s="50"/>
      <c r="AV39" s="51"/>
      <c r="AW39" s="51">
        <f>IF(AS39&gt;0,AS39*AU39,"-")</f>
        <v>0</v>
      </c>
      <c r="AX39" s="45"/>
      <c r="AY39" s="45"/>
    </row>
    <row r="40" spans="1:51" s="1" customFormat="1" ht="21" customHeight="1">
      <c r="A40" s="44">
        <f t="shared" si="10"/>
        <v>33</v>
      </c>
      <c r="B40" s="44" t="str">
        <f t="shared" si="0"/>
        <v>Lt-</v>
      </c>
      <c r="C40" s="86">
        <f t="shared" si="11"/>
        <v>33</v>
      </c>
      <c r="D40" s="20"/>
      <c r="E40" s="20"/>
      <c r="F40" s="69">
        <f t="shared" si="1"/>
        <v>0</v>
      </c>
      <c r="G40" s="1" t="str">
        <f t="shared" si="23"/>
        <v/>
      </c>
      <c r="H40" s="44"/>
      <c r="I40" s="44"/>
      <c r="J40" s="155" t="str">
        <f>+IF(D40=0,"",IF(E40=0,"",H40+I40))</f>
        <v/>
      </c>
      <c r="K40" s="68" t="str">
        <f t="shared" si="26"/>
        <v/>
      </c>
      <c r="L40" s="71" t="str">
        <f t="shared" si="3"/>
        <v/>
      </c>
      <c r="M40" s="43" t="str">
        <f t="shared" si="12"/>
        <v>----</v>
      </c>
      <c r="N40" s="70" t="str">
        <f t="shared" ref="N40:N41" si="41">IF(D40=0,"",IF(E40=0,"",EVEN(MAX(MAX(L40,M40),10))))</f>
        <v/>
      </c>
      <c r="O40" s="70" t="str">
        <f t="shared" si="14"/>
        <v/>
      </c>
      <c r="P40" s="73">
        <f>+IF($D$4&gt;=33,33,"")</f>
        <v>33</v>
      </c>
      <c r="Q40" s="44" t="str">
        <f t="shared" si="15"/>
        <v>Lt-</v>
      </c>
      <c r="R40" s="86">
        <f t="shared" si="16"/>
        <v>33</v>
      </c>
      <c r="S40" s="83"/>
      <c r="T40" s="85"/>
      <c r="U40" s="84">
        <f t="shared" si="4"/>
        <v>0</v>
      </c>
      <c r="V40" s="295">
        <f>IF(A40="","",IF($J$3="Entrepiso",IF(O40=10,Cargas!K$9,IF(O40=12,Cargas!W$9,IF(O40=14,Cargas!K$34,IF(O40=16,Cargas!W$34,Cargas!K$62)))),IF(O40=10,Cargas!K$22,IF(O40=12,Cargas!W$22,IF(O40=14,Cargas!K$47,IF(O40=16,Cargas!W$47,Cargas!K$75))))))</f>
        <v>0.53200000000000003</v>
      </c>
      <c r="W40" s="295">
        <f>IF(A40="","",IF($J$3="Entrepiso",IF(O40=10,Cargas!K$13,IF(O40=12,Cargas!W$13,IF(O40=14,Cargas!K$38,IF(O40=16,Cargas!W$38,Cargas!K$66)))),IF(O40=10,Cargas!K$25,IF(O40=12,Cargas!W$25,IF(O40=14,Cargas!K$50,IF(O40=16,Cargas!W$50,Cargas!K$78))))))</f>
        <v>0.1</v>
      </c>
      <c r="X40" s="72"/>
      <c r="Y40" s="295"/>
      <c r="Z40" s="72">
        <f>IF(A40="","",Cargas!C$15*(V40+X40)*COS(U40*3.141592654/180)+Cargas!G$15*W40)</f>
        <v>0.7984</v>
      </c>
      <c r="AA40" s="21">
        <f t="shared" si="5"/>
        <v>0</v>
      </c>
      <c r="AB40" s="21">
        <f t="shared" si="6"/>
        <v>0</v>
      </c>
      <c r="AC40" s="21"/>
      <c r="AD40" s="21" t="str">
        <f t="shared" si="31"/>
        <v>Lt-33</v>
      </c>
      <c r="AE40" s="74">
        <v>0.2</v>
      </c>
      <c r="AF40" s="74">
        <v>0.2</v>
      </c>
      <c r="AG40" s="74">
        <v>0.2</v>
      </c>
      <c r="AH40" s="74">
        <v>0.2</v>
      </c>
      <c r="AI40" s="52">
        <f t="shared" si="17"/>
        <v>4.0000000000000008E-2</v>
      </c>
      <c r="AJ40" s="50">
        <f t="shared" si="36"/>
        <v>0.2</v>
      </c>
      <c r="AK40" s="50">
        <f t="shared" si="37"/>
        <v>0.2</v>
      </c>
      <c r="AL40" s="355">
        <f t="shared" si="39"/>
        <v>8.0000000000000019E-3</v>
      </c>
      <c r="AM40" s="355">
        <f t="shared" si="40"/>
        <v>8.0000000000000019E-3</v>
      </c>
      <c r="AN40" s="45"/>
      <c r="AO40" s="45"/>
      <c r="AP40" s="52" t="str">
        <f>+B40</f>
        <v>Lt-</v>
      </c>
      <c r="AQ40" s="52">
        <v>0.2</v>
      </c>
      <c r="AR40" s="52">
        <v>0.2</v>
      </c>
      <c r="AS40" s="52">
        <f t="shared" si="9"/>
        <v>0.04</v>
      </c>
      <c r="AT40" s="50"/>
      <c r="AU40" s="50"/>
      <c r="AV40" s="51"/>
      <c r="AW40" s="51">
        <f>IF(AS40&gt;0,AS40*AU40,"-")</f>
        <v>0</v>
      </c>
      <c r="AX40" s="45"/>
      <c r="AY40" s="45"/>
    </row>
    <row r="41" spans="1:51" s="1" customFormat="1" ht="21" customHeight="1">
      <c r="A41" s="44">
        <f t="shared" si="10"/>
        <v>34</v>
      </c>
      <c r="B41" s="44" t="str">
        <f t="shared" si="0"/>
        <v>Lt-</v>
      </c>
      <c r="C41" s="86">
        <f t="shared" si="11"/>
        <v>34</v>
      </c>
      <c r="D41" s="20"/>
      <c r="E41" s="20"/>
      <c r="F41" s="69">
        <f>+TRUNC(IF(D41=0,   ,IF(E41=0,    ,ROUND(MIN(D41,E41)/MAX(D41,E41),2))),2)</f>
        <v>0</v>
      </c>
      <c r="G41" s="1" t="str">
        <f t="shared" si="23"/>
        <v/>
      </c>
      <c r="H41" s="44"/>
      <c r="I41" s="44"/>
      <c r="J41" s="155" t="str">
        <f>+IF(D41=0,"",IF(E41=0,"",H41+I41))</f>
        <v/>
      </c>
      <c r="K41" s="68" t="str">
        <f t="shared" si="26"/>
        <v/>
      </c>
      <c r="L41" s="71" t="str">
        <f t="shared" si="3"/>
        <v/>
      </c>
      <c r="M41" s="79" t="str">
        <f>IF(F41&lt;0.5,"----",ROUND(2*(D41+E41)*100/180,2))</f>
        <v>----</v>
      </c>
      <c r="N41" s="70" t="str">
        <f t="shared" si="41"/>
        <v/>
      </c>
      <c r="O41" s="70" t="str">
        <f t="shared" si="14"/>
        <v/>
      </c>
      <c r="P41" s="73">
        <f>+IF($D$4&gt;=34,34,"")</f>
        <v>34</v>
      </c>
      <c r="Q41" s="44" t="str">
        <f t="shared" si="15"/>
        <v>Lt-</v>
      </c>
      <c r="R41" s="86">
        <f t="shared" si="16"/>
        <v>34</v>
      </c>
      <c r="S41" s="83"/>
      <c r="T41" s="85"/>
      <c r="U41" s="84">
        <f t="shared" si="4"/>
        <v>0</v>
      </c>
      <c r="V41" s="295">
        <f>IF(A41="","",IF($J$3="Entrepiso",IF(O41=10,Cargas!K$9,IF(O41=12,Cargas!W$9,IF(O41=14,Cargas!K$34,IF(O41=16,Cargas!W$34,Cargas!K$62)))),IF(O41=10,Cargas!K$22,IF(O41=12,Cargas!W$22,IF(O41=14,Cargas!K$47,IF(O41=16,Cargas!W$47,Cargas!K$75))))))</f>
        <v>0.53200000000000003</v>
      </c>
      <c r="W41" s="295">
        <f>IF(A41="","",IF($J$3="Entrepiso",IF(O41=10,Cargas!K$13,IF(O41=12,Cargas!W$13,IF(O41=14,Cargas!K$38,IF(O41=16,Cargas!W$38,Cargas!K$66)))),IF(O41=10,Cargas!K$25,IF(O41=12,Cargas!W$25,IF(O41=14,Cargas!K$50,IF(O41=16,Cargas!W$50,Cargas!K$78))))))</f>
        <v>0.1</v>
      </c>
      <c r="X41" s="72"/>
      <c r="Y41" s="295"/>
      <c r="Z41" s="72">
        <f>IF(A41="","",Cargas!C$15*(V41+X41)*COS(U41*3.141592654/180)+Cargas!G$15*W41)</f>
        <v>0.7984</v>
      </c>
      <c r="AA41" s="21">
        <f t="shared" si="5"/>
        <v>0</v>
      </c>
      <c r="AB41" s="21">
        <f t="shared" si="6"/>
        <v>0</v>
      </c>
      <c r="AC41" s="21"/>
      <c r="AD41" s="21" t="str">
        <f t="shared" si="31"/>
        <v>Lt-34</v>
      </c>
      <c r="AE41" s="74">
        <v>0.2</v>
      </c>
      <c r="AF41" s="74">
        <v>0.2</v>
      </c>
      <c r="AG41" s="74">
        <v>0.2</v>
      </c>
      <c r="AH41" s="74">
        <v>0.2</v>
      </c>
      <c r="AI41" s="52">
        <f t="shared" si="17"/>
        <v>4.0000000000000008E-2</v>
      </c>
      <c r="AJ41" s="50">
        <f t="shared" si="36"/>
        <v>0.2</v>
      </c>
      <c r="AK41" s="50">
        <f t="shared" si="37"/>
        <v>0.2</v>
      </c>
      <c r="AL41" s="355">
        <f t="shared" si="39"/>
        <v>8.0000000000000019E-3</v>
      </c>
      <c r="AM41" s="355">
        <f t="shared" si="40"/>
        <v>8.0000000000000019E-3</v>
      </c>
      <c r="AN41" s="75" t="s">
        <v>58</v>
      </c>
      <c r="AO41" s="75" t="s">
        <v>2</v>
      </c>
      <c r="AP41" s="52" t="str">
        <f t="shared" si="20"/>
        <v>Lt-</v>
      </c>
      <c r="AQ41" s="52">
        <v>0.2</v>
      </c>
      <c r="AR41" s="52">
        <v>0.2</v>
      </c>
      <c r="AS41" s="52">
        <f t="shared" si="9"/>
        <v>0.04</v>
      </c>
      <c r="AT41" s="50"/>
      <c r="AU41" s="50"/>
      <c r="AV41" s="51"/>
      <c r="AW41" s="51">
        <f>IF(AS41&gt;0,AS41*AU41,"-")</f>
        <v>0</v>
      </c>
      <c r="AX41" s="75" t="s">
        <v>58</v>
      </c>
      <c r="AY41" s="75" t="s">
        <v>2</v>
      </c>
    </row>
    <row r="42" spans="1:51" s="1" customFormat="1" ht="21" customHeight="1">
      <c r="H42" s="44"/>
      <c r="I42" s="44"/>
      <c r="P42" s="70"/>
      <c r="Q42" s="70"/>
      <c r="X42" s="160"/>
      <c r="Y42" s="158"/>
      <c r="Z42" s="158"/>
      <c r="AA42" s="158"/>
      <c r="AB42" s="158"/>
      <c r="AC42" s="158"/>
      <c r="AD42" s="52"/>
      <c r="AF42" s="352"/>
      <c r="AG42" s="352"/>
      <c r="AH42" s="352"/>
      <c r="AI42" s="352">
        <f>SUM(AI8:AI41)</f>
        <v>199.68999999999974</v>
      </c>
      <c r="AJ42" s="45"/>
      <c r="AK42" s="45"/>
      <c r="AL42" s="353">
        <f>SUM(AL8:AL41)</f>
        <v>722.83987500000092</v>
      </c>
      <c r="AM42" s="353">
        <f>SUM(AM8:AM41)</f>
        <v>493.6479999999994</v>
      </c>
      <c r="AN42" s="50">
        <f>IF(AI42=0,0,AL42/AI42)</f>
        <v>3.619810080624978</v>
      </c>
      <c r="AO42" s="50">
        <f>IF(AI42=0,0,AM42/AI42)</f>
        <v>2.4720717111522861</v>
      </c>
      <c r="AP42" s="50"/>
      <c r="AQ42" s="50"/>
      <c r="AR42" s="50"/>
      <c r="AS42" s="354">
        <f>SUM(AS8:AS41)</f>
        <v>199.70999999999978</v>
      </c>
      <c r="AT42" s="45"/>
      <c r="AU42" s="45"/>
      <c r="AV42" s="353">
        <f>SUM(AV8:AV41)</f>
        <v>0</v>
      </c>
      <c r="AW42" s="353">
        <f>SUM(AW8:AW41)</f>
        <v>0</v>
      </c>
      <c r="AX42" s="50">
        <f>IF(AS42=0,0,AV42/AS42)</f>
        <v>0</v>
      </c>
      <c r="AY42" s="50">
        <f>IF(AS42=0,0,AW42/AS42)</f>
        <v>0</v>
      </c>
    </row>
    <row r="43" spans="1:51" s="1" customFormat="1" ht="21" customHeight="1">
      <c r="H43" s="44"/>
      <c r="I43" s="44"/>
      <c r="X43" s="161"/>
      <c r="Y43" s="158"/>
      <c r="Z43" s="158"/>
      <c r="AA43" s="45"/>
      <c r="AB43" s="45"/>
      <c r="AC43" s="45"/>
      <c r="AD43" s="47"/>
      <c r="AE43" s="45"/>
      <c r="AF43" s="45"/>
      <c r="AG43" s="45"/>
      <c r="AH43" s="45"/>
      <c r="AI43" s="45"/>
      <c r="AJ43" s="45"/>
      <c r="AK43" s="75"/>
      <c r="AL43" s="75"/>
      <c r="AM43" s="75"/>
      <c r="AN43" s="75"/>
      <c r="AO43" s="75"/>
      <c r="AP43" s="47"/>
      <c r="AQ43" s="45"/>
      <c r="AR43" s="45"/>
      <c r="AS43" s="45"/>
      <c r="AT43" s="45"/>
      <c r="AU43" s="45"/>
      <c r="AV43" s="45"/>
    </row>
    <row r="44" spans="1:51" s="1" customFormat="1" ht="21" customHeight="1">
      <c r="I44" s="44"/>
      <c r="X44" s="161"/>
      <c r="Y44" s="158"/>
      <c r="Z44" s="158"/>
      <c r="AA44" s="45"/>
      <c r="AB44" s="45"/>
      <c r="AC44" s="45"/>
      <c r="AD44" s="47"/>
      <c r="AE44" s="45"/>
      <c r="AF44" s="45"/>
      <c r="AG44" s="45"/>
      <c r="AH44" s="45"/>
      <c r="AI44" s="45"/>
      <c r="AJ44" s="45"/>
      <c r="AK44" s="50"/>
      <c r="AL44" s="50"/>
      <c r="AM44" s="50"/>
      <c r="AN44" s="50"/>
      <c r="AO44" s="50"/>
      <c r="AP44" s="47"/>
      <c r="AQ44" s="45"/>
      <c r="AR44" s="45"/>
      <c r="AS44" s="45"/>
      <c r="AT44" s="45"/>
      <c r="AU44" s="45"/>
      <c r="AV44" s="45"/>
    </row>
    <row r="45" spans="1:51" s="1" customFormat="1" ht="21" customHeight="1">
      <c r="X45" s="45"/>
    </row>
    <row r="46" spans="1:51" s="1" customFormat="1" ht="21" customHeight="1">
      <c r="X46" s="45"/>
    </row>
    <row r="47" spans="1:51" s="1" customFormat="1" ht="21" customHeight="1">
      <c r="X47" s="45"/>
    </row>
    <row r="48" spans="1:51" s="1" customFormat="1" ht="21" customHeight="1">
      <c r="X48" s="45"/>
    </row>
    <row r="49" spans="16:24" s="1" customFormat="1" ht="21" customHeight="1">
      <c r="P49" s="76"/>
      <c r="Q49" s="76"/>
      <c r="X49" s="45"/>
    </row>
    <row r="50" spans="16:24" s="1" customFormat="1" ht="21" customHeight="1">
      <c r="X50" s="45"/>
    </row>
    <row r="51" spans="16:24" s="1" customFormat="1" ht="21" customHeight="1">
      <c r="X51" s="45"/>
    </row>
    <row r="52" spans="16:24" s="1" customFormat="1" ht="21" customHeight="1">
      <c r="X52" s="45"/>
    </row>
    <row r="53" spans="16:24" s="1" customFormat="1" ht="21" customHeight="1">
      <c r="X53" s="45"/>
    </row>
    <row r="54" spans="16:24" s="1" customFormat="1" ht="21" customHeight="1">
      <c r="X54" s="45"/>
    </row>
    <row r="55" spans="16:24" s="1" customFormat="1" ht="21" customHeight="1">
      <c r="X55" s="45"/>
    </row>
    <row r="56" spans="16:24" s="1" customFormat="1" ht="21" customHeight="1">
      <c r="X56" s="45"/>
    </row>
    <row r="57" spans="16:24" s="1" customFormat="1" ht="21" customHeight="1">
      <c r="X57" s="45"/>
    </row>
    <row r="58" spans="16:24" s="1" customFormat="1" ht="21" customHeight="1">
      <c r="X58" s="45"/>
    </row>
    <row r="59" spans="16:24" s="1" customFormat="1" ht="21" customHeight="1">
      <c r="X59" s="45"/>
    </row>
    <row r="60" spans="16:24" s="1" customFormat="1" ht="21" customHeight="1">
      <c r="X60" s="45"/>
    </row>
    <row r="61" spans="16:24" s="1" customFormat="1" ht="21" customHeight="1">
      <c r="X61" s="45"/>
    </row>
    <row r="62" spans="16:24" s="1" customFormat="1" ht="21" customHeight="1">
      <c r="X62" s="45"/>
    </row>
    <row r="63" spans="16:24" s="1" customFormat="1" ht="21" customHeight="1">
      <c r="X63" s="45"/>
    </row>
  </sheetData>
  <mergeCells count="54">
    <mergeCell ref="Z5:Z7"/>
    <mergeCell ref="V5:V7"/>
    <mergeCell ref="W5:W7"/>
    <mergeCell ref="L4:M4"/>
    <mergeCell ref="AE6:AH6"/>
    <mergeCell ref="AE7:AF7"/>
    <mergeCell ref="AG7:AH7"/>
    <mergeCell ref="L5:O6"/>
    <mergeCell ref="S5:U6"/>
    <mergeCell ref="X5:Y6"/>
    <mergeCell ref="AA5:AB5"/>
    <mergeCell ref="AA6:AA7"/>
    <mergeCell ref="AD6:AD7"/>
    <mergeCell ref="AE5:AM5"/>
    <mergeCell ref="AL6:AL7"/>
    <mergeCell ref="A1:F1"/>
    <mergeCell ref="B5:B7"/>
    <mergeCell ref="H5:J6"/>
    <mergeCell ref="G5:G7"/>
    <mergeCell ref="G2:K2"/>
    <mergeCell ref="J3:K3"/>
    <mergeCell ref="A3:I3"/>
    <mergeCell ref="A2:F2"/>
    <mergeCell ref="K5:K7"/>
    <mergeCell ref="A5:A7"/>
    <mergeCell ref="A4:C4"/>
    <mergeCell ref="E4:F4"/>
    <mergeCell ref="H4:J4"/>
    <mergeCell ref="D6:D7"/>
    <mergeCell ref="E6:E7"/>
    <mergeCell ref="D5:F5"/>
    <mergeCell ref="AI2:AJ2"/>
    <mergeCell ref="S4:W4"/>
    <mergeCell ref="AD3:AY3"/>
    <mergeCell ref="AP5:AW5"/>
    <mergeCell ref="AI6:AI7"/>
    <mergeCell ref="AJ6:AJ7"/>
    <mergeCell ref="AV6:AV7"/>
    <mergeCell ref="AW6:AW7"/>
    <mergeCell ref="AP6:AP7"/>
    <mergeCell ref="AQ6:AR7"/>
    <mergeCell ref="AS6:AS7"/>
    <mergeCell ref="AT6:AT7"/>
    <mergeCell ref="AU6:AU7"/>
    <mergeCell ref="AM6:AM7"/>
    <mergeCell ref="AK6:AK7"/>
    <mergeCell ref="AB6:AB7"/>
    <mergeCell ref="P1:U1"/>
    <mergeCell ref="P2:U2"/>
    <mergeCell ref="P5:P7"/>
    <mergeCell ref="Q5:Q7"/>
    <mergeCell ref="V2:Y2"/>
    <mergeCell ref="P3:X3"/>
    <mergeCell ref="S7:T7"/>
  </mergeCells>
  <dataValidations count="2">
    <dataValidation type="list" allowBlank="1" showInputMessage="1" showErrorMessage="1" sqref="J3">
      <formula1>"Entrepiso, Techo"</formula1>
    </dataValidation>
    <dataValidation type="list" allowBlank="1" showInputMessage="1" showErrorMessage="1" sqref="T8:T41">
      <formula1>"X,Y"</formula1>
    </dataValidation>
  </dataValidations>
  <pageMargins left="0.43" right="0.8" top="0.98" bottom="0.68" header="0.37" footer="0"/>
  <pageSetup scale="95" orientation="landscape" r:id="rId1"/>
  <headerFooter alignWithMargins="0">
    <oddFooter>&amp;C&amp;10Cell Orange: 809-883-7811
e-mail: estrosingenieros@gmail.com, prosario@ucateci.edu.do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2:X81"/>
  <sheetViews>
    <sheetView zoomScale="80" zoomScaleNormal="80" workbookViewId="0">
      <selection activeCell="K4" sqref="K4:L4"/>
    </sheetView>
  </sheetViews>
  <sheetFormatPr defaultColWidth="11.5546875" defaultRowHeight="27" customHeight="1"/>
  <cols>
    <col min="1" max="4" width="7.44140625" style="438" customWidth="1"/>
    <col min="5" max="5" width="5.6640625" style="438" customWidth="1"/>
    <col min="6" max="6" width="6.21875" style="438" customWidth="1"/>
    <col min="7" max="7" width="7.44140625" style="438" customWidth="1"/>
    <col min="8" max="8" width="3" style="438" customWidth="1"/>
    <col min="9" max="9" width="11.21875" style="438" customWidth="1"/>
    <col min="10" max="10" width="3" style="438" customWidth="1"/>
    <col min="11" max="11" width="7.77734375" style="438" customWidth="1"/>
    <col min="12" max="12" width="7.44140625" style="438" customWidth="1"/>
    <col min="13" max="13" width="6.21875" style="470" customWidth="1"/>
    <col min="14" max="15" width="6.88671875" style="471" customWidth="1"/>
    <col min="16" max="19" width="6.88671875" style="438" customWidth="1"/>
    <col min="20" max="20" width="3" style="438" customWidth="1"/>
    <col min="21" max="21" width="11.21875" style="438" customWidth="1"/>
    <col min="22" max="22" width="3" style="438" customWidth="1"/>
    <col min="23" max="24" width="9.33203125" style="438" customWidth="1"/>
    <col min="25" max="16384" width="11.5546875" style="438"/>
  </cols>
  <sheetData>
    <row r="2" spans="1:24" ht="27" customHeight="1">
      <c r="A2" s="582" t="s">
        <v>23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 t="s">
        <v>23</v>
      </c>
      <c r="N2" s="582"/>
      <c r="O2" s="582"/>
      <c r="P2" s="582"/>
      <c r="Q2" s="582"/>
      <c r="R2" s="582"/>
      <c r="S2" s="582"/>
      <c r="T2" s="582"/>
      <c r="U2" s="582"/>
      <c r="V2" s="582"/>
      <c r="W2" s="582"/>
      <c r="X2" s="582"/>
    </row>
    <row r="4" spans="1:24" s="445" customFormat="1" ht="27" customHeight="1">
      <c r="A4" s="439">
        <v>1</v>
      </c>
      <c r="B4" s="440" t="s">
        <v>11</v>
      </c>
      <c r="C4" s="439"/>
      <c r="D4" s="439"/>
      <c r="E4" s="441"/>
      <c r="F4" s="441"/>
      <c r="G4" s="442"/>
      <c r="H4" s="442"/>
      <c r="I4" s="443"/>
      <c r="J4" s="444" t="s">
        <v>24</v>
      </c>
      <c r="K4" s="583">
        <v>0.1</v>
      </c>
      <c r="L4" s="583"/>
      <c r="M4" s="439">
        <v>1</v>
      </c>
      <c r="N4" s="440" t="str">
        <f>+B4</f>
        <v>ENTREPISO</v>
      </c>
      <c r="O4" s="439"/>
      <c r="P4" s="439"/>
      <c r="Q4" s="441"/>
      <c r="R4" s="441"/>
      <c r="S4" s="442"/>
      <c r="T4" s="442"/>
      <c r="U4" s="443"/>
      <c r="V4" s="444" t="s">
        <v>24</v>
      </c>
      <c r="W4" s="583">
        <v>0.12</v>
      </c>
      <c r="X4" s="583"/>
    </row>
    <row r="5" spans="1:24" s="445" customFormat="1" ht="27" customHeight="1">
      <c r="A5" s="446">
        <v>1.1000000000000001</v>
      </c>
      <c r="B5" s="446" t="s">
        <v>25</v>
      </c>
      <c r="C5" s="446"/>
      <c r="D5" s="446"/>
      <c r="E5" s="446"/>
      <c r="F5" s="441"/>
      <c r="G5" s="441"/>
      <c r="H5" s="441"/>
      <c r="I5" s="441"/>
      <c r="M5" s="446">
        <v>1.1000000000000001</v>
      </c>
      <c r="N5" s="446" t="s">
        <v>25</v>
      </c>
      <c r="O5" s="446"/>
      <c r="P5" s="446"/>
      <c r="Q5" s="446"/>
      <c r="R5" s="441"/>
      <c r="S5" s="441"/>
      <c r="T5" s="441"/>
      <c r="U5" s="441"/>
    </row>
    <row r="6" spans="1:24" s="445" customFormat="1" ht="27" customHeight="1">
      <c r="B6" s="447" t="s">
        <v>26</v>
      </c>
      <c r="C6" s="441" t="s">
        <v>27</v>
      </c>
      <c r="F6" s="584">
        <f>+K4</f>
        <v>0.1</v>
      </c>
      <c r="G6" s="584"/>
      <c r="H6" s="448" t="s">
        <v>28</v>
      </c>
      <c r="I6" s="449">
        <v>2.4</v>
      </c>
      <c r="J6" s="448" t="s">
        <v>7</v>
      </c>
      <c r="K6" s="585">
        <f>+ROUND(F6*I6,3)</f>
        <v>0.24</v>
      </c>
      <c r="L6" s="585"/>
      <c r="N6" s="447" t="s">
        <v>26</v>
      </c>
      <c r="O6" s="441" t="s">
        <v>27</v>
      </c>
      <c r="R6" s="584">
        <f>+W4</f>
        <v>0.12</v>
      </c>
      <c r="S6" s="584"/>
      <c r="T6" s="448" t="s">
        <v>28</v>
      </c>
      <c r="U6" s="449">
        <v>2.4</v>
      </c>
      <c r="V6" s="448" t="s">
        <v>7</v>
      </c>
      <c r="W6" s="585">
        <f>+ROUND(R6*U6,3)</f>
        <v>0.28799999999999998</v>
      </c>
      <c r="X6" s="585"/>
    </row>
    <row r="7" spans="1:24" s="445" customFormat="1" ht="27" customHeight="1">
      <c r="B7" s="447" t="s">
        <v>29</v>
      </c>
      <c r="C7" s="441" t="s">
        <v>30</v>
      </c>
      <c r="F7" s="587">
        <v>2.5000000000000001E-2</v>
      </c>
      <c r="G7" s="587"/>
      <c r="H7" s="448" t="s">
        <v>28</v>
      </c>
      <c r="I7" s="449">
        <v>2</v>
      </c>
      <c r="J7" s="448" t="s">
        <v>7</v>
      </c>
      <c r="K7" s="585">
        <f>+ROUND(F7*I7,3)</f>
        <v>0.05</v>
      </c>
      <c r="L7" s="585"/>
      <c r="N7" s="447" t="s">
        <v>29</v>
      </c>
      <c r="O7" s="441" t="s">
        <v>137</v>
      </c>
      <c r="R7" s="587">
        <v>2.5000000000000001E-2</v>
      </c>
      <c r="S7" s="587"/>
      <c r="T7" s="448" t="s">
        <v>28</v>
      </c>
      <c r="U7" s="449">
        <v>2</v>
      </c>
      <c r="V7" s="448" t="s">
        <v>7</v>
      </c>
      <c r="W7" s="585">
        <f>+ROUND(R7*U7,3)</f>
        <v>0.05</v>
      </c>
      <c r="X7" s="585"/>
    </row>
    <row r="8" spans="1:24" s="445" customFormat="1" ht="27" customHeight="1">
      <c r="B8" s="447" t="s">
        <v>31</v>
      </c>
      <c r="C8" s="442" t="s">
        <v>32</v>
      </c>
      <c r="F8" s="587">
        <v>2.5000000000000001E-2</v>
      </c>
      <c r="G8" s="587"/>
      <c r="H8" s="448" t="s">
        <v>28</v>
      </c>
      <c r="I8" s="449">
        <v>2</v>
      </c>
      <c r="J8" s="448" t="s">
        <v>7</v>
      </c>
      <c r="K8" s="586">
        <f>+ROUND(F8*I8,3)</f>
        <v>0.05</v>
      </c>
      <c r="L8" s="586"/>
      <c r="N8" s="447" t="s">
        <v>31</v>
      </c>
      <c r="O8" s="442" t="s">
        <v>32</v>
      </c>
      <c r="R8" s="587">
        <v>2.5000000000000001E-2</v>
      </c>
      <c r="S8" s="587"/>
      <c r="T8" s="448" t="s">
        <v>28</v>
      </c>
      <c r="U8" s="449">
        <v>2</v>
      </c>
      <c r="V8" s="448" t="s">
        <v>7</v>
      </c>
      <c r="W8" s="586">
        <f>+ROUND(R8*U8,3)</f>
        <v>0.05</v>
      </c>
      <c r="X8" s="586"/>
    </row>
    <row r="9" spans="1:24" s="445" customFormat="1" ht="27" customHeight="1">
      <c r="A9" s="441"/>
      <c r="C9" s="441"/>
      <c r="D9" s="441"/>
      <c r="E9" s="441"/>
      <c r="F9" s="441"/>
      <c r="G9" s="441"/>
      <c r="H9" s="441"/>
      <c r="I9" s="450" t="s">
        <v>174</v>
      </c>
      <c r="J9" s="448" t="s">
        <v>7</v>
      </c>
      <c r="K9" s="585">
        <f>SUM(K6:K8)</f>
        <v>0.33999999999999997</v>
      </c>
      <c r="L9" s="585"/>
      <c r="M9" s="441"/>
      <c r="O9" s="441"/>
      <c r="P9" s="441"/>
      <c r="Q9" s="441"/>
      <c r="R9" s="441"/>
      <c r="S9" s="441"/>
      <c r="T9" s="441"/>
      <c r="U9" s="450" t="s">
        <v>175</v>
      </c>
      <c r="V9" s="448" t="s">
        <v>7</v>
      </c>
      <c r="W9" s="585">
        <f>SUM(W6:W8)</f>
        <v>0.38799999999999996</v>
      </c>
      <c r="X9" s="585"/>
    </row>
    <row r="10" spans="1:24" s="445" customFormat="1" ht="27" customHeight="1">
      <c r="A10" s="446">
        <v>1.2</v>
      </c>
      <c r="B10" s="446" t="s">
        <v>33</v>
      </c>
      <c r="C10" s="446"/>
      <c r="D10" s="446"/>
      <c r="E10" s="441"/>
      <c r="F10" s="450"/>
      <c r="G10" s="441"/>
      <c r="H10" s="451"/>
      <c r="I10" s="441"/>
      <c r="M10" s="446">
        <v>1.2</v>
      </c>
      <c r="N10" s="446" t="s">
        <v>33</v>
      </c>
      <c r="O10" s="446"/>
      <c r="P10" s="446"/>
      <c r="Q10" s="441"/>
      <c r="R10" s="450"/>
      <c r="S10" s="441"/>
      <c r="T10" s="451"/>
      <c r="U10" s="441"/>
    </row>
    <row r="11" spans="1:24" s="445" customFormat="1" ht="27" customHeight="1">
      <c r="B11" s="447" t="s">
        <v>34</v>
      </c>
      <c r="C11" s="442" t="s">
        <v>35</v>
      </c>
      <c r="D11" s="441"/>
      <c r="E11" s="441"/>
      <c r="F11" s="441"/>
      <c r="G11" s="452"/>
      <c r="H11" s="441"/>
      <c r="I11" s="441"/>
      <c r="J11" s="451"/>
      <c r="K11" s="585">
        <v>0.25</v>
      </c>
      <c r="L11" s="585"/>
      <c r="N11" s="447" t="s">
        <v>34</v>
      </c>
      <c r="O11" s="442" t="s">
        <v>35</v>
      </c>
      <c r="P11" s="441"/>
      <c r="Q11" s="441"/>
      <c r="R11" s="441"/>
      <c r="S11" s="452"/>
      <c r="T11" s="441"/>
      <c r="U11" s="441"/>
      <c r="V11" s="451"/>
      <c r="W11" s="585">
        <v>0.25</v>
      </c>
      <c r="X11" s="585"/>
    </row>
    <row r="12" spans="1:24" s="445" customFormat="1" ht="27" customHeight="1">
      <c r="B12" s="447" t="s">
        <v>36</v>
      </c>
      <c r="C12" s="442" t="s">
        <v>37</v>
      </c>
      <c r="D12" s="441"/>
      <c r="E12" s="441"/>
      <c r="F12" s="441"/>
      <c r="G12" s="452"/>
      <c r="H12" s="441"/>
      <c r="I12" s="441"/>
      <c r="J12" s="451"/>
      <c r="K12" s="586">
        <v>0.2</v>
      </c>
      <c r="L12" s="586"/>
      <c r="N12" s="447" t="s">
        <v>36</v>
      </c>
      <c r="O12" s="442" t="s">
        <v>37</v>
      </c>
      <c r="P12" s="441"/>
      <c r="Q12" s="441"/>
      <c r="R12" s="441"/>
      <c r="S12" s="452"/>
      <c r="T12" s="441"/>
      <c r="U12" s="441"/>
      <c r="V12" s="451"/>
      <c r="W12" s="586">
        <v>0.2</v>
      </c>
      <c r="X12" s="586"/>
    </row>
    <row r="13" spans="1:24" s="445" customFormat="1" ht="27" customHeight="1">
      <c r="C13" s="441"/>
      <c r="D13" s="441"/>
      <c r="E13" s="441"/>
      <c r="F13" s="441"/>
      <c r="G13" s="441"/>
      <c r="H13" s="441"/>
      <c r="I13" s="450" t="s">
        <v>176</v>
      </c>
      <c r="J13" s="441" t="s">
        <v>7</v>
      </c>
      <c r="K13" s="585">
        <f>+K11+K12</f>
        <v>0.45</v>
      </c>
      <c r="L13" s="585" t="s">
        <v>38</v>
      </c>
      <c r="O13" s="441"/>
      <c r="P13" s="441"/>
      <c r="Q13" s="441"/>
      <c r="R13" s="441"/>
      <c r="S13" s="441"/>
      <c r="T13" s="441"/>
      <c r="U13" s="450" t="s">
        <v>177</v>
      </c>
      <c r="V13" s="441" t="s">
        <v>7</v>
      </c>
      <c r="W13" s="585">
        <f>+W11+W12</f>
        <v>0.45</v>
      </c>
      <c r="X13" s="585" t="s">
        <v>38</v>
      </c>
    </row>
    <row r="14" spans="1:24" s="445" customFormat="1" ht="27" customHeight="1">
      <c r="C14" s="441"/>
      <c r="E14" s="441"/>
      <c r="F14" s="450"/>
      <c r="G14" s="441"/>
      <c r="H14" s="451"/>
      <c r="I14" s="441"/>
      <c r="O14" s="441"/>
      <c r="Q14" s="441"/>
      <c r="R14" s="450"/>
      <c r="S14" s="441"/>
      <c r="T14" s="451"/>
      <c r="U14" s="441"/>
    </row>
    <row r="15" spans="1:24" s="445" customFormat="1" ht="27" customHeight="1">
      <c r="B15" s="436" t="s">
        <v>171</v>
      </c>
      <c r="C15" s="453">
        <v>1.2</v>
      </c>
      <c r="D15" s="585">
        <f>+K9</f>
        <v>0.33999999999999997</v>
      </c>
      <c r="E15" s="585"/>
      <c r="F15" s="454" t="s">
        <v>8</v>
      </c>
      <c r="G15" s="453">
        <v>1.6</v>
      </c>
      <c r="H15" s="585">
        <f>+K13</f>
        <v>0.45</v>
      </c>
      <c r="I15" s="585"/>
      <c r="J15" s="448" t="s">
        <v>7</v>
      </c>
      <c r="K15" s="589">
        <f>C15*D15+G15*H15</f>
        <v>1.1280000000000001</v>
      </c>
      <c r="L15" s="589"/>
      <c r="N15" s="19" t="s">
        <v>178</v>
      </c>
      <c r="O15" s="453">
        <v>1.2</v>
      </c>
      <c r="P15" s="585">
        <f>+W9</f>
        <v>0.38799999999999996</v>
      </c>
      <c r="Q15" s="585"/>
      <c r="R15" s="454" t="s">
        <v>8</v>
      </c>
      <c r="S15" s="453">
        <v>1.6</v>
      </c>
      <c r="T15" s="585">
        <f>+W13</f>
        <v>0.45</v>
      </c>
      <c r="U15" s="585"/>
      <c r="V15" s="448" t="s">
        <v>7</v>
      </c>
      <c r="W15" s="589">
        <f>O15*P15+S15*T15</f>
        <v>1.1856</v>
      </c>
      <c r="X15" s="589"/>
    </row>
    <row r="16" spans="1:24" s="445" customFormat="1" ht="27" customHeight="1">
      <c r="B16" s="436"/>
      <c r="E16" s="454"/>
      <c r="F16" s="455"/>
      <c r="G16" s="454"/>
      <c r="L16" s="456"/>
      <c r="P16" s="447"/>
      <c r="Q16" s="454"/>
      <c r="R16" s="455"/>
      <c r="S16" s="454"/>
      <c r="T16" s="455"/>
      <c r="U16" s="455"/>
      <c r="V16" s="457"/>
      <c r="W16" s="458"/>
      <c r="X16" s="459"/>
    </row>
    <row r="17" spans="1:24" s="445" customFormat="1" ht="27" customHeight="1">
      <c r="A17" s="439">
        <v>2</v>
      </c>
      <c r="B17" s="588" t="s">
        <v>16</v>
      </c>
      <c r="C17" s="588"/>
      <c r="D17" s="441"/>
      <c r="E17" s="441"/>
      <c r="F17" s="441"/>
      <c r="G17" s="441"/>
      <c r="H17" s="441"/>
      <c r="I17" s="443"/>
      <c r="J17" s="444" t="s">
        <v>24</v>
      </c>
      <c r="K17" s="583">
        <v>0.1</v>
      </c>
      <c r="L17" s="583"/>
      <c r="M17" s="439">
        <v>1</v>
      </c>
      <c r="N17" s="588" t="s">
        <v>16</v>
      </c>
      <c r="O17" s="588"/>
      <c r="P17" s="441"/>
      <c r="Q17" s="441"/>
      <c r="R17" s="441"/>
      <c r="S17" s="441"/>
      <c r="T17" s="441"/>
      <c r="U17" s="443"/>
      <c r="V17" s="444" t="s">
        <v>24</v>
      </c>
      <c r="W17" s="583">
        <f>W4</f>
        <v>0.12</v>
      </c>
      <c r="X17" s="583"/>
    </row>
    <row r="18" spans="1:24" s="445" customFormat="1" ht="27" customHeight="1">
      <c r="A18" s="446">
        <v>2.1</v>
      </c>
      <c r="B18" s="446" t="s">
        <v>25</v>
      </c>
      <c r="C18" s="460"/>
      <c r="D18" s="446"/>
      <c r="E18" s="446"/>
      <c r="F18" s="441"/>
      <c r="G18" s="441"/>
      <c r="H18" s="441"/>
      <c r="I18" s="441"/>
      <c r="J18" s="441"/>
      <c r="M18" s="446">
        <f>+M17+0.1</f>
        <v>1.1000000000000001</v>
      </c>
      <c r="N18" s="446" t="s">
        <v>25</v>
      </c>
      <c r="O18" s="460"/>
      <c r="P18" s="446"/>
      <c r="Q18" s="446"/>
      <c r="R18" s="441"/>
      <c r="S18" s="441"/>
      <c r="T18" s="441"/>
      <c r="U18" s="441"/>
      <c r="V18" s="441"/>
    </row>
    <row r="19" spans="1:24" s="445" customFormat="1" ht="27" customHeight="1">
      <c r="B19" s="447" t="s">
        <v>39</v>
      </c>
      <c r="C19" s="441" t="s">
        <v>27</v>
      </c>
      <c r="D19" s="441"/>
      <c r="E19" s="441"/>
      <c r="F19" s="584">
        <f>+K4</f>
        <v>0.1</v>
      </c>
      <c r="G19" s="584"/>
      <c r="H19" s="448" t="s">
        <v>28</v>
      </c>
      <c r="I19" s="449">
        <v>2.4</v>
      </c>
      <c r="J19" s="448" t="s">
        <v>7</v>
      </c>
      <c r="K19" s="585">
        <f>+ROUND(F19*I19,3)</f>
        <v>0.24</v>
      </c>
      <c r="L19" s="585"/>
      <c r="N19" s="447" t="s">
        <v>39</v>
      </c>
      <c r="O19" s="441" t="s">
        <v>27</v>
      </c>
      <c r="P19" s="441"/>
      <c r="Q19" s="441"/>
      <c r="R19" s="584">
        <f>+W17</f>
        <v>0.12</v>
      </c>
      <c r="S19" s="584"/>
      <c r="T19" s="448" t="s">
        <v>28</v>
      </c>
      <c r="U19" s="449">
        <v>2.4</v>
      </c>
      <c r="V19" s="448" t="s">
        <v>7</v>
      </c>
      <c r="W19" s="585">
        <f>+ROUND(R19*U19,3)</f>
        <v>0.28799999999999998</v>
      </c>
      <c r="X19" s="585"/>
    </row>
    <row r="20" spans="1:24" s="445" customFormat="1" ht="27" customHeight="1">
      <c r="B20" s="447" t="s">
        <v>40</v>
      </c>
      <c r="C20" s="441" t="s">
        <v>10</v>
      </c>
      <c r="D20" s="441"/>
      <c r="E20" s="441"/>
      <c r="F20" s="587">
        <f>+F7</f>
        <v>2.5000000000000001E-2</v>
      </c>
      <c r="G20" s="587"/>
      <c r="H20" s="448" t="s">
        <v>28</v>
      </c>
      <c r="I20" s="449">
        <v>2</v>
      </c>
      <c r="J20" s="448" t="s">
        <v>7</v>
      </c>
      <c r="K20" s="585">
        <f>+ROUND(F20*I20,3)</f>
        <v>0.05</v>
      </c>
      <c r="L20" s="585"/>
      <c r="N20" s="447" t="s">
        <v>40</v>
      </c>
      <c r="O20" s="441" t="s">
        <v>10</v>
      </c>
      <c r="P20" s="441"/>
      <c r="Q20" s="441"/>
      <c r="R20" s="587">
        <v>2.5000000000000001E-2</v>
      </c>
      <c r="S20" s="587"/>
      <c r="T20" s="448" t="s">
        <v>28</v>
      </c>
      <c r="U20" s="449">
        <v>2</v>
      </c>
      <c r="V20" s="448" t="s">
        <v>7</v>
      </c>
      <c r="W20" s="585">
        <f>+ROUND(R20*U20,3)</f>
        <v>0.05</v>
      </c>
      <c r="X20" s="585"/>
    </row>
    <row r="21" spans="1:24" s="445" customFormat="1" ht="27" customHeight="1">
      <c r="B21" s="447" t="s">
        <v>41</v>
      </c>
      <c r="C21" s="442" t="s">
        <v>32</v>
      </c>
      <c r="D21" s="442"/>
      <c r="E21" s="442"/>
      <c r="F21" s="587">
        <f>+F8</f>
        <v>2.5000000000000001E-2</v>
      </c>
      <c r="G21" s="587"/>
      <c r="H21" s="448" t="s">
        <v>28</v>
      </c>
      <c r="I21" s="449">
        <v>2</v>
      </c>
      <c r="J21" s="448" t="s">
        <v>7</v>
      </c>
      <c r="K21" s="586">
        <f>+ROUND(F21*I21,3)</f>
        <v>0.05</v>
      </c>
      <c r="L21" s="586"/>
      <c r="N21" s="447" t="s">
        <v>41</v>
      </c>
      <c r="O21" s="442" t="s">
        <v>32</v>
      </c>
      <c r="P21" s="442"/>
      <c r="Q21" s="442"/>
      <c r="R21" s="587">
        <f>+R8</f>
        <v>2.5000000000000001E-2</v>
      </c>
      <c r="S21" s="587"/>
      <c r="T21" s="448" t="s">
        <v>28</v>
      </c>
      <c r="U21" s="449">
        <v>2</v>
      </c>
      <c r="V21" s="448" t="s">
        <v>7</v>
      </c>
      <c r="W21" s="586">
        <f>+ROUND(R21*U21,3)</f>
        <v>0.05</v>
      </c>
      <c r="X21" s="586"/>
    </row>
    <row r="22" spans="1:24" s="445" customFormat="1" ht="27" customHeight="1">
      <c r="B22" s="441"/>
      <c r="C22" s="442"/>
      <c r="D22" s="442"/>
      <c r="E22" s="442"/>
      <c r="F22" s="441"/>
      <c r="G22" s="441"/>
      <c r="H22" s="441"/>
      <c r="I22" s="450" t="s">
        <v>179</v>
      </c>
      <c r="J22" s="441" t="s">
        <v>7</v>
      </c>
      <c r="K22" s="590">
        <f>SUM(K19:K21)</f>
        <v>0.33999999999999997</v>
      </c>
      <c r="L22" s="590"/>
      <c r="N22" s="441"/>
      <c r="O22" s="442"/>
      <c r="P22" s="442"/>
      <c r="Q22" s="442"/>
      <c r="R22" s="441"/>
      <c r="S22" s="441"/>
      <c r="T22" s="441"/>
      <c r="U22" s="450" t="s">
        <v>180</v>
      </c>
      <c r="V22" s="441" t="s">
        <v>7</v>
      </c>
      <c r="W22" s="590">
        <f>SUM(W19:W21)</f>
        <v>0.38799999999999996</v>
      </c>
      <c r="X22" s="590"/>
    </row>
    <row r="23" spans="1:24" s="445" customFormat="1" ht="27" customHeight="1">
      <c r="A23" s="446">
        <v>2.2000000000000002</v>
      </c>
      <c r="B23" s="446" t="s">
        <v>33</v>
      </c>
      <c r="C23" s="446"/>
      <c r="D23" s="460"/>
      <c r="E23" s="441"/>
      <c r="K23" s="585"/>
      <c r="L23" s="585"/>
      <c r="M23" s="446">
        <f>+M18+0.1</f>
        <v>1.2000000000000002</v>
      </c>
      <c r="N23" s="446" t="s">
        <v>33</v>
      </c>
      <c r="O23" s="446"/>
      <c r="P23" s="460"/>
      <c r="Q23" s="441"/>
      <c r="W23" s="585"/>
      <c r="X23" s="585"/>
    </row>
    <row r="24" spans="1:24" s="445" customFormat="1" ht="27" customHeight="1">
      <c r="B24" s="447" t="s">
        <v>42</v>
      </c>
      <c r="C24" s="442" t="s">
        <v>35</v>
      </c>
      <c r="E24" s="441"/>
      <c r="F24" s="441"/>
      <c r="G24" s="441"/>
      <c r="K24" s="586">
        <v>0.1</v>
      </c>
      <c r="L24" s="586"/>
      <c r="N24" s="447" t="s">
        <v>42</v>
      </c>
      <c r="O24" s="442" t="s">
        <v>35</v>
      </c>
      <c r="Q24" s="441"/>
      <c r="R24" s="441"/>
      <c r="S24" s="441"/>
      <c r="W24" s="586">
        <v>0.1</v>
      </c>
      <c r="X24" s="586"/>
    </row>
    <row r="25" spans="1:24" s="445" customFormat="1" ht="27" customHeight="1">
      <c r="B25" s="442"/>
      <c r="C25" s="441"/>
      <c r="D25" s="441"/>
      <c r="E25" s="441"/>
      <c r="F25" s="441"/>
      <c r="G25" s="441"/>
      <c r="H25" s="441"/>
      <c r="I25" s="450" t="s">
        <v>181</v>
      </c>
      <c r="J25" s="441" t="s">
        <v>7</v>
      </c>
      <c r="K25" s="590">
        <f>+K24</f>
        <v>0.1</v>
      </c>
      <c r="L25" s="590"/>
      <c r="N25" s="442"/>
      <c r="O25" s="441"/>
      <c r="P25" s="441"/>
      <c r="Q25" s="441"/>
      <c r="R25" s="441"/>
      <c r="S25" s="441"/>
      <c r="T25" s="441"/>
      <c r="U25" s="450" t="s">
        <v>182</v>
      </c>
      <c r="V25" s="441" t="s">
        <v>7</v>
      </c>
      <c r="W25" s="590">
        <f>+W24</f>
        <v>0.1</v>
      </c>
      <c r="X25" s="590"/>
    </row>
    <row r="26" spans="1:24" s="445" customFormat="1" ht="27" customHeight="1">
      <c r="B26" s="441"/>
      <c r="C26" s="591"/>
      <c r="D26" s="591"/>
      <c r="N26" s="441"/>
      <c r="O26" s="591"/>
      <c r="P26" s="591"/>
    </row>
    <row r="27" spans="1:24" s="445" customFormat="1" ht="27" customHeight="1">
      <c r="B27" s="436" t="s">
        <v>171</v>
      </c>
      <c r="C27" s="453">
        <v>1.2</v>
      </c>
      <c r="D27" s="585">
        <f>+K22</f>
        <v>0.33999999999999997</v>
      </c>
      <c r="E27" s="585"/>
      <c r="F27" s="454" t="s">
        <v>8</v>
      </c>
      <c r="G27" s="453">
        <v>1.6</v>
      </c>
      <c r="H27" s="585">
        <f>+K25</f>
        <v>0.1</v>
      </c>
      <c r="I27" s="585"/>
      <c r="J27" s="448" t="s">
        <v>7</v>
      </c>
      <c r="K27" s="589">
        <f>C27*D27+G27*H27</f>
        <v>0.56800000000000006</v>
      </c>
      <c r="L27" s="589"/>
      <c r="N27" s="19" t="s">
        <v>178</v>
      </c>
      <c r="O27" s="453">
        <v>1.2</v>
      </c>
      <c r="P27" s="585">
        <f>+W22</f>
        <v>0.38799999999999996</v>
      </c>
      <c r="Q27" s="585"/>
      <c r="R27" s="454" t="s">
        <v>8</v>
      </c>
      <c r="S27" s="453">
        <v>1.6</v>
      </c>
      <c r="T27" s="585">
        <f>+W25</f>
        <v>0.1</v>
      </c>
      <c r="U27" s="585"/>
      <c r="V27" s="448" t="s">
        <v>7</v>
      </c>
      <c r="W27" s="589">
        <f>O27*P27+S27*T27</f>
        <v>0.62559999999999993</v>
      </c>
      <c r="X27" s="589"/>
    </row>
    <row r="28" spans="1:24" s="445" customFormat="1" ht="27" customHeight="1">
      <c r="B28" s="19"/>
      <c r="C28" s="453"/>
      <c r="D28" s="461"/>
      <c r="E28" s="461"/>
      <c r="F28" s="454"/>
      <c r="G28" s="453"/>
      <c r="H28" s="461"/>
      <c r="I28" s="461"/>
      <c r="J28" s="448"/>
      <c r="K28" s="462"/>
      <c r="L28" s="462"/>
    </row>
    <row r="29" spans="1:24" ht="27" customHeight="1">
      <c r="A29" s="439">
        <v>1</v>
      </c>
      <c r="B29" s="580" t="s">
        <v>11</v>
      </c>
      <c r="C29" s="580"/>
      <c r="D29" s="580"/>
      <c r="E29" s="441"/>
      <c r="F29" s="441"/>
      <c r="G29" s="442"/>
      <c r="H29" s="442"/>
      <c r="I29" s="443"/>
      <c r="J29" s="463" t="s">
        <v>24</v>
      </c>
      <c r="K29" s="581">
        <v>0.14000000000000001</v>
      </c>
      <c r="L29" s="581"/>
      <c r="M29" s="440">
        <v>1</v>
      </c>
      <c r="N29" s="580" t="s">
        <v>11</v>
      </c>
      <c r="O29" s="580"/>
      <c r="P29" s="580"/>
      <c r="Q29" s="441"/>
      <c r="R29" s="441"/>
      <c r="S29" s="464"/>
      <c r="T29" s="464"/>
      <c r="U29" s="465"/>
      <c r="V29" s="463" t="s">
        <v>24</v>
      </c>
      <c r="W29" s="581">
        <v>0.16</v>
      </c>
      <c r="X29" s="581"/>
    </row>
    <row r="30" spans="1:24" ht="27" customHeight="1">
      <c r="A30" s="446">
        <v>1.1000000000000001</v>
      </c>
      <c r="B30" s="446" t="s">
        <v>25</v>
      </c>
      <c r="C30" s="446"/>
      <c r="D30" s="446"/>
      <c r="E30" s="446"/>
      <c r="F30" s="441"/>
      <c r="G30" s="441"/>
      <c r="H30" s="441"/>
      <c r="I30" s="441"/>
      <c r="J30" s="445"/>
      <c r="K30" s="445"/>
      <c r="L30" s="445"/>
      <c r="M30" s="446">
        <v>1.1000000000000001</v>
      </c>
      <c r="N30" s="446" t="s">
        <v>25</v>
      </c>
      <c r="O30" s="441"/>
      <c r="P30" s="441"/>
      <c r="Q30" s="441"/>
      <c r="R30" s="441"/>
      <c r="S30" s="441"/>
      <c r="T30" s="441"/>
      <c r="U30" s="441"/>
      <c r="V30" s="445"/>
      <c r="W30" s="445"/>
      <c r="X30" s="445"/>
    </row>
    <row r="31" spans="1:24" ht="27" customHeight="1">
      <c r="A31" s="445"/>
      <c r="B31" s="447" t="s">
        <v>26</v>
      </c>
      <c r="C31" s="441" t="s">
        <v>27</v>
      </c>
      <c r="D31" s="445"/>
      <c r="E31" s="445"/>
      <c r="F31" s="584">
        <f>+K29</f>
        <v>0.14000000000000001</v>
      </c>
      <c r="G31" s="584"/>
      <c r="H31" s="448" t="s">
        <v>28</v>
      </c>
      <c r="I31" s="449">
        <v>2.4</v>
      </c>
      <c r="J31" s="448" t="s">
        <v>7</v>
      </c>
      <c r="K31" s="585">
        <f>+ROUND(F31*I31,3)</f>
        <v>0.33600000000000002</v>
      </c>
      <c r="L31" s="585"/>
      <c r="M31" s="445"/>
      <c r="N31" s="447" t="s">
        <v>26</v>
      </c>
      <c r="O31" s="441" t="s">
        <v>27</v>
      </c>
      <c r="P31" s="445"/>
      <c r="Q31" s="445"/>
      <c r="R31" s="584">
        <f>+W29</f>
        <v>0.16</v>
      </c>
      <c r="S31" s="584"/>
      <c r="T31" s="448" t="s">
        <v>28</v>
      </c>
      <c r="U31" s="449">
        <v>2.4</v>
      </c>
      <c r="V31" s="448" t="s">
        <v>7</v>
      </c>
      <c r="W31" s="585">
        <f>+ROUND(R31*U31,3)</f>
        <v>0.38400000000000001</v>
      </c>
      <c r="X31" s="585"/>
    </row>
    <row r="32" spans="1:24" ht="27" customHeight="1">
      <c r="A32" s="445"/>
      <c r="B32" s="447" t="s">
        <v>29</v>
      </c>
      <c r="C32" s="441" t="s">
        <v>30</v>
      </c>
      <c r="D32" s="445"/>
      <c r="E32" s="445"/>
      <c r="F32" s="587">
        <f>F7</f>
        <v>2.5000000000000001E-2</v>
      </c>
      <c r="G32" s="587"/>
      <c r="H32" s="448" t="s">
        <v>28</v>
      </c>
      <c r="I32" s="449">
        <v>2</v>
      </c>
      <c r="J32" s="448" t="s">
        <v>7</v>
      </c>
      <c r="K32" s="585">
        <f>+ROUND(F32*I32,3)</f>
        <v>0.05</v>
      </c>
      <c r="L32" s="585"/>
      <c r="M32" s="445"/>
      <c r="N32" s="447" t="s">
        <v>29</v>
      </c>
      <c r="O32" s="441" t="s">
        <v>30</v>
      </c>
      <c r="P32" s="445"/>
      <c r="Q32" s="445"/>
      <c r="R32" s="587">
        <f>R7</f>
        <v>2.5000000000000001E-2</v>
      </c>
      <c r="S32" s="587"/>
      <c r="T32" s="448" t="s">
        <v>28</v>
      </c>
      <c r="U32" s="449">
        <v>2</v>
      </c>
      <c r="V32" s="448" t="s">
        <v>7</v>
      </c>
      <c r="W32" s="585">
        <f>+ROUND(R32*U32,3)</f>
        <v>0.05</v>
      </c>
      <c r="X32" s="585"/>
    </row>
    <row r="33" spans="1:24" ht="27" customHeight="1">
      <c r="A33" s="445"/>
      <c r="B33" s="447" t="s">
        <v>31</v>
      </c>
      <c r="C33" s="442" t="s">
        <v>32</v>
      </c>
      <c r="D33" s="445"/>
      <c r="E33" s="445"/>
      <c r="F33" s="587">
        <f>F8</f>
        <v>2.5000000000000001E-2</v>
      </c>
      <c r="G33" s="587"/>
      <c r="H33" s="448" t="s">
        <v>28</v>
      </c>
      <c r="I33" s="449">
        <v>2</v>
      </c>
      <c r="J33" s="448" t="s">
        <v>7</v>
      </c>
      <c r="K33" s="586">
        <f>+ROUND(F33*I33,3)</f>
        <v>0.05</v>
      </c>
      <c r="L33" s="586"/>
      <c r="M33" s="445"/>
      <c r="N33" s="447" t="s">
        <v>31</v>
      </c>
      <c r="O33" s="442" t="s">
        <v>32</v>
      </c>
      <c r="P33" s="445"/>
      <c r="Q33" s="445"/>
      <c r="R33" s="587">
        <f>R8</f>
        <v>2.5000000000000001E-2</v>
      </c>
      <c r="S33" s="587"/>
      <c r="T33" s="448" t="s">
        <v>28</v>
      </c>
      <c r="U33" s="449">
        <v>2</v>
      </c>
      <c r="V33" s="448" t="s">
        <v>7</v>
      </c>
      <c r="W33" s="586">
        <f>+ROUND(R33*U33,3)</f>
        <v>0.05</v>
      </c>
      <c r="X33" s="586"/>
    </row>
    <row r="34" spans="1:24" ht="27" customHeight="1">
      <c r="A34" s="441"/>
      <c r="B34" s="445"/>
      <c r="C34" s="441"/>
      <c r="D34" s="441"/>
      <c r="E34" s="441"/>
      <c r="F34" s="441"/>
      <c r="G34" s="441"/>
      <c r="H34" s="441"/>
      <c r="I34" s="450" t="s">
        <v>174</v>
      </c>
      <c r="J34" s="448" t="s">
        <v>7</v>
      </c>
      <c r="K34" s="593">
        <f>SUM(K31:K33)</f>
        <v>0.436</v>
      </c>
      <c r="L34" s="593"/>
      <c r="M34" s="441"/>
      <c r="N34" s="445"/>
      <c r="O34" s="441"/>
      <c r="P34" s="441"/>
      <c r="Q34" s="441"/>
      <c r="R34" s="441"/>
      <c r="S34" s="441"/>
      <c r="T34" s="441"/>
      <c r="U34" s="466" t="s">
        <v>174</v>
      </c>
      <c r="V34" s="441" t="s">
        <v>7</v>
      </c>
      <c r="W34" s="594">
        <f>SUM(W31:W33)</f>
        <v>0.48399999999999999</v>
      </c>
      <c r="X34" s="594"/>
    </row>
    <row r="35" spans="1:24" ht="27" customHeight="1">
      <c r="A35" s="446">
        <v>1.2</v>
      </c>
      <c r="B35" s="446" t="s">
        <v>33</v>
      </c>
      <c r="C35" s="446"/>
      <c r="D35" s="446"/>
      <c r="E35" s="441"/>
      <c r="F35" s="450"/>
      <c r="G35" s="441"/>
      <c r="H35" s="451"/>
      <c r="I35" s="441"/>
      <c r="J35" s="445"/>
      <c r="K35" s="445"/>
      <c r="L35" s="445"/>
      <c r="M35" s="446">
        <v>1.2</v>
      </c>
      <c r="N35" s="446" t="s">
        <v>33</v>
      </c>
      <c r="O35" s="441"/>
      <c r="P35" s="441"/>
      <c r="Q35" s="441"/>
      <c r="R35" s="466"/>
      <c r="S35" s="441"/>
      <c r="T35" s="467"/>
      <c r="U35" s="446"/>
      <c r="V35" s="445"/>
      <c r="W35" s="445"/>
      <c r="X35" s="445"/>
    </row>
    <row r="36" spans="1:24" ht="27" customHeight="1">
      <c r="A36" s="445"/>
      <c r="B36" s="447" t="s">
        <v>34</v>
      </c>
      <c r="C36" s="442" t="s">
        <v>35</v>
      </c>
      <c r="D36" s="441"/>
      <c r="E36" s="441"/>
      <c r="F36" s="441"/>
      <c r="G36" s="452"/>
      <c r="H36" s="441"/>
      <c r="I36" s="441"/>
      <c r="J36" s="451"/>
      <c r="K36" s="585">
        <f>+W11</f>
        <v>0.25</v>
      </c>
      <c r="L36" s="585"/>
      <c r="M36" s="445"/>
      <c r="N36" s="447" t="s">
        <v>34</v>
      </c>
      <c r="O36" s="442" t="s">
        <v>35</v>
      </c>
      <c r="P36" s="441"/>
      <c r="Q36" s="441"/>
      <c r="R36" s="441"/>
      <c r="S36" s="452"/>
      <c r="T36" s="441"/>
      <c r="U36" s="441"/>
      <c r="V36" s="451"/>
      <c r="W36" s="585">
        <v>0.25</v>
      </c>
      <c r="X36" s="585"/>
    </row>
    <row r="37" spans="1:24" ht="27" customHeight="1">
      <c r="A37" s="445"/>
      <c r="B37" s="447" t="s">
        <v>36</v>
      </c>
      <c r="C37" s="442" t="s">
        <v>37</v>
      </c>
      <c r="D37" s="441"/>
      <c r="E37" s="441"/>
      <c r="F37" s="441"/>
      <c r="G37" s="452"/>
      <c r="H37" s="441"/>
      <c r="I37" s="441"/>
      <c r="J37" s="451"/>
      <c r="K37" s="586">
        <f>+W12</f>
        <v>0.2</v>
      </c>
      <c r="L37" s="586"/>
      <c r="M37" s="445"/>
      <c r="N37" s="447" t="s">
        <v>36</v>
      </c>
      <c r="O37" s="442" t="s">
        <v>37</v>
      </c>
      <c r="P37" s="441"/>
      <c r="Q37" s="441"/>
      <c r="R37" s="441"/>
      <c r="S37" s="452"/>
      <c r="T37" s="441"/>
      <c r="U37" s="441"/>
      <c r="V37" s="451"/>
      <c r="W37" s="586">
        <v>0.2</v>
      </c>
      <c r="X37" s="586"/>
    </row>
    <row r="38" spans="1:24" ht="27" customHeight="1">
      <c r="A38" s="445"/>
      <c r="B38" s="445"/>
      <c r="C38" s="441"/>
      <c r="D38" s="441"/>
      <c r="E38" s="441"/>
      <c r="F38" s="441"/>
      <c r="G38" s="441"/>
      <c r="H38" s="441"/>
      <c r="I38" s="450" t="s">
        <v>176</v>
      </c>
      <c r="J38" s="441" t="s">
        <v>7</v>
      </c>
      <c r="K38" s="593">
        <f>+K36+K37</f>
        <v>0.45</v>
      </c>
      <c r="L38" s="593" t="s">
        <v>38</v>
      </c>
      <c r="M38" s="445"/>
      <c r="N38" s="445"/>
      <c r="O38" s="441"/>
      <c r="P38" s="441"/>
      <c r="Q38" s="441"/>
      <c r="R38" s="441"/>
      <c r="S38" s="441"/>
      <c r="T38" s="441"/>
      <c r="U38" s="466" t="s">
        <v>176</v>
      </c>
      <c r="V38" s="441" t="s">
        <v>7</v>
      </c>
      <c r="W38" s="594">
        <f>+W36+W37</f>
        <v>0.45</v>
      </c>
      <c r="X38" s="594" t="s">
        <v>38</v>
      </c>
    </row>
    <row r="39" spans="1:24" ht="27" customHeight="1">
      <c r="A39" s="445"/>
      <c r="B39" s="445"/>
      <c r="C39" s="441"/>
      <c r="D39" s="445"/>
      <c r="E39" s="441"/>
      <c r="F39" s="450"/>
      <c r="G39" s="441"/>
      <c r="H39" s="451"/>
      <c r="I39" s="441"/>
      <c r="J39" s="445"/>
      <c r="K39" s="445"/>
      <c r="L39" s="445"/>
      <c r="M39" s="445"/>
      <c r="N39" s="445"/>
      <c r="O39" s="441"/>
      <c r="P39" s="445"/>
      <c r="Q39" s="441"/>
      <c r="R39" s="466"/>
      <c r="S39" s="441"/>
      <c r="T39" s="467"/>
      <c r="U39" s="446"/>
      <c r="V39" s="445"/>
      <c r="W39" s="445"/>
      <c r="X39" s="445"/>
    </row>
    <row r="40" spans="1:24" ht="27" customHeight="1">
      <c r="A40" s="445"/>
      <c r="B40" s="19" t="s">
        <v>171</v>
      </c>
      <c r="C40" s="453">
        <v>1.2</v>
      </c>
      <c r="D40" s="585">
        <f>+K34</f>
        <v>0.436</v>
      </c>
      <c r="E40" s="585"/>
      <c r="F40" s="454" t="s">
        <v>8</v>
      </c>
      <c r="G40" s="453">
        <v>1.6</v>
      </c>
      <c r="H40" s="585">
        <f>+K38</f>
        <v>0.45</v>
      </c>
      <c r="I40" s="585"/>
      <c r="J40" s="448" t="s">
        <v>7</v>
      </c>
      <c r="K40" s="589">
        <f>C40*D40+G40*H40</f>
        <v>1.2432000000000001</v>
      </c>
      <c r="L40" s="589"/>
      <c r="M40" s="445"/>
      <c r="N40" s="436" t="s">
        <v>171</v>
      </c>
      <c r="O40" s="453">
        <v>1.2</v>
      </c>
      <c r="P40" s="585">
        <f>+W34</f>
        <v>0.48399999999999999</v>
      </c>
      <c r="Q40" s="585"/>
      <c r="R40" s="454" t="s">
        <v>8</v>
      </c>
      <c r="S40" s="453">
        <v>1.6</v>
      </c>
      <c r="T40" s="585">
        <f>+W38</f>
        <v>0.45</v>
      </c>
      <c r="U40" s="585"/>
      <c r="V40" s="448" t="s">
        <v>7</v>
      </c>
      <c r="W40" s="589">
        <f>O40*P40+S40*T40</f>
        <v>1.3008000000000002</v>
      </c>
      <c r="X40" s="589"/>
    </row>
    <row r="41" spans="1:24" ht="27" customHeight="1">
      <c r="A41" s="445"/>
      <c r="B41" s="445"/>
      <c r="C41" s="445"/>
      <c r="D41" s="447"/>
      <c r="E41" s="454"/>
      <c r="F41" s="455"/>
      <c r="G41" s="454"/>
      <c r="H41" s="455"/>
      <c r="I41" s="455"/>
      <c r="J41" s="457"/>
      <c r="K41" s="458"/>
      <c r="L41" s="459"/>
      <c r="M41" s="445"/>
      <c r="N41" s="445"/>
      <c r="O41" s="445"/>
      <c r="P41" s="468"/>
      <c r="Q41" s="454"/>
      <c r="R41" s="455"/>
      <c r="S41" s="454"/>
      <c r="T41" s="455"/>
      <c r="U41" s="455"/>
      <c r="V41" s="457"/>
      <c r="W41" s="469"/>
      <c r="X41" s="456"/>
    </row>
    <row r="42" spans="1:24" ht="27" customHeight="1">
      <c r="A42" s="439">
        <v>2</v>
      </c>
      <c r="B42" s="592" t="s">
        <v>16</v>
      </c>
      <c r="C42" s="592"/>
      <c r="D42" s="441"/>
      <c r="E42" s="441"/>
      <c r="F42" s="441"/>
      <c r="G42" s="441"/>
      <c r="H42" s="441"/>
      <c r="I42" s="443"/>
      <c r="J42" s="463" t="s">
        <v>24</v>
      </c>
      <c r="K42" s="581">
        <f>+K29</f>
        <v>0.14000000000000001</v>
      </c>
      <c r="L42" s="581"/>
      <c r="M42" s="440">
        <v>2</v>
      </c>
      <c r="N42" s="580" t="s">
        <v>16</v>
      </c>
      <c r="O42" s="580"/>
      <c r="P42" s="441"/>
      <c r="Q42" s="441"/>
      <c r="R42" s="441"/>
      <c r="S42" s="441"/>
      <c r="T42" s="441"/>
      <c r="U42" s="441"/>
      <c r="V42" s="463" t="s">
        <v>24</v>
      </c>
      <c r="W42" s="581">
        <f>+W29</f>
        <v>0.16</v>
      </c>
      <c r="X42" s="581"/>
    </row>
    <row r="43" spans="1:24" ht="27" customHeight="1">
      <c r="A43" s="441">
        <v>2.1</v>
      </c>
      <c r="B43" s="441" t="s">
        <v>25</v>
      </c>
      <c r="C43" s="445"/>
      <c r="D43" s="441"/>
      <c r="E43" s="441"/>
      <c r="F43" s="441"/>
      <c r="G43" s="441"/>
      <c r="H43" s="441"/>
      <c r="I43" s="441"/>
      <c r="J43" s="441"/>
      <c r="K43" s="445"/>
      <c r="L43" s="445"/>
      <c r="M43" s="446">
        <v>2.1</v>
      </c>
      <c r="N43" s="446" t="s">
        <v>25</v>
      </c>
      <c r="O43" s="445"/>
      <c r="P43" s="441"/>
      <c r="Q43" s="441"/>
      <c r="R43" s="441"/>
      <c r="S43" s="441"/>
      <c r="T43" s="441"/>
      <c r="U43" s="441"/>
      <c r="V43" s="441"/>
      <c r="W43" s="445"/>
      <c r="X43" s="445"/>
    </row>
    <row r="44" spans="1:24" ht="27" customHeight="1">
      <c r="A44" s="445"/>
      <c r="B44" s="447" t="s">
        <v>39</v>
      </c>
      <c r="C44" s="441" t="s">
        <v>27</v>
      </c>
      <c r="D44" s="441"/>
      <c r="E44" s="441"/>
      <c r="F44" s="584">
        <f>+K29</f>
        <v>0.14000000000000001</v>
      </c>
      <c r="G44" s="584"/>
      <c r="H44" s="448" t="s">
        <v>28</v>
      </c>
      <c r="I44" s="449">
        <v>2.4</v>
      </c>
      <c r="J44" s="448" t="s">
        <v>7</v>
      </c>
      <c r="K44" s="585">
        <f>+ROUND(F44*I44,3)</f>
        <v>0.33600000000000002</v>
      </c>
      <c r="L44" s="585"/>
      <c r="M44" s="445"/>
      <c r="N44" s="447" t="s">
        <v>39</v>
      </c>
      <c r="O44" s="441" t="s">
        <v>27</v>
      </c>
      <c r="P44" s="441"/>
      <c r="Q44" s="441"/>
      <c r="R44" s="584">
        <f>+W29</f>
        <v>0.16</v>
      </c>
      <c r="S44" s="584"/>
      <c r="T44" s="448" t="s">
        <v>28</v>
      </c>
      <c r="U44" s="449">
        <v>2.4</v>
      </c>
      <c r="V44" s="448" t="s">
        <v>7</v>
      </c>
      <c r="W44" s="585">
        <f>+ROUND(R44*U44,3)</f>
        <v>0.38400000000000001</v>
      </c>
      <c r="X44" s="585"/>
    </row>
    <row r="45" spans="1:24" ht="27" customHeight="1">
      <c r="A45" s="445"/>
      <c r="B45" s="447" t="s">
        <v>40</v>
      </c>
      <c r="C45" s="441" t="s">
        <v>10</v>
      </c>
      <c r="D45" s="441"/>
      <c r="E45" s="441"/>
      <c r="F45" s="587">
        <v>2.5000000000000001E-2</v>
      </c>
      <c r="G45" s="587"/>
      <c r="H45" s="448" t="s">
        <v>28</v>
      </c>
      <c r="I45" s="449">
        <v>2</v>
      </c>
      <c r="J45" s="448" t="s">
        <v>7</v>
      </c>
      <c r="K45" s="585">
        <f>+ROUND(F45*I45,3)</f>
        <v>0.05</v>
      </c>
      <c r="L45" s="585"/>
      <c r="M45" s="445"/>
      <c r="N45" s="447" t="s">
        <v>40</v>
      </c>
      <c r="O45" s="441" t="s">
        <v>10</v>
      </c>
      <c r="P45" s="441"/>
      <c r="Q45" s="441"/>
      <c r="R45" s="587">
        <f>+R32</f>
        <v>2.5000000000000001E-2</v>
      </c>
      <c r="S45" s="587"/>
      <c r="T45" s="448" t="s">
        <v>28</v>
      </c>
      <c r="U45" s="449">
        <v>2</v>
      </c>
      <c r="V45" s="448" t="s">
        <v>7</v>
      </c>
      <c r="W45" s="585">
        <f>+ROUND(R45*U45,3)</f>
        <v>0.05</v>
      </c>
      <c r="X45" s="585"/>
    </row>
    <row r="46" spans="1:24" ht="27" customHeight="1">
      <c r="A46" s="445"/>
      <c r="B46" s="447" t="s">
        <v>41</v>
      </c>
      <c r="C46" s="442" t="s">
        <v>32</v>
      </c>
      <c r="D46" s="442"/>
      <c r="E46" s="442"/>
      <c r="F46" s="587">
        <f>+F33</f>
        <v>2.5000000000000001E-2</v>
      </c>
      <c r="G46" s="587"/>
      <c r="H46" s="448" t="s">
        <v>28</v>
      </c>
      <c r="I46" s="449">
        <v>2</v>
      </c>
      <c r="J46" s="448" t="s">
        <v>7</v>
      </c>
      <c r="K46" s="586">
        <f>+ROUND(F46*I46,3)</f>
        <v>0.05</v>
      </c>
      <c r="L46" s="586"/>
      <c r="M46" s="445"/>
      <c r="N46" s="447" t="s">
        <v>41</v>
      </c>
      <c r="O46" s="442" t="s">
        <v>32</v>
      </c>
      <c r="P46" s="442"/>
      <c r="Q46" s="442"/>
      <c r="R46" s="587">
        <f>+R33</f>
        <v>2.5000000000000001E-2</v>
      </c>
      <c r="S46" s="587"/>
      <c r="T46" s="448" t="s">
        <v>28</v>
      </c>
      <c r="U46" s="449">
        <v>2</v>
      </c>
      <c r="V46" s="448" t="s">
        <v>7</v>
      </c>
      <c r="W46" s="586">
        <f>+ROUND(R46*U46,3)</f>
        <v>0.05</v>
      </c>
      <c r="X46" s="586"/>
    </row>
    <row r="47" spans="1:24" ht="27" customHeight="1">
      <c r="A47" s="445"/>
      <c r="B47" s="441"/>
      <c r="C47" s="442"/>
      <c r="D47" s="442"/>
      <c r="E47" s="442"/>
      <c r="F47" s="441"/>
      <c r="G47" s="441"/>
      <c r="H47" s="441"/>
      <c r="I47" s="450" t="s">
        <v>179</v>
      </c>
      <c r="J47" s="441" t="s">
        <v>7</v>
      </c>
      <c r="K47" s="590">
        <f>SUM(K44:K46)</f>
        <v>0.436</v>
      </c>
      <c r="L47" s="590"/>
      <c r="M47" s="445"/>
      <c r="N47" s="441"/>
      <c r="O47" s="464"/>
      <c r="P47" s="464"/>
      <c r="Q47" s="464"/>
      <c r="R47" s="441"/>
      <c r="S47" s="441"/>
      <c r="T47" s="441"/>
      <c r="U47" s="466" t="s">
        <v>179</v>
      </c>
      <c r="V47" s="441" t="s">
        <v>7</v>
      </c>
      <c r="W47" s="594">
        <f>SUM(W44:W46)</f>
        <v>0.48399999999999999</v>
      </c>
      <c r="X47" s="594"/>
    </row>
    <row r="48" spans="1:24" ht="27" customHeight="1">
      <c r="A48" s="441">
        <v>2.2000000000000002</v>
      </c>
      <c r="B48" s="441" t="s">
        <v>33</v>
      </c>
      <c r="C48" s="441"/>
      <c r="D48" s="445"/>
      <c r="E48" s="441"/>
      <c r="F48" s="445"/>
      <c r="G48" s="445"/>
      <c r="H48" s="445"/>
      <c r="I48" s="445"/>
      <c r="J48" s="445"/>
      <c r="K48" s="585"/>
      <c r="L48" s="585"/>
      <c r="M48" s="446">
        <v>2.2000000000000002</v>
      </c>
      <c r="N48" s="446" t="s">
        <v>33</v>
      </c>
      <c r="O48" s="441"/>
      <c r="P48" s="445"/>
      <c r="Q48" s="441"/>
      <c r="R48" s="445"/>
      <c r="S48" s="445"/>
      <c r="T48" s="445"/>
      <c r="U48" s="445"/>
      <c r="V48" s="445"/>
      <c r="W48" s="585"/>
      <c r="X48" s="585"/>
    </row>
    <row r="49" spans="1:24" ht="27" customHeight="1">
      <c r="A49" s="445"/>
      <c r="B49" s="447" t="s">
        <v>42</v>
      </c>
      <c r="C49" s="442" t="s">
        <v>35</v>
      </c>
      <c r="D49" s="445"/>
      <c r="E49" s="441"/>
      <c r="F49" s="441"/>
      <c r="G49" s="441"/>
      <c r="H49" s="445"/>
      <c r="I49" s="445"/>
      <c r="J49" s="445"/>
      <c r="K49" s="586">
        <v>0.1</v>
      </c>
      <c r="L49" s="586"/>
      <c r="M49" s="445"/>
      <c r="N49" s="447" t="s">
        <v>42</v>
      </c>
      <c r="O49" s="442" t="s">
        <v>35</v>
      </c>
      <c r="P49" s="445"/>
      <c r="Q49" s="441"/>
      <c r="R49" s="441"/>
      <c r="S49" s="441"/>
      <c r="T49" s="445"/>
      <c r="U49" s="445"/>
      <c r="V49" s="445"/>
      <c r="W49" s="586">
        <v>0.1</v>
      </c>
      <c r="X49" s="586"/>
    </row>
    <row r="50" spans="1:24" ht="27" customHeight="1">
      <c r="A50" s="445"/>
      <c r="B50" s="442"/>
      <c r="C50" s="441"/>
      <c r="D50" s="441"/>
      <c r="E50" s="441"/>
      <c r="F50" s="441"/>
      <c r="G50" s="441"/>
      <c r="H50" s="441"/>
      <c r="I50" s="450" t="s">
        <v>181</v>
      </c>
      <c r="J50" s="441" t="s">
        <v>7</v>
      </c>
      <c r="K50" s="590">
        <f>+K49</f>
        <v>0.1</v>
      </c>
      <c r="L50" s="590"/>
      <c r="M50" s="445"/>
      <c r="N50" s="442"/>
      <c r="O50" s="441"/>
      <c r="P50" s="441"/>
      <c r="Q50" s="441"/>
      <c r="R50" s="441"/>
      <c r="S50" s="441"/>
      <c r="T50" s="441"/>
      <c r="U50" s="466" t="s">
        <v>181</v>
      </c>
      <c r="V50" s="441" t="s">
        <v>7</v>
      </c>
      <c r="W50" s="594">
        <f>+W49</f>
        <v>0.1</v>
      </c>
      <c r="X50" s="594"/>
    </row>
    <row r="51" spans="1:24" ht="27" customHeight="1">
      <c r="A51" s="445"/>
      <c r="B51" s="441"/>
      <c r="C51" s="591"/>
      <c r="D51" s="591"/>
      <c r="E51" s="445"/>
      <c r="F51" s="445"/>
      <c r="G51" s="445"/>
      <c r="H51" s="445"/>
      <c r="I51" s="445"/>
      <c r="J51" s="445"/>
      <c r="K51" s="445"/>
      <c r="L51" s="445"/>
      <c r="M51" s="445"/>
      <c r="N51" s="441"/>
      <c r="O51" s="595"/>
      <c r="P51" s="595"/>
      <c r="Q51" s="445"/>
      <c r="R51" s="445"/>
      <c r="S51" s="445"/>
      <c r="T51" s="445"/>
      <c r="U51" s="445"/>
      <c r="V51" s="445"/>
      <c r="W51" s="445"/>
      <c r="X51" s="445"/>
    </row>
    <row r="52" spans="1:24" ht="27" customHeight="1">
      <c r="A52" s="445"/>
      <c r="B52" s="19" t="s">
        <v>171</v>
      </c>
      <c r="C52" s="453">
        <v>1.2</v>
      </c>
      <c r="D52" s="585">
        <f>+K47</f>
        <v>0.436</v>
      </c>
      <c r="E52" s="585"/>
      <c r="F52" s="454" t="s">
        <v>8</v>
      </c>
      <c r="G52" s="453">
        <v>1.6</v>
      </c>
      <c r="H52" s="585">
        <f>+K50</f>
        <v>0.1</v>
      </c>
      <c r="I52" s="585"/>
      <c r="J52" s="448" t="s">
        <v>7</v>
      </c>
      <c r="K52" s="589">
        <f>C52*D52+G52*H52</f>
        <v>0.68320000000000003</v>
      </c>
      <c r="L52" s="589"/>
      <c r="M52" s="445"/>
      <c r="N52" s="436" t="s">
        <v>171</v>
      </c>
      <c r="O52" s="453">
        <v>1.2</v>
      </c>
      <c r="P52" s="585">
        <f>+W47</f>
        <v>0.48399999999999999</v>
      </c>
      <c r="Q52" s="585"/>
      <c r="R52" s="454" t="s">
        <v>8</v>
      </c>
      <c r="S52" s="453">
        <v>1.6</v>
      </c>
      <c r="T52" s="585">
        <f>+W50</f>
        <v>0.1</v>
      </c>
      <c r="U52" s="585"/>
      <c r="V52" s="448" t="s">
        <v>7</v>
      </c>
      <c r="W52" s="589">
        <f>O52*P52+S52*T52</f>
        <v>0.74080000000000001</v>
      </c>
      <c r="X52" s="589"/>
    </row>
    <row r="53" spans="1:24" ht="27" customHeight="1">
      <c r="A53" s="445"/>
      <c r="B53" s="19"/>
      <c r="C53" s="453"/>
      <c r="D53" s="461"/>
      <c r="E53" s="461"/>
      <c r="F53" s="454"/>
      <c r="G53" s="453"/>
      <c r="H53" s="461"/>
      <c r="I53" s="461"/>
      <c r="J53" s="448"/>
      <c r="K53" s="462"/>
      <c r="L53" s="462"/>
    </row>
    <row r="54" spans="1:24" ht="27" customHeight="1">
      <c r="A54" s="445"/>
      <c r="B54" s="19"/>
      <c r="C54" s="453"/>
      <c r="D54" s="498"/>
      <c r="E54" s="498"/>
      <c r="F54" s="454"/>
      <c r="G54" s="453"/>
      <c r="H54" s="498"/>
      <c r="I54" s="498"/>
      <c r="J54" s="448"/>
      <c r="K54" s="462"/>
      <c r="L54" s="462"/>
    </row>
    <row r="55" spans="1:24" ht="27" customHeight="1">
      <c r="A55" s="445"/>
      <c r="B55" s="19"/>
      <c r="C55" s="453"/>
      <c r="D55" s="498"/>
      <c r="E55" s="498"/>
      <c r="F55" s="454"/>
      <c r="G55" s="453"/>
      <c r="H55" s="498"/>
      <c r="I55" s="498"/>
      <c r="J55" s="448"/>
      <c r="K55" s="462"/>
      <c r="L55" s="462"/>
    </row>
    <row r="56" spans="1:24" ht="27" customHeight="1">
      <c r="A56" s="445"/>
      <c r="B56" s="19"/>
      <c r="C56" s="453"/>
      <c r="D56" s="498"/>
      <c r="E56" s="498"/>
      <c r="F56" s="454"/>
      <c r="G56" s="453"/>
      <c r="H56" s="498"/>
      <c r="I56" s="498"/>
      <c r="J56" s="448"/>
      <c r="K56" s="462"/>
      <c r="L56" s="462"/>
    </row>
    <row r="57" spans="1:24" ht="27" customHeight="1">
      <c r="A57" s="440">
        <v>1</v>
      </c>
      <c r="B57" s="580" t="s">
        <v>11</v>
      </c>
      <c r="C57" s="580"/>
      <c r="D57" s="580"/>
      <c r="E57" s="441"/>
      <c r="F57" s="441"/>
      <c r="G57" s="464"/>
      <c r="H57" s="464"/>
      <c r="I57" s="465"/>
      <c r="J57" s="463" t="s">
        <v>24</v>
      </c>
      <c r="K57" s="581">
        <v>0.18</v>
      </c>
      <c r="L57" s="581"/>
    </row>
    <row r="58" spans="1:24" ht="27" customHeight="1">
      <c r="A58" s="446">
        <v>1.1000000000000001</v>
      </c>
      <c r="B58" s="446" t="s">
        <v>25</v>
      </c>
      <c r="C58" s="441"/>
      <c r="D58" s="441"/>
      <c r="E58" s="441"/>
      <c r="F58" s="441"/>
      <c r="G58" s="441"/>
      <c r="H58" s="441"/>
      <c r="I58" s="441"/>
      <c r="J58" s="445"/>
      <c r="K58" s="445"/>
      <c r="L58" s="445"/>
    </row>
    <row r="59" spans="1:24" ht="27" customHeight="1">
      <c r="A59" s="445"/>
      <c r="B59" s="447" t="s">
        <v>26</v>
      </c>
      <c r="C59" s="441" t="s">
        <v>27</v>
      </c>
      <c r="D59" s="445"/>
      <c r="E59" s="445"/>
      <c r="F59" s="584">
        <f>+K57</f>
        <v>0.18</v>
      </c>
      <c r="G59" s="584"/>
      <c r="H59" s="448" t="s">
        <v>28</v>
      </c>
      <c r="I59" s="449">
        <v>2.4</v>
      </c>
      <c r="J59" s="448" t="s">
        <v>7</v>
      </c>
      <c r="K59" s="585">
        <f>+ROUND(F59*I59,3)</f>
        <v>0.432</v>
      </c>
      <c r="L59" s="585"/>
    </row>
    <row r="60" spans="1:24" ht="27" customHeight="1">
      <c r="A60" s="445"/>
      <c r="B60" s="447" t="s">
        <v>29</v>
      </c>
      <c r="C60" s="441" t="s">
        <v>30</v>
      </c>
      <c r="D60" s="445"/>
      <c r="E60" s="445"/>
      <c r="F60" s="587">
        <f>F32</f>
        <v>2.5000000000000001E-2</v>
      </c>
      <c r="G60" s="587"/>
      <c r="H60" s="448" t="s">
        <v>28</v>
      </c>
      <c r="I60" s="449">
        <v>2</v>
      </c>
      <c r="J60" s="448" t="s">
        <v>7</v>
      </c>
      <c r="K60" s="585">
        <f>+ROUND(F60*I60,3)</f>
        <v>0.05</v>
      </c>
      <c r="L60" s="585"/>
    </row>
    <row r="61" spans="1:24" ht="27" customHeight="1">
      <c r="A61" s="445"/>
      <c r="B61" s="447" t="s">
        <v>31</v>
      </c>
      <c r="C61" s="442" t="s">
        <v>32</v>
      </c>
      <c r="D61" s="445"/>
      <c r="E61" s="445"/>
      <c r="F61" s="587">
        <f>F33</f>
        <v>2.5000000000000001E-2</v>
      </c>
      <c r="G61" s="587"/>
      <c r="H61" s="448" t="s">
        <v>28</v>
      </c>
      <c r="I61" s="449">
        <v>2</v>
      </c>
      <c r="J61" s="448" t="s">
        <v>7</v>
      </c>
      <c r="K61" s="586">
        <f>+ROUND(F61*I61,3)</f>
        <v>0.05</v>
      </c>
      <c r="L61" s="586"/>
    </row>
    <row r="62" spans="1:24" ht="27" customHeight="1">
      <c r="A62" s="441"/>
      <c r="B62" s="445"/>
      <c r="C62" s="441"/>
      <c r="D62" s="441"/>
      <c r="E62" s="441"/>
      <c r="F62" s="441"/>
      <c r="G62" s="441"/>
      <c r="H62" s="441"/>
      <c r="I62" s="466" t="s">
        <v>174</v>
      </c>
      <c r="J62" s="441" t="s">
        <v>7</v>
      </c>
      <c r="K62" s="594">
        <f>SUM(K59:K61)</f>
        <v>0.53200000000000003</v>
      </c>
      <c r="L62" s="594"/>
    </row>
    <row r="63" spans="1:24" ht="27" customHeight="1">
      <c r="A63" s="446">
        <v>1.2</v>
      </c>
      <c r="B63" s="446" t="s">
        <v>33</v>
      </c>
      <c r="C63" s="441"/>
      <c r="D63" s="441"/>
      <c r="E63" s="441"/>
      <c r="F63" s="466"/>
      <c r="G63" s="441"/>
      <c r="H63" s="467"/>
      <c r="I63" s="446"/>
      <c r="J63" s="445"/>
      <c r="K63" s="445"/>
      <c r="L63" s="445"/>
    </row>
    <row r="64" spans="1:24" ht="27" customHeight="1">
      <c r="A64" s="445"/>
      <c r="B64" s="447" t="s">
        <v>34</v>
      </c>
      <c r="C64" s="442" t="s">
        <v>35</v>
      </c>
      <c r="D64" s="441"/>
      <c r="E64" s="441"/>
      <c r="F64" s="441"/>
      <c r="G64" s="452"/>
      <c r="H64" s="441"/>
      <c r="I64" s="441"/>
      <c r="J64" s="451"/>
      <c r="K64" s="585">
        <v>0.25</v>
      </c>
      <c r="L64" s="585"/>
    </row>
    <row r="65" spans="1:12" ht="27" customHeight="1">
      <c r="A65" s="445"/>
      <c r="B65" s="447" t="s">
        <v>36</v>
      </c>
      <c r="C65" s="442" t="s">
        <v>37</v>
      </c>
      <c r="D65" s="441"/>
      <c r="E65" s="441"/>
      <c r="F65" s="441"/>
      <c r="G65" s="452"/>
      <c r="H65" s="441"/>
      <c r="I65" s="441"/>
      <c r="J65" s="451"/>
      <c r="K65" s="586">
        <v>0.2</v>
      </c>
      <c r="L65" s="586"/>
    </row>
    <row r="66" spans="1:12" ht="27" customHeight="1">
      <c r="A66" s="445"/>
      <c r="B66" s="445"/>
      <c r="C66" s="441"/>
      <c r="D66" s="441"/>
      <c r="E66" s="441"/>
      <c r="F66" s="441"/>
      <c r="G66" s="441"/>
      <c r="H66" s="441"/>
      <c r="I66" s="466" t="s">
        <v>176</v>
      </c>
      <c r="J66" s="441" t="s">
        <v>7</v>
      </c>
      <c r="K66" s="594">
        <f>+K64+K65</f>
        <v>0.45</v>
      </c>
      <c r="L66" s="594" t="s">
        <v>38</v>
      </c>
    </row>
    <row r="67" spans="1:12" ht="27" customHeight="1">
      <c r="A67" s="445"/>
      <c r="B67" s="445"/>
      <c r="C67" s="441"/>
      <c r="D67" s="445"/>
      <c r="E67" s="441"/>
      <c r="F67" s="466"/>
      <c r="G67" s="441"/>
      <c r="H67" s="467"/>
      <c r="I67" s="446"/>
      <c r="J67" s="445"/>
      <c r="K67" s="445"/>
      <c r="L67" s="445"/>
    </row>
    <row r="68" spans="1:12" ht="27" customHeight="1">
      <c r="A68" s="445"/>
      <c r="B68" s="436" t="s">
        <v>171</v>
      </c>
      <c r="C68" s="453">
        <v>1.2</v>
      </c>
      <c r="D68" s="585">
        <f>+K62</f>
        <v>0.53200000000000003</v>
      </c>
      <c r="E68" s="585"/>
      <c r="F68" s="454" t="s">
        <v>8</v>
      </c>
      <c r="G68" s="453">
        <v>1.6</v>
      </c>
      <c r="H68" s="585">
        <f>+K66</f>
        <v>0.45</v>
      </c>
      <c r="I68" s="585"/>
      <c r="J68" s="448" t="s">
        <v>7</v>
      </c>
      <c r="K68" s="589">
        <f>C68*D68+G68*H68</f>
        <v>1.3584000000000001</v>
      </c>
      <c r="L68" s="589"/>
    </row>
    <row r="69" spans="1:12" ht="27" customHeight="1">
      <c r="A69" s="445"/>
      <c r="B69" s="445"/>
      <c r="C69" s="445"/>
      <c r="D69" s="468"/>
      <c r="E69" s="454"/>
      <c r="F69" s="455"/>
      <c r="G69" s="454"/>
      <c r="H69" s="455"/>
      <c r="I69" s="455"/>
      <c r="J69" s="457"/>
      <c r="K69" s="469"/>
      <c r="L69" s="456"/>
    </row>
    <row r="70" spans="1:12" ht="27" customHeight="1">
      <c r="A70" s="440">
        <v>2</v>
      </c>
      <c r="B70" s="580" t="s">
        <v>16</v>
      </c>
      <c r="C70" s="580"/>
      <c r="D70" s="441"/>
      <c r="E70" s="441"/>
      <c r="F70" s="441"/>
      <c r="G70" s="441"/>
      <c r="H70" s="441"/>
      <c r="I70" s="441"/>
      <c r="J70" s="445"/>
      <c r="K70" s="445"/>
      <c r="L70" s="445"/>
    </row>
    <row r="71" spans="1:12" ht="27" customHeight="1">
      <c r="A71" s="446">
        <v>2.1</v>
      </c>
      <c r="B71" s="446" t="s">
        <v>25</v>
      </c>
      <c r="C71" s="445"/>
      <c r="D71" s="441"/>
      <c r="E71" s="441"/>
      <c r="F71" s="441"/>
      <c r="G71" s="441"/>
      <c r="H71" s="441"/>
      <c r="I71" s="441"/>
      <c r="J71" s="441"/>
      <c r="K71" s="445"/>
      <c r="L71" s="445"/>
    </row>
    <row r="72" spans="1:12" ht="27" customHeight="1">
      <c r="A72" s="445"/>
      <c r="B72" s="447" t="s">
        <v>39</v>
      </c>
      <c r="C72" s="441" t="s">
        <v>27</v>
      </c>
      <c r="D72" s="441"/>
      <c r="E72" s="441"/>
      <c r="F72" s="584">
        <f>+K57</f>
        <v>0.18</v>
      </c>
      <c r="G72" s="584"/>
      <c r="H72" s="448" t="s">
        <v>28</v>
      </c>
      <c r="I72" s="449">
        <v>2.4</v>
      </c>
      <c r="J72" s="448" t="s">
        <v>7</v>
      </c>
      <c r="K72" s="585">
        <f>+ROUND(F72*I72,3)</f>
        <v>0.432</v>
      </c>
      <c r="L72" s="585"/>
    </row>
    <row r="73" spans="1:12" ht="27" customHeight="1">
      <c r="A73" s="445"/>
      <c r="B73" s="447" t="s">
        <v>40</v>
      </c>
      <c r="C73" s="441" t="s">
        <v>10</v>
      </c>
      <c r="D73" s="441"/>
      <c r="E73" s="441"/>
      <c r="F73" s="587">
        <f>+F60</f>
        <v>2.5000000000000001E-2</v>
      </c>
      <c r="G73" s="587"/>
      <c r="H73" s="448" t="s">
        <v>28</v>
      </c>
      <c r="I73" s="449">
        <v>2</v>
      </c>
      <c r="J73" s="448" t="s">
        <v>7</v>
      </c>
      <c r="K73" s="585">
        <f>+ROUND(F73*I73,3)</f>
        <v>0.05</v>
      </c>
      <c r="L73" s="585"/>
    </row>
    <row r="74" spans="1:12" ht="27" customHeight="1">
      <c r="A74" s="445"/>
      <c r="B74" s="447" t="s">
        <v>41</v>
      </c>
      <c r="C74" s="442" t="s">
        <v>32</v>
      </c>
      <c r="D74" s="442"/>
      <c r="E74" s="442"/>
      <c r="F74" s="587">
        <f>+F61</f>
        <v>2.5000000000000001E-2</v>
      </c>
      <c r="G74" s="587"/>
      <c r="H74" s="448" t="s">
        <v>28</v>
      </c>
      <c r="I74" s="449">
        <v>2</v>
      </c>
      <c r="J74" s="448" t="s">
        <v>7</v>
      </c>
      <c r="K74" s="586">
        <f>+ROUND(F74*I74,3)</f>
        <v>0.05</v>
      </c>
      <c r="L74" s="586"/>
    </row>
    <row r="75" spans="1:12" ht="27" customHeight="1">
      <c r="A75" s="445"/>
      <c r="B75" s="441"/>
      <c r="C75" s="464"/>
      <c r="D75" s="464"/>
      <c r="E75" s="464"/>
      <c r="F75" s="441"/>
      <c r="G75" s="441"/>
      <c r="H75" s="441"/>
      <c r="I75" s="466" t="s">
        <v>179</v>
      </c>
      <c r="J75" s="441" t="s">
        <v>7</v>
      </c>
      <c r="K75" s="594">
        <f>SUM(K72:K74)</f>
        <v>0.53200000000000003</v>
      </c>
      <c r="L75" s="594"/>
    </row>
    <row r="76" spans="1:12" ht="27" customHeight="1">
      <c r="A76" s="446">
        <v>2.2000000000000002</v>
      </c>
      <c r="B76" s="446" t="s">
        <v>33</v>
      </c>
      <c r="C76" s="441"/>
      <c r="D76" s="445"/>
      <c r="E76" s="441"/>
      <c r="F76" s="445"/>
      <c r="G76" s="445"/>
      <c r="H76" s="445"/>
      <c r="I76" s="445"/>
      <c r="J76" s="445"/>
      <c r="K76" s="585"/>
      <c r="L76" s="585"/>
    </row>
    <row r="77" spans="1:12" ht="27" customHeight="1">
      <c r="A77" s="445"/>
      <c r="B77" s="447" t="s">
        <v>42</v>
      </c>
      <c r="C77" s="442" t="s">
        <v>35</v>
      </c>
      <c r="D77" s="445"/>
      <c r="E77" s="441"/>
      <c r="F77" s="441"/>
      <c r="G77" s="441"/>
      <c r="H77" s="445"/>
      <c r="I77" s="445"/>
      <c r="J77" s="445"/>
      <c r="K77" s="586">
        <v>0.1</v>
      </c>
      <c r="L77" s="586"/>
    </row>
    <row r="78" spans="1:12" ht="27" customHeight="1">
      <c r="A78" s="445"/>
      <c r="B78" s="442"/>
      <c r="C78" s="441"/>
      <c r="D78" s="441"/>
      <c r="E78" s="441"/>
      <c r="F78" s="441"/>
      <c r="G78" s="441"/>
      <c r="H78" s="441"/>
      <c r="I78" s="466" t="s">
        <v>181</v>
      </c>
      <c r="J78" s="441" t="s">
        <v>7</v>
      </c>
      <c r="K78" s="594">
        <f>+K77</f>
        <v>0.1</v>
      </c>
      <c r="L78" s="594"/>
    </row>
    <row r="79" spans="1:12" ht="27" customHeight="1">
      <c r="A79" s="445"/>
      <c r="B79" s="441"/>
      <c r="C79" s="595"/>
      <c r="D79" s="595"/>
      <c r="E79" s="445"/>
      <c r="F79" s="445"/>
      <c r="G79" s="445"/>
      <c r="H79" s="445"/>
      <c r="I79" s="445"/>
      <c r="J79" s="445"/>
      <c r="K79" s="445"/>
      <c r="L79" s="445"/>
    </row>
    <row r="80" spans="1:12" ht="27" customHeight="1">
      <c r="A80" s="445"/>
      <c r="B80" s="436" t="s">
        <v>171</v>
      </c>
      <c r="C80" s="453">
        <v>1.2</v>
      </c>
      <c r="D80" s="585">
        <f>+K75</f>
        <v>0.53200000000000003</v>
      </c>
      <c r="E80" s="585"/>
      <c r="F80" s="454" t="s">
        <v>8</v>
      </c>
      <c r="G80" s="453">
        <v>1.6</v>
      </c>
      <c r="H80" s="585">
        <f>+K78</f>
        <v>0.1</v>
      </c>
      <c r="I80" s="585"/>
      <c r="J80" s="448" t="s">
        <v>7</v>
      </c>
      <c r="K80" s="589">
        <f>C80*D80+G80*H80</f>
        <v>0.7984</v>
      </c>
      <c r="L80" s="589"/>
    </row>
    <row r="81" spans="1:3" ht="27" customHeight="1">
      <c r="A81" s="470"/>
      <c r="B81" s="471"/>
      <c r="C81" s="471"/>
    </row>
  </sheetData>
  <mergeCells count="154">
    <mergeCell ref="D80:E80"/>
    <mergeCell ref="H80:I80"/>
    <mergeCell ref="K80:L80"/>
    <mergeCell ref="F73:G73"/>
    <mergeCell ref="K73:L73"/>
    <mergeCell ref="F74:G74"/>
    <mergeCell ref="K74:L74"/>
    <mergeCell ref="K75:L75"/>
    <mergeCell ref="K76:L76"/>
    <mergeCell ref="K77:L77"/>
    <mergeCell ref="K78:L78"/>
    <mergeCell ref="C79:D79"/>
    <mergeCell ref="K64:L64"/>
    <mergeCell ref="K65:L65"/>
    <mergeCell ref="K66:L66"/>
    <mergeCell ref="D68:E68"/>
    <mergeCell ref="H68:I68"/>
    <mergeCell ref="K68:L68"/>
    <mergeCell ref="B70:C70"/>
    <mergeCell ref="F72:G72"/>
    <mergeCell ref="K72:L72"/>
    <mergeCell ref="B57:D57"/>
    <mergeCell ref="K57:L57"/>
    <mergeCell ref="F59:G59"/>
    <mergeCell ref="K59:L59"/>
    <mergeCell ref="F60:G60"/>
    <mergeCell ref="K60:L60"/>
    <mergeCell ref="F61:G61"/>
    <mergeCell ref="K61:L61"/>
    <mergeCell ref="K62:L62"/>
    <mergeCell ref="K47:L47"/>
    <mergeCell ref="W47:X47"/>
    <mergeCell ref="K48:L48"/>
    <mergeCell ref="W48:X48"/>
    <mergeCell ref="K49:L49"/>
    <mergeCell ref="W49:X49"/>
    <mergeCell ref="F45:G45"/>
    <mergeCell ref="K45:L45"/>
    <mergeCell ref="R45:S45"/>
    <mergeCell ref="W45:X45"/>
    <mergeCell ref="F46:G46"/>
    <mergeCell ref="K46:L46"/>
    <mergeCell ref="R46:S46"/>
    <mergeCell ref="W46:X46"/>
    <mergeCell ref="K50:L50"/>
    <mergeCell ref="W50:X50"/>
    <mergeCell ref="C51:D51"/>
    <mergeCell ref="O51:P51"/>
    <mergeCell ref="D52:E52"/>
    <mergeCell ref="H52:I52"/>
    <mergeCell ref="K52:L52"/>
    <mergeCell ref="P52:Q52"/>
    <mergeCell ref="T52:U52"/>
    <mergeCell ref="W52:X52"/>
    <mergeCell ref="B42:C42"/>
    <mergeCell ref="N42:O42"/>
    <mergeCell ref="K34:L34"/>
    <mergeCell ref="W34:X34"/>
    <mergeCell ref="F44:G44"/>
    <mergeCell ref="K44:L44"/>
    <mergeCell ref="R44:S44"/>
    <mergeCell ref="W44:X44"/>
    <mergeCell ref="K38:L38"/>
    <mergeCell ref="W38:X38"/>
    <mergeCell ref="D40:E40"/>
    <mergeCell ref="H40:I40"/>
    <mergeCell ref="K40:L40"/>
    <mergeCell ref="P40:Q40"/>
    <mergeCell ref="T40:U40"/>
    <mergeCell ref="W40:X40"/>
    <mergeCell ref="K42:L42"/>
    <mergeCell ref="K29:L29"/>
    <mergeCell ref="N29:P29"/>
    <mergeCell ref="W29:X29"/>
    <mergeCell ref="K36:L36"/>
    <mergeCell ref="W36:X36"/>
    <mergeCell ref="K37:L37"/>
    <mergeCell ref="W37:X37"/>
    <mergeCell ref="F31:G31"/>
    <mergeCell ref="K31:L31"/>
    <mergeCell ref="R31:S31"/>
    <mergeCell ref="W31:X31"/>
    <mergeCell ref="F32:G32"/>
    <mergeCell ref="K32:L32"/>
    <mergeCell ref="R32:S32"/>
    <mergeCell ref="W32:X32"/>
    <mergeCell ref="F33:G33"/>
    <mergeCell ref="K33:L33"/>
    <mergeCell ref="R33:S33"/>
    <mergeCell ref="W33:X33"/>
    <mergeCell ref="D27:E27"/>
    <mergeCell ref="H27:I27"/>
    <mergeCell ref="K27:L27"/>
    <mergeCell ref="P27:Q27"/>
    <mergeCell ref="T27:U27"/>
    <mergeCell ref="W27:X27"/>
    <mergeCell ref="F20:G20"/>
    <mergeCell ref="K20:L20"/>
    <mergeCell ref="R20:S20"/>
    <mergeCell ref="W20:X20"/>
    <mergeCell ref="F21:G21"/>
    <mergeCell ref="K21:L21"/>
    <mergeCell ref="R21:S21"/>
    <mergeCell ref="W21:X21"/>
    <mergeCell ref="K25:L25"/>
    <mergeCell ref="W25:X25"/>
    <mergeCell ref="K22:L22"/>
    <mergeCell ref="W22:X22"/>
    <mergeCell ref="K23:L23"/>
    <mergeCell ref="W23:X23"/>
    <mergeCell ref="K24:L24"/>
    <mergeCell ref="W24:X24"/>
    <mergeCell ref="C26:D26"/>
    <mergeCell ref="O26:P26"/>
    <mergeCell ref="B17:C17"/>
    <mergeCell ref="N17:O17"/>
    <mergeCell ref="F19:G19"/>
    <mergeCell ref="K19:L19"/>
    <mergeCell ref="R19:S19"/>
    <mergeCell ref="W19:X19"/>
    <mergeCell ref="K13:L13"/>
    <mergeCell ref="W13:X13"/>
    <mergeCell ref="D15:E15"/>
    <mergeCell ref="H15:I15"/>
    <mergeCell ref="K15:L15"/>
    <mergeCell ref="P15:Q15"/>
    <mergeCell ref="T15:U15"/>
    <mergeCell ref="W15:X15"/>
    <mergeCell ref="W17:X17"/>
    <mergeCell ref="K17:L17"/>
    <mergeCell ref="B29:D29"/>
    <mergeCell ref="W42:X42"/>
    <mergeCell ref="A2:L2"/>
    <mergeCell ref="K4:L4"/>
    <mergeCell ref="W4:X4"/>
    <mergeCell ref="F6:G6"/>
    <mergeCell ref="K6:L6"/>
    <mergeCell ref="R6:S6"/>
    <mergeCell ref="W6:X6"/>
    <mergeCell ref="M2:X2"/>
    <mergeCell ref="K9:L9"/>
    <mergeCell ref="W9:X9"/>
    <mergeCell ref="K11:L11"/>
    <mergeCell ref="W11:X11"/>
    <mergeCell ref="K12:L12"/>
    <mergeCell ref="W12:X12"/>
    <mergeCell ref="F7:G7"/>
    <mergeCell ref="K7:L7"/>
    <mergeCell ref="R7:S7"/>
    <mergeCell ref="W7:X7"/>
    <mergeCell ref="F8:G8"/>
    <mergeCell ref="K8:L8"/>
    <mergeCell ref="R8:S8"/>
    <mergeCell ref="W8:X8"/>
  </mergeCells>
  <pageMargins left="0.71" right="0.36" top="0.48" bottom="0.5" header="0.51" footer="0.5"/>
  <pageSetup scale="95" firstPageNumber="93" orientation="portrait" useFirstPageNumber="1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AA273"/>
  <sheetViews>
    <sheetView topLeftCell="O1" workbookViewId="0">
      <selection activeCell="V13" sqref="V13"/>
    </sheetView>
  </sheetViews>
  <sheetFormatPr defaultColWidth="12.6640625" defaultRowHeight="15.95" customHeight="1"/>
  <cols>
    <col min="1" max="1" width="3.88671875" style="26" customWidth="1"/>
    <col min="2" max="2" width="3.44140625" style="351" customWidth="1"/>
    <col min="3" max="3" width="8.21875" style="149" customWidth="1"/>
    <col min="4" max="4" width="7.33203125" style="149" customWidth="1"/>
    <col min="5" max="5" width="7" style="190" customWidth="1"/>
    <col min="6" max="6" width="8.21875" style="190" customWidth="1"/>
    <col min="7" max="7" width="5.21875" style="190" customWidth="1"/>
    <col min="8" max="8" width="8.21875" style="190" customWidth="1"/>
    <col min="9" max="9" width="8.21875" style="199" customWidth="1"/>
    <col min="10" max="10" width="8.21875" style="203" customWidth="1"/>
    <col min="11" max="11" width="8.33203125" style="148" customWidth="1"/>
    <col min="12" max="12" width="8.77734375" style="152" customWidth="1"/>
    <col min="13" max="14" width="4.33203125" style="154" customWidth="1"/>
    <col min="15" max="15" width="16.77734375" style="139" customWidth="1"/>
    <col min="16" max="16" width="3.77734375" style="206" customWidth="1"/>
    <col min="17" max="18" width="11.5546875" style="193" customWidth="1"/>
    <col min="19" max="20" width="11.5546875" style="26" customWidth="1"/>
    <col min="21" max="24" width="14.33203125" style="283" customWidth="1"/>
    <col min="25" max="16384" width="12.6640625" style="26"/>
  </cols>
  <sheetData>
    <row r="1" spans="1:24" s="22" customFormat="1" ht="15.75" customHeight="1">
      <c r="A1" s="610" t="s">
        <v>61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05" t="s">
        <v>62</v>
      </c>
      <c r="N1" s="605" t="s">
        <v>63</v>
      </c>
      <c r="O1" s="135"/>
      <c r="P1" s="598" t="s">
        <v>4</v>
      </c>
      <c r="Q1" s="612" t="s">
        <v>153</v>
      </c>
      <c r="R1" s="612" t="s">
        <v>154</v>
      </c>
      <c r="S1" s="612" t="s">
        <v>155</v>
      </c>
      <c r="T1" s="612" t="s">
        <v>156</v>
      </c>
      <c r="U1" s="614" t="s">
        <v>153</v>
      </c>
      <c r="V1" s="596" t="s">
        <v>154</v>
      </c>
      <c r="W1" s="614" t="s">
        <v>116</v>
      </c>
      <c r="X1" s="596" t="s">
        <v>117</v>
      </c>
    </row>
    <row r="2" spans="1:24" s="22" customFormat="1" ht="15.95" customHeight="1" thickBot="1">
      <c r="B2" s="348"/>
      <c r="C2" s="165"/>
      <c r="D2" s="165"/>
      <c r="E2" s="153"/>
      <c r="F2" s="153"/>
      <c r="G2" s="153"/>
      <c r="H2" s="153"/>
      <c r="I2" s="196"/>
      <c r="J2" s="200"/>
      <c r="L2" s="166"/>
      <c r="M2" s="605"/>
      <c r="N2" s="605"/>
      <c r="O2" s="135"/>
      <c r="P2" s="599"/>
      <c r="Q2" s="613"/>
      <c r="R2" s="613"/>
      <c r="S2" s="613"/>
      <c r="T2" s="613"/>
      <c r="U2" s="615"/>
      <c r="V2" s="597"/>
      <c r="W2" s="615"/>
      <c r="X2" s="597"/>
    </row>
    <row r="3" spans="1:24" s="22" customFormat="1" ht="15.95" customHeight="1">
      <c r="A3" s="347" t="str">
        <f>+Espesor!B8</f>
        <v>Lt-</v>
      </c>
      <c r="B3" s="347">
        <f>+Espesor!C8</f>
        <v>1</v>
      </c>
      <c r="C3" s="604" t="str">
        <f>IF(B3&lt;=Espesor!$D$4,Espesor!$G$5,"")</f>
        <v>Losa armada en</v>
      </c>
      <c r="D3" s="604"/>
      <c r="E3" s="602" t="str">
        <f>IF(C3="","",LOOKUP(B3,Espesor!$C$8:$C$41,Espesor!$G$8:$G$41))</f>
        <v>una dirección</v>
      </c>
      <c r="F3" s="602"/>
      <c r="G3" s="602"/>
      <c r="H3" s="167">
        <f>IF(B3="","",LOOKUP(B3,Espesor!$C$8:$C$41,Espesor!$J$8:$J$41))</f>
        <v>1</v>
      </c>
      <c r="I3" s="603" t="str">
        <f>IF(B3="","",IF(H3&gt;1,Espesor!$H$5,"Borde Discontinuo"))</f>
        <v>Borde Discontinuo</v>
      </c>
      <c r="J3" s="603"/>
      <c r="K3" s="603"/>
      <c r="M3" s="605"/>
      <c r="N3" s="605"/>
      <c r="P3" s="207">
        <f>+Espesor!C8</f>
        <v>1</v>
      </c>
      <c r="Q3" s="326">
        <f>+I5</f>
        <v>0.1164</v>
      </c>
      <c r="R3" s="326">
        <f>+I6</f>
        <v>0.154</v>
      </c>
      <c r="S3" s="326">
        <f>+I7</f>
        <v>0.27039999999999997</v>
      </c>
      <c r="T3" s="326">
        <f>+I8</f>
        <v>1.4081999999999999</v>
      </c>
      <c r="U3" s="327">
        <f>+Q3*100000</f>
        <v>11640</v>
      </c>
      <c r="V3" s="327">
        <f t="shared" ref="V3:X3" si="0">+R3*100000</f>
        <v>15400</v>
      </c>
      <c r="W3" s="285">
        <f>+S3*100000</f>
        <v>27039.999999999996</v>
      </c>
      <c r="X3" s="285">
        <f t="shared" si="0"/>
        <v>140820</v>
      </c>
    </row>
    <row r="4" spans="1:24" s="22" customFormat="1" ht="15.95" customHeight="1" thickBot="1">
      <c r="B4" s="349"/>
      <c r="C4" s="144"/>
      <c r="D4" s="165"/>
      <c r="E4" s="611">
        <f>IF(B3="","",LOOKUP(B3,Espesor!$C$8:$C$41,Espesor!$F$8:$F$41))</f>
        <v>0.32</v>
      </c>
      <c r="F4" s="611"/>
      <c r="G4" s="609" t="str">
        <f>IF(B3="","",LOOKUP(B3,Espesor!$C$8:$C$41,Espesor!$K$8:$K$41))</f>
        <v>empotrada-articulada</v>
      </c>
      <c r="H4" s="609"/>
      <c r="I4" s="609"/>
      <c r="J4" s="145" t="str">
        <f>IF(B3="","",IF(E4&lt;0.5,"","alfa ="))</f>
        <v/>
      </c>
      <c r="K4" s="146" t="str">
        <f>IF(B3="","",IF(E4&lt;0.5,"",(3-(E4)^2)/2))</f>
        <v/>
      </c>
      <c r="L4" s="164">
        <f>+IF(E4&lt;0.5,IF(H3=0,0.5,IF(H3=1,5/8,IF(H3=2,0.5,1))),"")</f>
        <v>0.625</v>
      </c>
      <c r="M4" s="605"/>
      <c r="N4" s="605"/>
      <c r="O4" s="135"/>
      <c r="P4" s="207">
        <f>+Espesor!C9</f>
        <v>2</v>
      </c>
      <c r="Q4" s="284">
        <f>+I13</f>
        <v>0.11169999999999999</v>
      </c>
      <c r="R4" s="284">
        <f>+I14</f>
        <v>0.1477</v>
      </c>
      <c r="S4" s="284">
        <f>+I15</f>
        <v>0.25940000000000002</v>
      </c>
      <c r="T4" s="284">
        <f>+I16</f>
        <v>1.3512999999999999</v>
      </c>
      <c r="U4" s="285">
        <f t="shared" ref="U4:U23" si="1">+Q4*100000</f>
        <v>11170</v>
      </c>
      <c r="V4" s="285">
        <f t="shared" ref="V4:V23" si="2">+R4*100000</f>
        <v>14770</v>
      </c>
      <c r="W4" s="285">
        <f t="shared" ref="W4:W23" si="3">+S4*100000</f>
        <v>25940.000000000004</v>
      </c>
      <c r="X4" s="285">
        <f t="shared" ref="X4:X23" si="4">+T4*100000</f>
        <v>135130</v>
      </c>
    </row>
    <row r="5" spans="1:24" s="22" customFormat="1" ht="15.95" customHeight="1">
      <c r="B5" s="349"/>
      <c r="C5" s="621"/>
      <c r="D5" s="168"/>
      <c r="E5" s="185" t="s">
        <v>108</v>
      </c>
      <c r="F5" s="186">
        <f>IF(M6="LX",IF(E4&lt;0.5,IF(H3=0,1/24,IF(H3=1,9/125,IF(H3=2,1/8,0))),IF(H3=4,VLOOKUP(E4,COEFICIENTES!$A$8:$N$58,2),IF(H3=3,VLOOKUP(E4,COEFICIENTES!$A$8:$N$58,4),IF(H3=2,VLOOKUP(E4,COEFICIENTES!$A$8:$N$58,7),IF(H3=1,VLOOKUP(E4,COEFICIENTES!$A$8:$N$58,10),VLOOKUP(E4,COEFICIENTES!$A$8:$N$58,13)))))),IF(H3=4,COEFICIENTES!$B$60,IF(H3=3,COEFICIENTES!$D$60,IF(H3=2,COEFICIENTES!$G$60,IF(H3=1,COEFICIENTES!$J$60,COEFICIENTES!$M$60)))))</f>
        <v>3.1E-2</v>
      </c>
      <c r="G5" s="187"/>
      <c r="H5" s="185" t="s">
        <v>109</v>
      </c>
      <c r="I5" s="606">
        <f>IF(F5="",0,ROUND(F5*LOOKUP(B$3,Espesor!$C$8:$C$41,Espesor!$Z$8:$Z$41)*POWER(MIN(C$8,D$6),2),4))</f>
        <v>0.1164</v>
      </c>
      <c r="J5" s="606"/>
      <c r="K5" s="607">
        <f>IF(M6="LY",LOOKUP(B3,Espesor!$C$8:$C$41,Espesor!$AA$8:$AA$41),LOOKUP(B3,Espesor!$C$8:$C$41,Espesor!$AB$8:$AB$41))</f>
        <v>0.95794999999999997</v>
      </c>
      <c r="L5" s="607"/>
      <c r="M5" s="605"/>
      <c r="N5" s="605"/>
      <c r="O5" s="140"/>
      <c r="P5" s="207">
        <f>+Espesor!C10</f>
        <v>3</v>
      </c>
      <c r="Q5" s="284">
        <f>+I21</f>
        <v>0.76990000000000003</v>
      </c>
      <c r="R5" s="284">
        <f>+I22</f>
        <v>1.0196000000000001</v>
      </c>
      <c r="S5" s="284">
        <f>+I23</f>
        <v>1.1341000000000001</v>
      </c>
      <c r="T5" s="284">
        <f>+I24</f>
        <v>1.492</v>
      </c>
      <c r="U5" s="285">
        <f t="shared" si="1"/>
        <v>76990</v>
      </c>
      <c r="V5" s="285">
        <f t="shared" si="2"/>
        <v>101960</v>
      </c>
      <c r="W5" s="285">
        <f t="shared" si="3"/>
        <v>113410.00000000001</v>
      </c>
      <c r="X5" s="285">
        <f t="shared" si="4"/>
        <v>149200</v>
      </c>
    </row>
    <row r="6" spans="1:24" s="22" customFormat="1" ht="15.95" customHeight="1">
      <c r="B6" s="350"/>
      <c r="C6" s="622"/>
      <c r="D6" s="169">
        <f>IF(B3="","",VLOOKUP(B3,Espesor!$C$8:$E$41,3))</f>
        <v>2.4500000000000002</v>
      </c>
      <c r="E6" s="185" t="s">
        <v>110</v>
      </c>
      <c r="F6" s="186">
        <f>IF(M6="LX",IF(E4&lt;0.5,IF(H3=0,1/12,IF(H3=1,3/8,IF(H3=2,0,0.5))),IF(H3=4,VLOOKUP(E4,COEFICIENTES!$A$8:$N$58,3),IF(H3=3,VLOOKUP(E4,COEFICIENTES!$A$8:$N$58,6),IF(H3=2,VLOOKUP(E4,COEFICIENTES!$A$8:$N$58,9),IF(H3=1,VLOOKUP(E4,COEFICIENTES!$A$8:$N$58,12),VLOOKUP(E4,COEFICIENTES!$A$8:$N$58,14)))))),IF(H3=4,COEFICIENTES!$C$60,IF(H3=3,COEFICIENTES!$F$60,IF(H3=2,COEFICIENTES!$I$60,IF(H3=1,COEFICIENTES!$L$60,COEFICIENTES!$N$60)))))</f>
        <v>4.1000000000000002E-2</v>
      </c>
      <c r="G6" s="153"/>
      <c r="H6" s="185" t="s">
        <v>111</v>
      </c>
      <c r="I6" s="606">
        <f>IF(F6="",0,ROUND(F6*LOOKUP(B$3,Espesor!$C$8:$C$41,Espesor!$Z$8:$Z$41)*POWER(MIN(C$8,D$6),2),4))</f>
        <v>0.154</v>
      </c>
      <c r="J6" s="606"/>
      <c r="K6" s="608">
        <f>IF(M6="LX",LOOKUP(B3,Espesor!$C$8:$C$41,Espesor!$AA$8:$AA$41),LOOKUP(B3,Espesor!$C$8:$C$41,Espesor!$AB$8:$AB$41))</f>
        <v>0</v>
      </c>
      <c r="L6" s="608"/>
      <c r="M6" s="170" t="str">
        <f>+IF(MIN(C8,D6)=D6,"LY","LX")</f>
        <v>LY</v>
      </c>
      <c r="N6" s="171" t="str">
        <f>+IF(M6="","",IF(M6="LY","LX","LY"))</f>
        <v>LX</v>
      </c>
      <c r="O6" s="140"/>
      <c r="P6" s="207">
        <f>+Espesor!C11</f>
        <v>4</v>
      </c>
      <c r="Q6" s="284">
        <f>+I29</f>
        <v>0.34739999999999999</v>
      </c>
      <c r="R6" s="284">
        <f>+I30</f>
        <v>0.45950000000000002</v>
      </c>
      <c r="S6" s="284">
        <f>+I31</f>
        <v>0.55469999999999997</v>
      </c>
      <c r="T6" s="284">
        <f>+I32</f>
        <v>0.73399999999999999</v>
      </c>
      <c r="U6" s="285">
        <f t="shared" si="1"/>
        <v>34740</v>
      </c>
      <c r="V6" s="285">
        <f t="shared" si="2"/>
        <v>45950</v>
      </c>
      <c r="W6" s="285">
        <f t="shared" si="3"/>
        <v>55470</v>
      </c>
      <c r="X6" s="285">
        <f t="shared" si="4"/>
        <v>73400</v>
      </c>
    </row>
    <row r="7" spans="1:24" s="22" customFormat="1" ht="15.95" customHeight="1" thickBot="1">
      <c r="B7" s="350"/>
      <c r="C7" s="623"/>
      <c r="D7" s="172"/>
      <c r="E7" s="185" t="s">
        <v>112</v>
      </c>
      <c r="F7" s="186">
        <f>IF(M6="LY",IF(E4&lt;0.5,IF(H3=0,1/24,IF(H3=1,9/125,IF(H3=2,1/8,0))),IF(H3=4,VLOOKUP(E4,COEFICIENTES!$A$8:$N$58,2),IF(H3=3,VLOOKUP(E4,COEFICIENTES!$A$8:$N$58,4),IF(H3=2,VLOOKUP(E4,COEFICIENTES!$A$8:$N$58,7),IF(H3=1,VLOOKUP(E4,COEFICIENTES!$A$8:$N$58,10),VLOOKUP(E4,COEFICIENTES!$A$8:$N$58,13)))))),IF(H3=4,COEFICIENTES!$B$60,IF(H3=3,COEFICIENTES!$D$60,IF(H3=2,COEFICIENTES!$G$60,IF(H3=1,COEFICIENTES!$J$60,COEFICIENTES!$M$60)))))</f>
        <v>7.1999999999999995E-2</v>
      </c>
      <c r="G7" s="153"/>
      <c r="H7" s="185" t="s">
        <v>113</v>
      </c>
      <c r="I7" s="606">
        <f>IF(F7="",0,ROUND(F7*LOOKUP(B$3,Espesor!$C$8:$C$41,Espesor!$Z$8:$Z$41)*POWER(MIN(C$8,D$6),2),4))</f>
        <v>0.27039999999999997</v>
      </c>
      <c r="J7" s="606"/>
      <c r="K7" s="173"/>
      <c r="L7" s="174"/>
      <c r="M7" s="143"/>
      <c r="N7" s="143"/>
      <c r="O7" s="140"/>
      <c r="P7" s="207">
        <f>+Espesor!C12</f>
        <v>5</v>
      </c>
      <c r="Q7" s="284">
        <f>+I37</f>
        <v>0.1565</v>
      </c>
      <c r="R7" s="284">
        <f>+I38</f>
        <v>0.2072</v>
      </c>
      <c r="S7" s="284">
        <f>+I39</f>
        <v>0.52859999999999996</v>
      </c>
      <c r="T7" s="284">
        <f>+I40</f>
        <v>0</v>
      </c>
      <c r="U7" s="285">
        <f t="shared" si="1"/>
        <v>15650</v>
      </c>
      <c r="V7" s="285">
        <f t="shared" si="2"/>
        <v>20720</v>
      </c>
      <c r="W7" s="285">
        <f t="shared" si="3"/>
        <v>52859.999999999993</v>
      </c>
      <c r="X7" s="285">
        <f t="shared" si="4"/>
        <v>0</v>
      </c>
    </row>
    <row r="8" spans="1:24" s="22" customFormat="1" ht="15.95" customHeight="1">
      <c r="B8" s="348"/>
      <c r="C8" s="600">
        <f>IF(B3="","",VLOOKUP(B3,Espesor!$C$8:$E$41,2))</f>
        <v>7.55</v>
      </c>
      <c r="D8" s="23"/>
      <c r="E8" s="185" t="s">
        <v>114</v>
      </c>
      <c r="F8" s="186">
        <f>IF(M6="LY",IF(E4&lt;0.5,IF(H3=0,1/12,IF(H3=1,3/8,IF(H3=2,0,0.5))),IF(H3=4,VLOOKUP(E4,COEFICIENTES!$A$8:$N$58,3),IF(H3=3,VLOOKUP(E4,COEFICIENTES!$A$8:$N$58,6),IF(H3=2,VLOOKUP(E4,COEFICIENTES!$A$8:$N$58,9),IF(H3=1,VLOOKUP(E4,COEFICIENTES!$A$8:$N$58,12),VLOOKUP(E4,COEFICIENTES!$A$8:$N$58,14)))))),IF(H3=4,COEFICIENTES!$C$60,IF(H3=3,COEFICIENTES!$F$60,IF(H3=2,COEFICIENTES!$I$60,IF(H3=1,COEFICIENTES!$L$60,COEFICIENTES!$N$60)))))</f>
        <v>0.375</v>
      </c>
      <c r="G8" s="153"/>
      <c r="H8" s="185" t="s">
        <v>115</v>
      </c>
      <c r="I8" s="606">
        <f>IF(F8="",0,ROUND(F8*LOOKUP(B$3,Espesor!$C$8:$C$41,Espesor!$Z$8:$Z$41)*POWER(MIN(C$8,D$6),2),4))</f>
        <v>1.4081999999999999</v>
      </c>
      <c r="J8" s="606"/>
      <c r="K8" s="173"/>
      <c r="L8" s="174"/>
      <c r="M8" s="171"/>
      <c r="N8" s="171"/>
      <c r="O8" s="140"/>
      <c r="P8" s="207">
        <f>+Espesor!C13</f>
        <v>6</v>
      </c>
      <c r="Q8" s="284">
        <f>+I45</f>
        <v>0.3</v>
      </c>
      <c r="R8" s="284">
        <f>+I46</f>
        <v>0.39729999999999999</v>
      </c>
      <c r="S8" s="284">
        <f>+I47</f>
        <v>0.43780000000000002</v>
      </c>
      <c r="T8" s="284">
        <f>+I48</f>
        <v>0.57569999999999999</v>
      </c>
      <c r="U8" s="285">
        <f t="shared" si="1"/>
        <v>30000</v>
      </c>
      <c r="V8" s="285">
        <f t="shared" si="2"/>
        <v>39730</v>
      </c>
      <c r="W8" s="285">
        <f t="shared" si="3"/>
        <v>43780</v>
      </c>
      <c r="X8" s="285">
        <f t="shared" si="4"/>
        <v>57570</v>
      </c>
    </row>
    <row r="9" spans="1:24" s="22" customFormat="1" ht="15.95" customHeight="1">
      <c r="B9" s="348"/>
      <c r="C9" s="601"/>
      <c r="D9" s="23"/>
      <c r="E9" s="143"/>
      <c r="F9" s="143"/>
      <c r="G9" s="147"/>
      <c r="H9" s="143"/>
      <c r="I9" s="196"/>
      <c r="J9" s="189"/>
      <c r="K9" s="23"/>
      <c r="L9" s="23"/>
      <c r="M9" s="171"/>
      <c r="N9" s="171"/>
      <c r="O9" s="140"/>
      <c r="P9" s="207">
        <f>+Espesor!C14</f>
        <v>7</v>
      </c>
      <c r="Q9" s="284">
        <f>+I53</f>
        <v>1.6006</v>
      </c>
      <c r="R9" s="284">
        <f>+I54</f>
        <v>2.1099000000000001</v>
      </c>
      <c r="S9" s="284">
        <f>+I55</f>
        <v>1.8625</v>
      </c>
      <c r="T9" s="284">
        <f>+I56</f>
        <v>2.4590999999999998</v>
      </c>
      <c r="U9" s="285">
        <f t="shared" si="1"/>
        <v>160060</v>
      </c>
      <c r="V9" s="285">
        <f t="shared" si="2"/>
        <v>210990</v>
      </c>
      <c r="W9" s="285">
        <f t="shared" si="3"/>
        <v>186250</v>
      </c>
      <c r="X9" s="285">
        <f t="shared" si="4"/>
        <v>245909.99999999997</v>
      </c>
    </row>
    <row r="10" spans="1:24" s="22" customFormat="1" ht="15.95" customHeight="1">
      <c r="B10" s="348"/>
      <c r="C10" s="23"/>
      <c r="D10" s="168"/>
      <c r="E10" s="143"/>
      <c r="F10" s="143"/>
      <c r="G10" s="147"/>
      <c r="H10" s="143"/>
      <c r="I10" s="196"/>
      <c r="J10" s="189"/>
      <c r="K10" s="23"/>
      <c r="L10" s="23"/>
      <c r="M10" s="171"/>
      <c r="N10" s="171"/>
      <c r="O10" s="140"/>
      <c r="P10" s="207">
        <f>+Espesor!C15</f>
        <v>8</v>
      </c>
      <c r="Q10" s="284">
        <f>+I61</f>
        <v>0</v>
      </c>
      <c r="R10" s="284">
        <f>+I62</f>
        <v>0</v>
      </c>
      <c r="S10" s="284">
        <f>+I63</f>
        <v>0</v>
      </c>
      <c r="T10" s="284">
        <f>+I64</f>
        <v>0</v>
      </c>
      <c r="U10" s="285">
        <f t="shared" si="1"/>
        <v>0</v>
      </c>
      <c r="V10" s="285">
        <f t="shared" si="2"/>
        <v>0</v>
      </c>
      <c r="W10" s="285">
        <f t="shared" si="3"/>
        <v>0</v>
      </c>
      <c r="X10" s="285">
        <f t="shared" si="4"/>
        <v>0</v>
      </c>
    </row>
    <row r="11" spans="1:24" s="22" customFormat="1" ht="15.95" customHeight="1">
      <c r="A11" s="347" t="str">
        <f>+Espesor!B9</f>
        <v>Lt-</v>
      </c>
      <c r="B11" s="347">
        <f>IF(B3="","",IF(Espesor!$D$4&gt;=(B3+1),B3+1,""))</f>
        <v>2</v>
      </c>
      <c r="C11" s="604" t="str">
        <f>IF(B11&lt;=Espesor!$D$4,Espesor!$G$5,"")</f>
        <v>Losa armada en</v>
      </c>
      <c r="D11" s="604"/>
      <c r="E11" s="602" t="str">
        <f>IF(C11="","",LOOKUP(B11,Espesor!$C$8:$C$41,Espesor!$G$8:$G$41))</f>
        <v>una dirección</v>
      </c>
      <c r="F11" s="602"/>
      <c r="G11" s="602"/>
      <c r="H11" s="167">
        <f>IF(B11="","",LOOKUP(B11,Espesor!$C$8:$C$41,Espesor!$J$8:$J$41))</f>
        <v>1</v>
      </c>
      <c r="I11" s="603" t="str">
        <f>IF(B11="","",IF(H11&gt;1,Espesor!$H$5,"Borde Discontinuo"))</f>
        <v>Borde Discontinuo</v>
      </c>
      <c r="J11" s="603"/>
      <c r="K11" s="603"/>
      <c r="P11" s="207">
        <f>+Espesor!C16</f>
        <v>9</v>
      </c>
      <c r="Q11" s="284">
        <f>+I69</f>
        <v>0</v>
      </c>
      <c r="R11" s="284">
        <f>+I70</f>
        <v>0</v>
      </c>
      <c r="S11" s="284">
        <f>+I71</f>
        <v>0</v>
      </c>
      <c r="T11" s="284">
        <f>+I72</f>
        <v>0</v>
      </c>
      <c r="U11" s="285">
        <f t="shared" si="1"/>
        <v>0</v>
      </c>
      <c r="V11" s="285">
        <f t="shared" si="2"/>
        <v>0</v>
      </c>
      <c r="W11" s="285">
        <f t="shared" si="3"/>
        <v>0</v>
      </c>
      <c r="X11" s="285">
        <f t="shared" si="4"/>
        <v>0</v>
      </c>
    </row>
    <row r="12" spans="1:24" s="22" customFormat="1" ht="15.95" customHeight="1" thickBot="1">
      <c r="B12" s="348"/>
      <c r="C12" s="165"/>
      <c r="D12" s="175"/>
      <c r="E12" s="611">
        <f>IF(B11="","",LOOKUP(B11,Espesor!$C$8:$C$41,Espesor!$F$8:$F$41))</f>
        <v>0.39</v>
      </c>
      <c r="F12" s="611"/>
      <c r="G12" s="609" t="str">
        <f>IF(B11="","",LOOKUP(B11,Espesor!$C$8:$C$41,Espesor!$K$8:$K$41))</f>
        <v>empotrada-articulada</v>
      </c>
      <c r="H12" s="609"/>
      <c r="I12" s="609"/>
      <c r="J12" s="145" t="str">
        <f>IF(B11="","",IF(E12&lt;0.5,"","alfa ="))</f>
        <v/>
      </c>
      <c r="K12" s="146" t="str">
        <f>IF(B11="","",IF(E12&lt;0.5,"",(3-(E12)^2)/2))</f>
        <v/>
      </c>
      <c r="L12" s="162">
        <f>+IF(E12&lt;0.5,IF(H11=0,0.5,IF(H11=1,5/8,IF(H11=2,0.5,1))),"")</f>
        <v>0.625</v>
      </c>
      <c r="M12" s="176"/>
      <c r="N12" s="176"/>
      <c r="O12" s="140"/>
      <c r="P12" s="207">
        <f>+Espesor!C17</f>
        <v>10</v>
      </c>
      <c r="Q12" s="284">
        <f>+I77</f>
        <v>0</v>
      </c>
      <c r="R12" s="284">
        <f>+I78</f>
        <v>0</v>
      </c>
      <c r="S12" s="284">
        <f>+I79</f>
        <v>0</v>
      </c>
      <c r="T12" s="284">
        <f>+I80</f>
        <v>0</v>
      </c>
      <c r="U12" s="285">
        <f t="shared" si="1"/>
        <v>0</v>
      </c>
      <c r="V12" s="285">
        <f t="shared" si="2"/>
        <v>0</v>
      </c>
      <c r="W12" s="285">
        <f t="shared" si="3"/>
        <v>0</v>
      </c>
      <c r="X12" s="285">
        <f t="shared" si="4"/>
        <v>0</v>
      </c>
    </row>
    <row r="13" spans="1:24" s="22" customFormat="1" ht="15.95" customHeight="1">
      <c r="B13" s="348"/>
      <c r="C13" s="616"/>
      <c r="D13" s="168"/>
      <c r="E13" s="185" t="s">
        <v>108</v>
      </c>
      <c r="F13" s="186">
        <f>IF(B11="","",IF(M14="LX",IF(E12&lt;0.5,IF(H11=0,1/24,IF(H11=1,9/125,IF(H11=2,1/8,0))),IF(H11=4,VLOOKUP(E12,COEFICIENTES!$A$8:$N$58,2),IF(H11=3,VLOOKUP(E12,COEFICIENTES!$A$8:$N$58,4),IF(H11=2,VLOOKUP(E12,COEFICIENTES!$A$8:$N$58,7),IF(H11=1,VLOOKUP(E12,COEFICIENTES!$A$8:$N$58,10),VLOOKUP(E12,COEFICIENTES!$A$8:$N$58,13)))))),IF(H11=4,COEFICIENTES!$B$60,IF(H11=3,COEFICIENTES!$D$60,IF(H11=2,COEFICIENTES!$G$60,IF(H11=1,COEFICIENTES!$J$60,COEFICIENTES!$M$60))))))</f>
        <v>3.1E-2</v>
      </c>
      <c r="G13" s="187"/>
      <c r="H13" s="185" t="s">
        <v>109</v>
      </c>
      <c r="I13" s="606">
        <f>IF(F13="",0,ROUND(F13*LOOKUP(B$11,Espesor!$C$8:$C$41,Espesor!$Z$8:$Z$41)*POWER(MIN(C$16,D$14),2),4))</f>
        <v>0.11169999999999999</v>
      </c>
      <c r="J13" s="606"/>
      <c r="K13" s="607">
        <f>IF(M14="LY",LOOKUP(B11,Espesor!$C$8:$C$41,Espesor!$AA$8:$AA$41),LOOKUP(B11,Espesor!$C$8:$C$41,Espesor!$AB$8:$AB$41))</f>
        <v>0.9383999999999999</v>
      </c>
      <c r="L13" s="607"/>
      <c r="M13" s="177"/>
      <c r="N13" s="171"/>
      <c r="O13" s="140"/>
      <c r="P13" s="207">
        <f>+Espesor!C18</f>
        <v>11</v>
      </c>
      <c r="Q13" s="284">
        <f>+I85</f>
        <v>0</v>
      </c>
      <c r="R13" s="284">
        <f>+I86</f>
        <v>0</v>
      </c>
      <c r="S13" s="284">
        <f>+I87</f>
        <v>0</v>
      </c>
      <c r="T13" s="284">
        <f>+I88</f>
        <v>0</v>
      </c>
      <c r="U13" s="285">
        <f t="shared" si="1"/>
        <v>0</v>
      </c>
      <c r="V13" s="285">
        <f t="shared" si="2"/>
        <v>0</v>
      </c>
      <c r="W13" s="285">
        <f t="shared" si="3"/>
        <v>0</v>
      </c>
      <c r="X13" s="285">
        <f t="shared" si="4"/>
        <v>0</v>
      </c>
    </row>
    <row r="14" spans="1:24" s="22" customFormat="1" ht="15.95" customHeight="1">
      <c r="B14" s="348"/>
      <c r="C14" s="617"/>
      <c r="D14" s="169">
        <f>IF(B11="","",VLOOKUP(B11,Espesor!$C$8:$E$41,3))</f>
        <v>2.4</v>
      </c>
      <c r="E14" s="185" t="s">
        <v>110</v>
      </c>
      <c r="F14" s="186">
        <f>IF(B11="","",IF(M14="LX",IF(E12&lt;0.5,IF(H11=0,1/12,IF(H11=1,3/8,IF(H11=2,0,0.5))),IF(H11=4,VLOOKUP(E12,COEFICIENTES!$A$8:$N$58,3),IF(H11=3,VLOOKUP(E12,COEFICIENTES!$A$8:$N$58,6),IF(H11=2,VLOOKUP(E12,COEFICIENTES!$A$8:$N$58,9),IF(H11=1,VLOOKUP(E12,COEFICIENTES!$A$8:$N$58,12),VLOOKUP(E12,COEFICIENTES!$A$8:$N$58,14)))))),IF(H11=4,COEFICIENTES!$C$60,IF(H11=3,COEFICIENTES!$F$60,IF(H11=2,COEFICIENTES!$I$60,IF(H11=1,COEFICIENTES!$L$60,COEFICIENTES!$N$60))))))</f>
        <v>4.1000000000000002E-2</v>
      </c>
      <c r="G14" s="153"/>
      <c r="H14" s="185" t="s">
        <v>111</v>
      </c>
      <c r="I14" s="606">
        <f>IF(F14="",0,ROUND(F14*LOOKUP(B$11,Espesor!$C$8:$C$41,Espesor!$Z$8:$Z$41)*POWER(MIN(C$16,D$14),2),4))</f>
        <v>0.1477</v>
      </c>
      <c r="J14" s="606"/>
      <c r="K14" s="608">
        <f>IF(M14="LX",LOOKUP(B11,Espesor!$C$8:$C$41,Espesor!$AA$8:$AA$41),LOOKUP(B11,Espesor!$C$8:$C$41,Espesor!$AB$8:$AB$41))</f>
        <v>0</v>
      </c>
      <c r="L14" s="608"/>
      <c r="M14" s="170" t="str">
        <f>+IF(MIN(C16,D14)=D14,"LY","LX")</f>
        <v>LY</v>
      </c>
      <c r="N14" s="171" t="str">
        <f>+IF(M14="","",IF(M14="LY","LX","LY"))</f>
        <v>LX</v>
      </c>
      <c r="O14" s="140"/>
      <c r="P14" s="207">
        <f>+Espesor!C19</f>
        <v>12</v>
      </c>
      <c r="Q14" s="284">
        <f>+I93</f>
        <v>0</v>
      </c>
      <c r="R14" s="284">
        <f>+I94</f>
        <v>0</v>
      </c>
      <c r="S14" s="284">
        <f>+I95</f>
        <v>0</v>
      </c>
      <c r="T14" s="284">
        <f>+I96</f>
        <v>0</v>
      </c>
      <c r="U14" s="285">
        <f t="shared" si="1"/>
        <v>0</v>
      </c>
      <c r="V14" s="285">
        <f t="shared" si="2"/>
        <v>0</v>
      </c>
      <c r="W14" s="285">
        <f t="shared" si="3"/>
        <v>0</v>
      </c>
      <c r="X14" s="285">
        <f t="shared" si="4"/>
        <v>0</v>
      </c>
    </row>
    <row r="15" spans="1:24" s="22" customFormat="1" ht="15.95" customHeight="1" thickBot="1">
      <c r="B15" s="348"/>
      <c r="C15" s="618"/>
      <c r="D15" s="168"/>
      <c r="E15" s="185" t="s">
        <v>112</v>
      </c>
      <c r="F15" s="186">
        <f>IF(B11="","",IF(M14="LY",IF(E12&lt;0.5,IF(H11=0,1/24,IF(H11=1,9/125,IF(H11=2,1/8,0))),IF(H11=4,VLOOKUP(E12,COEFICIENTES!$A$8:$N$58,2),IF(H11=3,VLOOKUP(E12,COEFICIENTES!$A$8:$N$58,4),IF(H11=2,VLOOKUP(E12,COEFICIENTES!$A$8:$N$58,7),IF(H11=1,VLOOKUP(E12,COEFICIENTES!$A$8:$N$58,10),VLOOKUP(E12,COEFICIENTES!$A$8:$N$58,13)))))),IF(H11=4,COEFICIENTES!$B$60,IF(H11=3,COEFICIENTES!$D$60,IF(H11=2,COEFICIENTES!$G$60,IF(H11=1,COEFICIENTES!$J$60,COEFICIENTES!$M$60))))))</f>
        <v>7.1999999999999995E-2</v>
      </c>
      <c r="G15" s="153"/>
      <c r="H15" s="185" t="s">
        <v>113</v>
      </c>
      <c r="I15" s="606">
        <f>IF(F15="",0,ROUND(F15*LOOKUP(B$11,Espesor!$C$8:$C$41,Espesor!$Z$8:$Z$41)*POWER(MIN(C$16,D$14),2),4))</f>
        <v>0.25940000000000002</v>
      </c>
      <c r="J15" s="606"/>
      <c r="K15" s="173"/>
      <c r="L15" s="174"/>
      <c r="M15" s="143"/>
      <c r="N15" s="171"/>
      <c r="O15" s="140"/>
      <c r="P15" s="207">
        <f>+Espesor!C20</f>
        <v>13</v>
      </c>
      <c r="Q15" s="284">
        <f>+I101</f>
        <v>0</v>
      </c>
      <c r="R15" s="284">
        <f>+I102</f>
        <v>0</v>
      </c>
      <c r="S15" s="284">
        <f>+I103</f>
        <v>0</v>
      </c>
      <c r="T15" s="284">
        <f>+I104</f>
        <v>0</v>
      </c>
      <c r="U15" s="285">
        <f t="shared" si="1"/>
        <v>0</v>
      </c>
      <c r="V15" s="285">
        <f t="shared" si="2"/>
        <v>0</v>
      </c>
      <c r="W15" s="285">
        <f t="shared" si="3"/>
        <v>0</v>
      </c>
      <c r="X15" s="285">
        <f t="shared" si="4"/>
        <v>0</v>
      </c>
    </row>
    <row r="16" spans="1:24" s="22" customFormat="1" ht="15.95" customHeight="1">
      <c r="B16" s="348"/>
      <c r="C16" s="600">
        <f>IF(B11="","",VLOOKUP(B11,Espesor!$C$8:$E$41,2))</f>
        <v>6.1</v>
      </c>
      <c r="D16" s="168"/>
      <c r="E16" s="185" t="s">
        <v>114</v>
      </c>
      <c r="F16" s="186">
        <f>IF(B11="","",IF(M14="LY",IF(E12&lt;0.5,IF(H11=0,1/12,IF(H11=1,3/8,IF(H11=2,0,0.5))),IF(H11=4,VLOOKUP(E12,COEFICIENTES!$A$8:$N$58,3),IF(H11=3,VLOOKUP(E12,COEFICIENTES!$A$8:$N$58,6),IF(H11=2,VLOOKUP(E12,COEFICIENTES!$A$8:$N$58,9),IF(H11=1,VLOOKUP(E12,COEFICIENTES!$A$8:$N$58,12),VLOOKUP(E12,COEFICIENTES!$A$8:$N$58,14)))))),IF(H11=4,COEFICIENTES!$C$60,IF(H11=3,COEFICIENTES!$F$60,IF(H11=2,COEFICIENTES!$I$60,IF(H11=1,COEFICIENTES!$L$60,COEFICIENTES!$N$60))))))</f>
        <v>0.375</v>
      </c>
      <c r="G16" s="153"/>
      <c r="H16" s="185" t="s">
        <v>115</v>
      </c>
      <c r="I16" s="606">
        <f>IF(F16="",0,ROUND(F16*LOOKUP(B$11,Espesor!$C$8:$C$41,Espesor!$Z$8:$Z$41)*POWER(MIN(C$16,D$14),2),4))</f>
        <v>1.3512999999999999</v>
      </c>
      <c r="J16" s="606"/>
      <c r="K16" s="173"/>
      <c r="L16" s="174"/>
      <c r="M16" s="171"/>
      <c r="N16" s="171"/>
      <c r="O16" s="140"/>
      <c r="P16" s="207">
        <f>+Espesor!C21</f>
        <v>14</v>
      </c>
      <c r="Q16" s="284">
        <f>+I109</f>
        <v>0</v>
      </c>
      <c r="R16" s="284">
        <f>+I110</f>
        <v>0</v>
      </c>
      <c r="S16" s="284">
        <f>+I111</f>
        <v>0</v>
      </c>
      <c r="T16" s="284">
        <f>+I112</f>
        <v>0</v>
      </c>
      <c r="U16" s="285">
        <f t="shared" si="1"/>
        <v>0</v>
      </c>
      <c r="V16" s="285">
        <f t="shared" si="2"/>
        <v>0</v>
      </c>
      <c r="W16" s="285">
        <f t="shared" si="3"/>
        <v>0</v>
      </c>
      <c r="X16" s="285">
        <f t="shared" si="4"/>
        <v>0</v>
      </c>
    </row>
    <row r="17" spans="1:24" s="22" customFormat="1" ht="15.95" customHeight="1">
      <c r="B17" s="348"/>
      <c r="C17" s="601"/>
      <c r="D17" s="168"/>
      <c r="E17" s="185"/>
      <c r="F17" s="186"/>
      <c r="G17" s="153"/>
      <c r="H17" s="185"/>
      <c r="I17" s="187"/>
      <c r="J17" s="201"/>
      <c r="K17" s="178"/>
      <c r="L17" s="178"/>
      <c r="M17" s="171"/>
      <c r="N17" s="171"/>
      <c r="O17" s="135"/>
      <c r="P17" s="207">
        <f>+Espesor!C22</f>
        <v>15</v>
      </c>
      <c r="Q17" s="284">
        <f>+I117</f>
        <v>0</v>
      </c>
      <c r="R17" s="284">
        <f>+I118</f>
        <v>0</v>
      </c>
      <c r="S17" s="284">
        <f>+I119</f>
        <v>0</v>
      </c>
      <c r="T17" s="284">
        <f>+I120</f>
        <v>0</v>
      </c>
      <c r="U17" s="285">
        <f t="shared" si="1"/>
        <v>0</v>
      </c>
      <c r="V17" s="285">
        <f t="shared" si="2"/>
        <v>0</v>
      </c>
      <c r="W17" s="285">
        <f t="shared" si="3"/>
        <v>0</v>
      </c>
      <c r="X17" s="285">
        <f t="shared" si="4"/>
        <v>0</v>
      </c>
    </row>
    <row r="18" spans="1:24" s="22" customFormat="1" ht="15.95" customHeight="1">
      <c r="B18" s="348"/>
      <c r="C18" s="179"/>
      <c r="D18" s="168"/>
      <c r="E18" s="185"/>
      <c r="F18" s="186"/>
      <c r="G18" s="153"/>
      <c r="H18" s="185"/>
      <c r="I18" s="187"/>
      <c r="J18" s="201"/>
      <c r="K18" s="178"/>
      <c r="L18" s="178"/>
      <c r="M18" s="171"/>
      <c r="N18" s="171"/>
      <c r="O18" s="135"/>
      <c r="P18" s="207">
        <f>+Espesor!C23</f>
        <v>16</v>
      </c>
      <c r="Q18" s="284">
        <f>+I125</f>
        <v>0</v>
      </c>
      <c r="R18" s="284">
        <f>+I126</f>
        <v>0</v>
      </c>
      <c r="S18" s="284">
        <f>+I127</f>
        <v>0</v>
      </c>
      <c r="T18" s="284">
        <f>+I128</f>
        <v>0</v>
      </c>
      <c r="U18" s="285">
        <f t="shared" si="1"/>
        <v>0</v>
      </c>
      <c r="V18" s="285">
        <f t="shared" si="2"/>
        <v>0</v>
      </c>
      <c r="W18" s="285">
        <f t="shared" si="3"/>
        <v>0</v>
      </c>
      <c r="X18" s="285">
        <f t="shared" si="4"/>
        <v>0</v>
      </c>
    </row>
    <row r="19" spans="1:24" s="22" customFormat="1" ht="15.95" customHeight="1">
      <c r="A19" s="347" t="str">
        <f>+Espesor!B10</f>
        <v>Lt-</v>
      </c>
      <c r="B19" s="347">
        <f>IF(B11="","",IF(Espesor!$D$4&gt;=(B11+1),B11+1,""))</f>
        <v>3</v>
      </c>
      <c r="C19" s="604" t="str">
        <f>IF(B19&lt;=Espesor!$D$4,Espesor!$G$5,"")</f>
        <v>Losa armada en</v>
      </c>
      <c r="D19" s="604"/>
      <c r="E19" s="602" t="str">
        <f>IF(C19="","",LOOKUP(B19,Espesor!$C$8:$C$41,Espesor!$G$8:$G$41))</f>
        <v>dos direcciones</v>
      </c>
      <c r="F19" s="602"/>
      <c r="G19" s="602"/>
      <c r="H19" s="167">
        <f>IF(B19="","",LOOKUP(B19,Espesor!$C$8:$C$41,Espesor!$J$8:$J$41))</f>
        <v>2</v>
      </c>
      <c r="I19" s="603" t="str">
        <f>IF(B19="","",IF(H19&gt;1,Espesor!$H$5,"Borde Discontinuo"))</f>
        <v>Bordes Discontinuos</v>
      </c>
      <c r="J19" s="603"/>
      <c r="K19" s="603"/>
      <c r="P19" s="207">
        <f>+Espesor!C24</f>
        <v>17</v>
      </c>
      <c r="Q19" s="284">
        <f>+I133</f>
        <v>0</v>
      </c>
      <c r="R19" s="284">
        <f>+I134</f>
        <v>0</v>
      </c>
      <c r="S19" s="284">
        <f>+I135</f>
        <v>0</v>
      </c>
      <c r="T19" s="284">
        <f>+I136</f>
        <v>0</v>
      </c>
      <c r="U19" s="285">
        <f t="shared" si="1"/>
        <v>0</v>
      </c>
      <c r="V19" s="285">
        <f t="shared" si="2"/>
        <v>0</v>
      </c>
      <c r="W19" s="285">
        <f t="shared" si="3"/>
        <v>0</v>
      </c>
      <c r="X19" s="285">
        <f t="shared" si="4"/>
        <v>0</v>
      </c>
    </row>
    <row r="20" spans="1:24" s="22" customFormat="1" ht="15.95" customHeight="1" thickBot="1">
      <c r="B20" s="349"/>
      <c r="C20" s="165"/>
      <c r="D20" s="175"/>
      <c r="E20" s="611">
        <f>IF(B19="","",LOOKUP(B19,Espesor!$C$8:$C$41,Espesor!$F$8:$F$41))</f>
        <v>0.7</v>
      </c>
      <c r="F20" s="611"/>
      <c r="G20" s="609" t="str">
        <f>IF(B19="","",LOOKUP(B19,Espesor!$C$8:$C$41,Espesor!$K$8:$K$41))</f>
        <v xml:space="preserve">        </v>
      </c>
      <c r="H20" s="609"/>
      <c r="I20" s="609"/>
      <c r="J20" s="145" t="str">
        <f>IF(B19="","",IF(E20&lt;0.5,"","alfa ="))</f>
        <v>alfa =</v>
      </c>
      <c r="K20" s="146">
        <f>IF(B19="","",IF(E20&lt;0.5,"",(3-(E20)^2)/2))</f>
        <v>1.2550000000000001</v>
      </c>
      <c r="L20" s="162" t="str">
        <f>+IF(E20&lt;0.5,IF(H19=0,0.5,IF(H19=1,5/8,IF(H19=2,0.5,1))),"")</f>
        <v/>
      </c>
      <c r="M20" s="176"/>
      <c r="N20" s="176"/>
      <c r="O20" s="135"/>
      <c r="P20" s="207">
        <f>+Espesor!C25</f>
        <v>18</v>
      </c>
      <c r="Q20" s="284">
        <f>+I141</f>
        <v>0</v>
      </c>
      <c r="R20" s="284">
        <f>+I142</f>
        <v>0</v>
      </c>
      <c r="S20" s="284">
        <f>+I143</f>
        <v>0</v>
      </c>
      <c r="T20" s="284">
        <f>+I144</f>
        <v>0</v>
      </c>
      <c r="U20" s="285">
        <f t="shared" si="1"/>
        <v>0</v>
      </c>
      <c r="V20" s="285">
        <f t="shared" si="2"/>
        <v>0</v>
      </c>
      <c r="W20" s="285">
        <f t="shared" si="3"/>
        <v>0</v>
      </c>
      <c r="X20" s="285">
        <f t="shared" si="4"/>
        <v>0</v>
      </c>
    </row>
    <row r="21" spans="1:24" s="22" customFormat="1" ht="15.95" customHeight="1">
      <c r="B21" s="349"/>
      <c r="C21" s="616"/>
      <c r="D21" s="168"/>
      <c r="E21" s="185" t="s">
        <v>108</v>
      </c>
      <c r="F21" s="186">
        <f>IF(B19="","",IF(M22="LX",IF(E20&lt;0.5,IF(H19=0,1/24,IF(H19=1,9/125,IF(H19=2,1/8,0))),IF(H19=4,VLOOKUP(E20,COEFICIENTES!$A$8:$N$58,2),IF(H19=3,VLOOKUP(E20,COEFICIENTES!$A$8:$N$58,4),IF(H19=2,VLOOKUP(E20,COEFICIENTES!$A$8:$N$58,7),IF(H19=1,VLOOKUP(E20,COEFICIENTES!$A$8:$N$58,10),VLOOKUP(E20,COEFICIENTES!$A$8:$N$58,13)))))),IF(H19=4,COEFICIENTES!$B$60,IF(H19=3,COEFICIENTES!$D$60,IF(H19=2,COEFICIENTES!$G$60,IF(H19=1,COEFICIENTES!$J$60,COEFICIENTES!$M$60))))))</f>
        <v>3.6999999999999998E-2</v>
      </c>
      <c r="G21" s="187"/>
      <c r="H21" s="185" t="s">
        <v>109</v>
      </c>
      <c r="I21" s="606">
        <f>IF(F21="",0,ROUND(F21*LOOKUP(B$19,Espesor!$C$8:$C$41,Espesor!$Z$8:$Z$41)*POWER(MIN(C$24,D$22),2),4))</f>
        <v>0.76990000000000003</v>
      </c>
      <c r="J21" s="606"/>
      <c r="K21" s="607">
        <f>IF(M22="LY",LOOKUP(B19,Espesor!$C$8:$C$41,Espesor!$AA$8:$AA$41),LOOKUP(B19,Espesor!$C$8:$C$41,Espesor!$AB$8:$AB$41))</f>
        <v>1.3087466666666667</v>
      </c>
      <c r="L21" s="607"/>
      <c r="M21" s="177"/>
      <c r="N21" s="171"/>
      <c r="O21" s="140"/>
      <c r="P21" s="207">
        <f>+Espesor!C26</f>
        <v>19</v>
      </c>
      <c r="Q21" s="284">
        <f>+I149</f>
        <v>0</v>
      </c>
      <c r="R21" s="284">
        <f>+I150</f>
        <v>0</v>
      </c>
      <c r="S21" s="284">
        <f>+I151</f>
        <v>0</v>
      </c>
      <c r="T21" s="284">
        <f>+I152</f>
        <v>0</v>
      </c>
      <c r="U21" s="285">
        <f t="shared" si="1"/>
        <v>0</v>
      </c>
      <c r="V21" s="285">
        <f t="shared" si="2"/>
        <v>0</v>
      </c>
      <c r="W21" s="285">
        <f t="shared" si="3"/>
        <v>0</v>
      </c>
      <c r="X21" s="285">
        <f t="shared" si="4"/>
        <v>0</v>
      </c>
    </row>
    <row r="22" spans="1:24" s="22" customFormat="1" ht="15.95" customHeight="1">
      <c r="B22" s="350"/>
      <c r="C22" s="617"/>
      <c r="D22" s="169">
        <f>IF(B19="","",VLOOKUP(B19,Espesor!$C$8:$E$41,3))</f>
        <v>5.3</v>
      </c>
      <c r="E22" s="185" t="s">
        <v>110</v>
      </c>
      <c r="F22" s="186">
        <f>IF(B19="","",IF(M22="LX",IF(E20&lt;0.5,IF(H19=0,1/12,IF(H19=1,3/8,IF(H19=2,0,0.5))),IF(H19=4,VLOOKUP(E20,COEFICIENTES!$A$8:$N$58,3),IF(H19=3,VLOOKUP(E20,COEFICIENTES!$A$8:$N$58,6),IF(H19=2,VLOOKUP(E20,COEFICIENTES!$A$8:$N$58,9),IF(H19=1,VLOOKUP(E20,COEFICIENTES!$A$8:$N$58,12),VLOOKUP(E20,COEFICIENTES!$A$8:$N$58,14)))))),IF(H19=4,COEFICIENTES!$C$60,IF(H19=3,COEFICIENTES!$F$60,IF(H19=2,COEFICIENTES!$I$60,IF(H19=1,COEFICIENTES!$L$60,COEFICIENTES!$N$60))))))</f>
        <v>4.9000000000000002E-2</v>
      </c>
      <c r="G22" s="153"/>
      <c r="H22" s="185" t="s">
        <v>111</v>
      </c>
      <c r="I22" s="606">
        <f>IF(F22="",0,ROUND(F22*LOOKUP(B$19,Espesor!$C$8:$C$41,Espesor!$Z$8:$Z$41)*POWER(MIN(C$24,D$22),2),4))</f>
        <v>1.0196000000000001</v>
      </c>
      <c r="J22" s="606"/>
      <c r="K22" s="608">
        <f>IF(M22="LX",LOOKUP(B19,Espesor!$C$8:$C$41,Espesor!$AA$8:$AA$41),LOOKUP(B19,Espesor!$C$8:$C$41,Espesor!$AB$8:$AB$41))</f>
        <v>1.6424770666666668</v>
      </c>
      <c r="L22" s="608"/>
      <c r="M22" s="170" t="str">
        <f>+IF(MIN(C24,D22)=D22,"LY","LX")</f>
        <v>LY</v>
      </c>
      <c r="N22" s="171" t="str">
        <f>+IF(M22="","",IF(M22="LY","LX","LY"))</f>
        <v>LX</v>
      </c>
      <c r="O22" s="140"/>
      <c r="P22" s="207">
        <f>+Espesor!C27</f>
        <v>20</v>
      </c>
      <c r="Q22" s="284">
        <f>+I157</f>
        <v>0</v>
      </c>
      <c r="R22" s="284">
        <f>+I158</f>
        <v>0</v>
      </c>
      <c r="S22" s="284">
        <f>+I159</f>
        <v>0</v>
      </c>
      <c r="T22" s="284">
        <f>+I160</f>
        <v>0</v>
      </c>
      <c r="U22" s="285">
        <f t="shared" si="1"/>
        <v>0</v>
      </c>
      <c r="V22" s="285">
        <f t="shared" si="2"/>
        <v>0</v>
      </c>
      <c r="W22" s="285">
        <f t="shared" si="3"/>
        <v>0</v>
      </c>
      <c r="X22" s="285">
        <f t="shared" si="4"/>
        <v>0</v>
      </c>
    </row>
    <row r="23" spans="1:24" s="22" customFormat="1" ht="15.95" customHeight="1" thickBot="1">
      <c r="B23" s="350"/>
      <c r="C23" s="618"/>
      <c r="D23" s="168"/>
      <c r="E23" s="185" t="s">
        <v>112</v>
      </c>
      <c r="F23" s="186">
        <f>IF(B19="","",IF(M22="LY",IF(E20&lt;0.5,IF(H19=0,1/24,IF(H19=1,9/125,IF(H19=2,1/8,0))),IF(H19=4,VLOOKUP(E20,COEFICIENTES!$A$8:$N$58,2),IF(H19=3,VLOOKUP(E20,COEFICIENTES!$A$8:$N$58,4),IF(H19=2,VLOOKUP(E20,COEFICIENTES!$A$8:$N$58,7),IF(H19=1,VLOOKUP(E20,COEFICIENTES!$A$8:$N$58,10),VLOOKUP(E20,COEFICIENTES!$A$8:$N$58,13)))))),IF(H19=4,COEFICIENTES!$B$60,IF(H19=3,COEFICIENTES!$D$60,IF(H19=2,COEFICIENTES!$G$60,IF(H19=1,COEFICIENTES!$J$60,COEFICIENTES!$M$60))))))</f>
        <v>5.4500000000000097E-2</v>
      </c>
      <c r="G23" s="153"/>
      <c r="H23" s="185" t="s">
        <v>113</v>
      </c>
      <c r="I23" s="606">
        <f>IF(F23="",0,ROUND(F23*LOOKUP(B$19,Espesor!$C$8:$C$41,Espesor!$Z$8:$Z$41)*POWER(MIN(C$24,D$22),2),4))</f>
        <v>1.1341000000000001</v>
      </c>
      <c r="J23" s="606"/>
      <c r="K23" s="173"/>
      <c r="L23" s="174"/>
      <c r="M23" s="143"/>
      <c r="N23" s="171"/>
      <c r="O23" s="140"/>
      <c r="P23" s="207">
        <f>+Espesor!C28</f>
        <v>21</v>
      </c>
      <c r="Q23" s="284">
        <f>+I165</f>
        <v>0</v>
      </c>
      <c r="R23" s="284">
        <f>+I166</f>
        <v>0</v>
      </c>
      <c r="S23" s="284">
        <f>+I167</f>
        <v>0</v>
      </c>
      <c r="T23" s="284">
        <f>+I168</f>
        <v>0</v>
      </c>
      <c r="U23" s="285">
        <f t="shared" si="1"/>
        <v>0</v>
      </c>
      <c r="V23" s="285">
        <f t="shared" si="2"/>
        <v>0</v>
      </c>
      <c r="W23" s="285">
        <f t="shared" si="3"/>
        <v>0</v>
      </c>
      <c r="X23" s="285">
        <f t="shared" si="4"/>
        <v>0</v>
      </c>
    </row>
    <row r="24" spans="1:24" s="22" customFormat="1" ht="15.95" customHeight="1">
      <c r="B24" s="348"/>
      <c r="C24" s="600">
        <f>IF(B19="","",VLOOKUP(B19,Espesor!$C$8:$E$41,2))</f>
        <v>7.55</v>
      </c>
      <c r="D24" s="168"/>
      <c r="E24" s="185" t="s">
        <v>114</v>
      </c>
      <c r="F24" s="186">
        <f>IF(B19="","",IF(M22="LY",IF(E20&lt;0.5,IF(H19=0,1/12,IF(H19=1,3/8,IF(H19=2,0,0.5))),IF(H19=4,VLOOKUP(E20,COEFICIENTES!$A$8:$N$58,3),IF(H19=3,VLOOKUP(E20,COEFICIENTES!$A$8:$N$58,6),IF(H19=2,VLOOKUP(E20,COEFICIENTES!$A$8:$N$58,9),IF(H19=1,VLOOKUP(E20,COEFICIENTES!$A$8:$N$58,12),VLOOKUP(E20,COEFICIENTES!$A$8:$N$58,14)))))),IF(H19=4,COEFICIENTES!$C$60,IF(H19=3,COEFICIENTES!$F$60,IF(H19=2,COEFICIENTES!$I$60,IF(H19=1,COEFICIENTES!$L$60,COEFICIENTES!$N$60))))))</f>
        <v>7.1700000000000097E-2</v>
      </c>
      <c r="G24" s="153"/>
      <c r="H24" s="185" t="s">
        <v>115</v>
      </c>
      <c r="I24" s="606">
        <f>IF(F24="",0,ROUND(F24*LOOKUP(B$19,Espesor!$C$8:$C$41,Espesor!$Z$8:$Z$41)*POWER(MIN(C$24,D$22),2),4))</f>
        <v>1.492</v>
      </c>
      <c r="J24" s="606"/>
      <c r="K24" s="173"/>
      <c r="L24" s="174"/>
      <c r="M24" s="171"/>
      <c r="N24" s="171"/>
      <c r="O24" s="140"/>
      <c r="P24" s="207">
        <f>+Espesor!C29</f>
        <v>22</v>
      </c>
      <c r="Q24" s="284">
        <f>+I173</f>
        <v>0</v>
      </c>
      <c r="R24" s="284">
        <f>+I174</f>
        <v>0</v>
      </c>
      <c r="S24" s="284">
        <f>+I175</f>
        <v>0</v>
      </c>
      <c r="T24" s="284">
        <f>+I176</f>
        <v>0</v>
      </c>
      <c r="U24" s="285">
        <f>IF(Q24="","",Q24*100000)</f>
        <v>0</v>
      </c>
      <c r="V24" s="285">
        <f t="shared" ref="V24:X24" si="5">IF(R24="","",R24*100000)</f>
        <v>0</v>
      </c>
      <c r="W24" s="285">
        <f t="shared" si="5"/>
        <v>0</v>
      </c>
      <c r="X24" s="285">
        <f t="shared" si="5"/>
        <v>0</v>
      </c>
    </row>
    <row r="25" spans="1:24" s="22" customFormat="1" ht="15.95" customHeight="1">
      <c r="B25" s="348"/>
      <c r="C25" s="601"/>
      <c r="D25" s="168"/>
      <c r="E25" s="185"/>
      <c r="F25" s="147"/>
      <c r="G25" s="153"/>
      <c r="H25" s="153"/>
      <c r="I25" s="188"/>
      <c r="J25" s="185"/>
      <c r="K25" s="178"/>
      <c r="L25" s="178"/>
      <c r="M25" s="171"/>
      <c r="N25" s="171"/>
      <c r="O25" s="140"/>
      <c r="P25" s="207">
        <f>+Espesor!C30</f>
        <v>23</v>
      </c>
      <c r="Q25" s="284">
        <f>+I181</f>
        <v>0</v>
      </c>
      <c r="R25" s="284">
        <f>+I182</f>
        <v>0</v>
      </c>
      <c r="S25" s="284">
        <f>+I183</f>
        <v>0</v>
      </c>
      <c r="T25" s="284">
        <f>+I184</f>
        <v>0</v>
      </c>
      <c r="U25" s="285">
        <f t="shared" ref="U25:U36" si="6">IF(Q25="","",Q25*100000)</f>
        <v>0</v>
      </c>
      <c r="V25" s="285">
        <f t="shared" ref="V25:V36" si="7">IF(R25="","",R25*100000)</f>
        <v>0</v>
      </c>
      <c r="W25" s="285">
        <f t="shared" ref="W25:W36" si="8">IF(S25="","",S25*100000)</f>
        <v>0</v>
      </c>
      <c r="X25" s="285">
        <f t="shared" ref="X25:X36" si="9">IF(T25="","",T25*100000)</f>
        <v>0</v>
      </c>
    </row>
    <row r="26" spans="1:24" s="22" customFormat="1" ht="15.95" customHeight="1">
      <c r="B26" s="348"/>
      <c r="C26" s="179"/>
      <c r="D26" s="168"/>
      <c r="E26" s="185"/>
      <c r="F26" s="147"/>
      <c r="G26" s="153"/>
      <c r="H26" s="153"/>
      <c r="I26" s="188"/>
      <c r="J26" s="185"/>
      <c r="K26" s="178"/>
      <c r="L26" s="178"/>
      <c r="M26" s="171"/>
      <c r="N26" s="171"/>
      <c r="O26" s="140"/>
      <c r="P26" s="207">
        <f>+Espesor!C31</f>
        <v>24</v>
      </c>
      <c r="Q26" s="284">
        <f>+I189</f>
        <v>0</v>
      </c>
      <c r="R26" s="284">
        <f>+I190</f>
        <v>0</v>
      </c>
      <c r="S26" s="284">
        <f>+I191</f>
        <v>0</v>
      </c>
      <c r="T26" s="284">
        <f>+I192</f>
        <v>0</v>
      </c>
      <c r="U26" s="285">
        <f t="shared" si="6"/>
        <v>0</v>
      </c>
      <c r="V26" s="285">
        <f t="shared" si="7"/>
        <v>0</v>
      </c>
      <c r="W26" s="285">
        <f t="shared" si="8"/>
        <v>0</v>
      </c>
      <c r="X26" s="285">
        <f t="shared" si="9"/>
        <v>0</v>
      </c>
    </row>
    <row r="27" spans="1:24" s="22" customFormat="1" ht="15.95" customHeight="1">
      <c r="A27" s="347" t="str">
        <f>+Espesor!B11</f>
        <v>Lt-</v>
      </c>
      <c r="B27" s="347">
        <f>IF(B19="","",IF(Espesor!$D$4&gt;=(B19+1),B19+1,""))</f>
        <v>4</v>
      </c>
      <c r="C27" s="604" t="str">
        <f>IF(B27&lt;=Espesor!$D$4,Espesor!$G$5,"")</f>
        <v>Losa armada en</v>
      </c>
      <c r="D27" s="604"/>
      <c r="E27" s="602" t="str">
        <f>IF(C27="","",LOOKUP(B27,Espesor!$C$8:$C$41,Espesor!$G$8:$G$41))</f>
        <v>dos direcciones</v>
      </c>
      <c r="F27" s="602"/>
      <c r="G27" s="602"/>
      <c r="H27" s="167">
        <f>IF(B27="","",LOOKUP(B27,Espesor!$C$8:$C$41,Espesor!$J$8:$J$41))</f>
        <v>1</v>
      </c>
      <c r="I27" s="603" t="str">
        <f>IF(B27="","",IF(H27&gt;1,Espesor!$H$5,"Borde Discontinuo"))</f>
        <v>Borde Discontinuo</v>
      </c>
      <c r="J27" s="603"/>
      <c r="K27" s="603"/>
      <c r="P27" s="207">
        <f>+Espesor!C32</f>
        <v>25</v>
      </c>
      <c r="Q27" s="284">
        <f>+I197</f>
        <v>0</v>
      </c>
      <c r="R27" s="284">
        <f>+I198</f>
        <v>0</v>
      </c>
      <c r="S27" s="284">
        <f>+I199</f>
        <v>0</v>
      </c>
      <c r="T27" s="284">
        <f>+I200</f>
        <v>0</v>
      </c>
      <c r="U27" s="285">
        <f t="shared" si="6"/>
        <v>0</v>
      </c>
      <c r="V27" s="285">
        <f t="shared" si="7"/>
        <v>0</v>
      </c>
      <c r="W27" s="285">
        <f t="shared" si="8"/>
        <v>0</v>
      </c>
      <c r="X27" s="285">
        <f t="shared" si="9"/>
        <v>0</v>
      </c>
    </row>
    <row r="28" spans="1:24" s="22" customFormat="1" ht="15.95" customHeight="1" thickBot="1">
      <c r="B28" s="348"/>
      <c r="C28" s="165"/>
      <c r="D28" s="175"/>
      <c r="E28" s="611">
        <f>IF(B27="","",LOOKUP(B27,Espesor!$C$8:$C$41,Espesor!$F$8:$F$41))</f>
        <v>0.66</v>
      </c>
      <c r="F28" s="611"/>
      <c r="G28" s="609" t="str">
        <f>IF(B27="","",LOOKUP(B27,Espesor!$C$8:$C$41,Espesor!$K$8:$K$41))</f>
        <v xml:space="preserve">        </v>
      </c>
      <c r="H28" s="609"/>
      <c r="I28" s="609"/>
      <c r="J28" s="145" t="str">
        <f>IF(B27="","",IF(E28&lt;0.5,"","alfa ="))</f>
        <v>alfa =</v>
      </c>
      <c r="K28" s="146">
        <f>IF(B27="","",IF(E28&lt;0.5,"",(3-(E28)^2)/2))</f>
        <v>1.2822</v>
      </c>
      <c r="L28" s="162" t="str">
        <f>+IF(E28&lt;0.5,IF(H27=0,0.5,IF(H27=1,5/8,IF(H27=2,0.5,1))),"")</f>
        <v/>
      </c>
      <c r="M28" s="176"/>
      <c r="N28" s="176"/>
      <c r="O28" s="140"/>
      <c r="P28" s="207">
        <f>+Espesor!C33</f>
        <v>26</v>
      </c>
      <c r="Q28" s="284">
        <f>+I205</f>
        <v>0</v>
      </c>
      <c r="R28" s="284">
        <f>+I206</f>
        <v>0</v>
      </c>
      <c r="S28" s="284">
        <f>+I207</f>
        <v>0</v>
      </c>
      <c r="T28" s="284">
        <f>+I208</f>
        <v>0</v>
      </c>
      <c r="U28" s="285">
        <f t="shared" si="6"/>
        <v>0</v>
      </c>
      <c r="V28" s="285">
        <f t="shared" si="7"/>
        <v>0</v>
      </c>
      <c r="W28" s="285">
        <f t="shared" si="8"/>
        <v>0</v>
      </c>
      <c r="X28" s="285">
        <f t="shared" si="9"/>
        <v>0</v>
      </c>
    </row>
    <row r="29" spans="1:24" s="22" customFormat="1" ht="15.95" customHeight="1">
      <c r="B29" s="348"/>
      <c r="C29" s="616"/>
      <c r="D29" s="168"/>
      <c r="E29" s="185" t="s">
        <v>108</v>
      </c>
      <c r="F29" s="186">
        <f>IF(B27="","",IF(M30="LX",IF(E28&lt;0.5,IF(H27=0,1/24,IF(H27=1,9/125,IF(H27=2,1/8,0))),IF(H27=4,VLOOKUP(E28,COEFICIENTES!$A$8:$N$58,2),IF(H27=3,VLOOKUP(E28,COEFICIENTES!$A$8:$N$58,4),IF(H27=2,VLOOKUP(E28,COEFICIENTES!$A$8:$N$58,7),IF(H27=1,VLOOKUP(E28,COEFICIENTES!$A$8:$N$58,10),VLOOKUP(E28,COEFICIENTES!$A$8:$N$58,13)))))),IF(H27=4,COEFICIENTES!$B$60,IF(H27=3,COEFICIENTES!$D$60,IF(H27=2,COEFICIENTES!$G$60,IF(H27=1,COEFICIENTES!$J$60,COEFICIENTES!$M$60))))))</f>
        <v>3.1E-2</v>
      </c>
      <c r="G29" s="187"/>
      <c r="H29" s="185" t="s">
        <v>109</v>
      </c>
      <c r="I29" s="606">
        <f>IF(F29="",0,ROUND(F29*LOOKUP(B$27,Espesor!$C$8:$C$41,Espesor!$Z$8:$Z$41)*POWER(MIN(C$32,D$30),2),4))</f>
        <v>0.34739999999999999</v>
      </c>
      <c r="J29" s="606"/>
      <c r="K29" s="607">
        <f>IF(M30="LY",LOOKUP(B27,Espesor!$C$8:$C$41,Espesor!$AA$8:$AA$41),LOOKUP(B27,Espesor!$C$8:$C$41,Espesor!$AB$8:$AB$41))</f>
        <v>0.92232000000000003</v>
      </c>
      <c r="L29" s="607"/>
      <c r="M29" s="177"/>
      <c r="N29" s="171"/>
      <c r="O29" s="140"/>
      <c r="P29" s="207">
        <f>+Espesor!C34</f>
        <v>27</v>
      </c>
      <c r="Q29" s="284">
        <f>+I213</f>
        <v>0</v>
      </c>
      <c r="R29" s="284">
        <f>+I214</f>
        <v>0</v>
      </c>
      <c r="S29" s="284">
        <f>+I215</f>
        <v>0</v>
      </c>
      <c r="T29" s="284">
        <f>+I216</f>
        <v>0</v>
      </c>
      <c r="U29" s="285">
        <f t="shared" si="6"/>
        <v>0</v>
      </c>
      <c r="V29" s="285">
        <f t="shared" si="7"/>
        <v>0</v>
      </c>
      <c r="W29" s="285">
        <f t="shared" si="8"/>
        <v>0</v>
      </c>
      <c r="X29" s="285">
        <f t="shared" si="9"/>
        <v>0</v>
      </c>
    </row>
    <row r="30" spans="1:24" s="22" customFormat="1" ht="15.95" customHeight="1">
      <c r="B30" s="348"/>
      <c r="C30" s="617"/>
      <c r="D30" s="169">
        <f>IF(B27="","",VLOOKUP(B27,Espesor!$C$8:$E$41,3))</f>
        <v>4.05</v>
      </c>
      <c r="E30" s="185" t="s">
        <v>110</v>
      </c>
      <c r="F30" s="186">
        <f>IF(B27="","",IF(M30="LX",IF(E28&lt;0.5,IF(H27=0,1/12,IF(H27=1,3/8,IF(H27=2,0,0.5))),IF(H27=4,VLOOKUP(E28,COEFICIENTES!$A$8:$N$58,3),IF(H27=3,VLOOKUP(E28,COEFICIENTES!$A$8:$N$58,6),IF(H27=2,VLOOKUP(E28,COEFICIENTES!$A$8:$N$58,9),IF(H27=1,VLOOKUP(E28,COEFICIENTES!$A$8:$N$58,12),VLOOKUP(E28,COEFICIENTES!$A$8:$N$58,14)))))),IF(H27=4,COEFICIENTES!$C$60,IF(H27=3,COEFICIENTES!$F$60,IF(H27=2,COEFICIENTES!$I$60,IF(H27=1,COEFICIENTES!$L$60,COEFICIENTES!$N$60))))))</f>
        <v>4.1000000000000002E-2</v>
      </c>
      <c r="G30" s="153"/>
      <c r="H30" s="185" t="s">
        <v>111</v>
      </c>
      <c r="I30" s="606">
        <f>IF(F30="",0,ROUND(F30*LOOKUP(B$27,Espesor!$C$8:$C$41,Espesor!$Z$8:$Z$41)*POWER(MIN(C$32,D$30),2),4))</f>
        <v>0.45950000000000002</v>
      </c>
      <c r="J30" s="606"/>
      <c r="K30" s="608">
        <f>IF(M30="LX",LOOKUP(B27,Espesor!$C$8:$C$41,Espesor!$AA$8:$AA$41),LOOKUP(B27,Espesor!$C$8:$C$41,Espesor!$AB$8:$AB$41))</f>
        <v>1.1825987040000001</v>
      </c>
      <c r="L30" s="608"/>
      <c r="M30" s="170" t="str">
        <f>+IF(MIN(C32,D30)=D30,"LY","LX")</f>
        <v>LY</v>
      </c>
      <c r="N30" s="171" t="str">
        <f>+IF(M30="","",IF(M30="LY","LX","LY"))</f>
        <v>LX</v>
      </c>
      <c r="O30" s="140"/>
      <c r="P30" s="207">
        <f>+Espesor!C35</f>
        <v>28</v>
      </c>
      <c r="Q30" s="284">
        <f>+I221</f>
        <v>0</v>
      </c>
      <c r="R30" s="284">
        <f>+I222</f>
        <v>0</v>
      </c>
      <c r="S30" s="284">
        <f>+I223</f>
        <v>0</v>
      </c>
      <c r="T30" s="284">
        <f>+I224</f>
        <v>0</v>
      </c>
      <c r="U30" s="285">
        <f t="shared" si="6"/>
        <v>0</v>
      </c>
      <c r="V30" s="285">
        <f t="shared" si="7"/>
        <v>0</v>
      </c>
      <c r="W30" s="285">
        <f t="shared" si="8"/>
        <v>0</v>
      </c>
      <c r="X30" s="285">
        <f t="shared" si="9"/>
        <v>0</v>
      </c>
    </row>
    <row r="31" spans="1:24" s="22" customFormat="1" ht="15.95" customHeight="1" thickBot="1">
      <c r="B31" s="348"/>
      <c r="C31" s="618"/>
      <c r="D31" s="168"/>
      <c r="E31" s="185" t="s">
        <v>112</v>
      </c>
      <c r="F31" s="186">
        <f>IF(B27="","",IF(M30="LY",IF(E28&lt;0.5,IF(H27=0,1/24,IF(H27=1,9/125,IF(H27=2,1/8,0))),IF(H27=4,VLOOKUP(E28,COEFICIENTES!$A$8:$N$58,2),IF(H27=3,VLOOKUP(E28,COEFICIENTES!$A$8:$N$58,4),IF(H27=2,VLOOKUP(E28,COEFICIENTES!$A$8:$N$58,7),IF(H27=1,VLOOKUP(E28,COEFICIENTES!$A$8:$N$58,10),VLOOKUP(E28,COEFICIENTES!$A$8:$N$58,13)))))),IF(H27=4,COEFICIENTES!$B$60,IF(H27=3,COEFICIENTES!$D$60,IF(H27=2,COEFICIENTES!$G$60,IF(H27=1,COEFICIENTES!$J$60,COEFICIENTES!$M$60))))))</f>
        <v>4.9500000000000398E-2</v>
      </c>
      <c r="G31" s="153"/>
      <c r="H31" s="185" t="s">
        <v>113</v>
      </c>
      <c r="I31" s="606">
        <f>IF(F31="",0,ROUND(F31*LOOKUP(B$27,Espesor!$C$8:$C$41,Espesor!$Z$8:$Z$41)*POWER(MIN(C$32,D$30),2),4))</f>
        <v>0.55469999999999997</v>
      </c>
      <c r="J31" s="606"/>
      <c r="K31" s="173"/>
      <c r="L31" s="174"/>
      <c r="M31" s="143"/>
      <c r="N31" s="171"/>
      <c r="O31" s="140"/>
      <c r="P31" s="207">
        <f>+Espesor!C36</f>
        <v>29</v>
      </c>
      <c r="Q31" s="284">
        <f>+I229</f>
        <v>0</v>
      </c>
      <c r="R31" s="284">
        <f>+I230</f>
        <v>0</v>
      </c>
      <c r="S31" s="284">
        <f>+I231</f>
        <v>0</v>
      </c>
      <c r="T31" s="284">
        <f>+I232</f>
        <v>0</v>
      </c>
      <c r="U31" s="285">
        <f t="shared" si="6"/>
        <v>0</v>
      </c>
      <c r="V31" s="285">
        <f t="shared" si="7"/>
        <v>0</v>
      </c>
      <c r="W31" s="285">
        <f t="shared" si="8"/>
        <v>0</v>
      </c>
      <c r="X31" s="285">
        <f t="shared" si="9"/>
        <v>0</v>
      </c>
    </row>
    <row r="32" spans="1:24" s="22" customFormat="1" ht="15.95" customHeight="1">
      <c r="B32" s="348"/>
      <c r="C32" s="600">
        <f>IF(B27="","",VLOOKUP(B27,Espesor!$C$8:$E$41,2))</f>
        <v>6.1</v>
      </c>
      <c r="D32" s="168"/>
      <c r="E32" s="185" t="s">
        <v>114</v>
      </c>
      <c r="F32" s="186">
        <f>IF(B27="","",IF(M30="LY",IF(E28&lt;0.5,IF(H27=0,1/12,IF(H27=1,3/8,IF(H27=2,0,0.5))),IF(H27=4,VLOOKUP(E28,COEFICIENTES!$A$8:$N$58,3),IF(H27=3,VLOOKUP(E28,COEFICIENTES!$A$8:$N$58,6),IF(H27=2,VLOOKUP(E28,COEFICIENTES!$A$8:$N$58,9),IF(H27=1,VLOOKUP(E28,COEFICIENTES!$A$8:$N$58,12),VLOOKUP(E28,COEFICIENTES!$A$8:$N$58,14)))))),IF(H27=4,COEFICIENTES!$C$60,IF(H27=3,COEFICIENTES!$F$60,IF(H27=2,COEFICIENTES!$I$60,IF(H27=1,COEFICIENTES!$L$60,COEFICIENTES!$N$60))))))</f>
        <v>6.5500000000000003E-2</v>
      </c>
      <c r="G32" s="153"/>
      <c r="H32" s="185" t="s">
        <v>115</v>
      </c>
      <c r="I32" s="606">
        <f>IF(F32="",0,ROUND(F32*LOOKUP(B$27,Espesor!$C$8:$C$41,Espesor!$Z$8:$Z$41)*POWER(MIN(C$32,D$30),2),4))</f>
        <v>0.73399999999999999</v>
      </c>
      <c r="J32" s="606"/>
      <c r="K32" s="173"/>
      <c r="L32" s="174"/>
      <c r="M32" s="171"/>
      <c r="N32" s="171"/>
      <c r="O32" s="140"/>
      <c r="P32" s="207">
        <f>+Espesor!C37</f>
        <v>30</v>
      </c>
      <c r="Q32" s="284">
        <f>+I237</f>
        <v>0</v>
      </c>
      <c r="R32" s="284">
        <f>+I238</f>
        <v>0</v>
      </c>
      <c r="S32" s="284">
        <f>+I239</f>
        <v>0</v>
      </c>
      <c r="T32" s="284">
        <f>+I240</f>
        <v>0</v>
      </c>
      <c r="U32" s="285">
        <f t="shared" si="6"/>
        <v>0</v>
      </c>
      <c r="V32" s="285">
        <f t="shared" si="7"/>
        <v>0</v>
      </c>
      <c r="W32" s="285">
        <f t="shared" si="8"/>
        <v>0</v>
      </c>
      <c r="X32" s="285">
        <f t="shared" si="9"/>
        <v>0</v>
      </c>
    </row>
    <row r="33" spans="1:24" s="22" customFormat="1" ht="15.95" customHeight="1">
      <c r="B33" s="348"/>
      <c r="C33" s="601"/>
      <c r="D33" s="168"/>
      <c r="E33" s="185"/>
      <c r="F33" s="147"/>
      <c r="G33" s="153"/>
      <c r="H33" s="153"/>
      <c r="I33" s="188"/>
      <c r="J33" s="185"/>
      <c r="K33" s="178"/>
      <c r="L33" s="178"/>
      <c r="M33" s="171"/>
      <c r="N33" s="171"/>
      <c r="O33" s="135"/>
      <c r="P33" s="207">
        <f>+Espesor!C38</f>
        <v>31</v>
      </c>
      <c r="Q33" s="284">
        <f>+I245</f>
        <v>0</v>
      </c>
      <c r="R33" s="284">
        <f>+I246</f>
        <v>0</v>
      </c>
      <c r="S33" s="284">
        <f>+I247</f>
        <v>0</v>
      </c>
      <c r="T33" s="284">
        <f>+I248</f>
        <v>0</v>
      </c>
      <c r="U33" s="285">
        <f t="shared" si="6"/>
        <v>0</v>
      </c>
      <c r="V33" s="285">
        <f t="shared" si="7"/>
        <v>0</v>
      </c>
      <c r="W33" s="285">
        <f t="shared" si="8"/>
        <v>0</v>
      </c>
      <c r="X33" s="285">
        <f t="shared" si="9"/>
        <v>0</v>
      </c>
    </row>
    <row r="34" spans="1:24" s="22" customFormat="1" ht="15.95" customHeight="1">
      <c r="B34" s="348"/>
      <c r="C34" s="179"/>
      <c r="D34" s="168"/>
      <c r="E34" s="185"/>
      <c r="F34" s="147"/>
      <c r="G34" s="153"/>
      <c r="H34" s="153"/>
      <c r="I34" s="188"/>
      <c r="J34" s="185"/>
      <c r="K34" s="178"/>
      <c r="L34" s="178"/>
      <c r="M34" s="171"/>
      <c r="N34" s="171"/>
      <c r="O34" s="135"/>
      <c r="P34" s="207">
        <f>+Espesor!C39</f>
        <v>32</v>
      </c>
      <c r="Q34" s="284">
        <f>+I253</f>
        <v>0</v>
      </c>
      <c r="R34" s="284">
        <f>+I254</f>
        <v>0</v>
      </c>
      <c r="S34" s="284">
        <f>+I255</f>
        <v>0</v>
      </c>
      <c r="T34" s="284">
        <f>+I256</f>
        <v>0</v>
      </c>
      <c r="U34" s="285">
        <f t="shared" si="6"/>
        <v>0</v>
      </c>
      <c r="V34" s="285">
        <f t="shared" si="7"/>
        <v>0</v>
      </c>
      <c r="W34" s="285">
        <f t="shared" si="8"/>
        <v>0</v>
      </c>
      <c r="X34" s="285">
        <f t="shared" si="9"/>
        <v>0</v>
      </c>
    </row>
    <row r="35" spans="1:24" s="22" customFormat="1" ht="15.95" customHeight="1">
      <c r="A35" s="347" t="str">
        <f>+Espesor!B12</f>
        <v>Lt-</v>
      </c>
      <c r="B35" s="347">
        <f>IF(B27="","",IF(Espesor!$D$4&gt;=(B27+1),B27+1,""))</f>
        <v>5</v>
      </c>
      <c r="C35" s="604" t="str">
        <f>IF(B35&lt;=Espesor!$D$4,Espesor!$G$5,"")</f>
        <v>Losa armada en</v>
      </c>
      <c r="D35" s="604"/>
      <c r="E35" s="602" t="str">
        <f>IF(C35="","",LOOKUP(B35,Espesor!$C$8:$C$41,Espesor!$G$8:$G$41))</f>
        <v>una dirección</v>
      </c>
      <c r="F35" s="602"/>
      <c r="G35" s="602"/>
      <c r="H35" s="167">
        <f>IF(B35="","",LOOKUP(B35,Espesor!$C$8:$C$41,Espesor!$J$8:$J$41))</f>
        <v>2</v>
      </c>
      <c r="I35" s="603" t="str">
        <f>IF(B35="","",IF(H35&gt;1,Espesor!$H$5,"Borde Discontinuo"))</f>
        <v>Bordes Discontinuos</v>
      </c>
      <c r="J35" s="603"/>
      <c r="K35" s="603"/>
      <c r="P35" s="207">
        <f>+Espesor!C40</f>
        <v>33</v>
      </c>
      <c r="Q35" s="284">
        <f>+I261</f>
        <v>0</v>
      </c>
      <c r="R35" s="284">
        <f>+I262</f>
        <v>0</v>
      </c>
      <c r="S35" s="284">
        <f>+I263</f>
        <v>0</v>
      </c>
      <c r="T35" s="284">
        <f>+I264</f>
        <v>0</v>
      </c>
      <c r="U35" s="285">
        <f t="shared" si="6"/>
        <v>0</v>
      </c>
      <c r="V35" s="285">
        <f t="shared" si="7"/>
        <v>0</v>
      </c>
      <c r="W35" s="285">
        <f t="shared" si="8"/>
        <v>0</v>
      </c>
      <c r="X35" s="285">
        <f t="shared" si="9"/>
        <v>0</v>
      </c>
    </row>
    <row r="36" spans="1:24" s="22" customFormat="1" ht="15.95" customHeight="1" thickBot="1">
      <c r="B36" s="349"/>
      <c r="C36" s="165"/>
      <c r="D36" s="175"/>
      <c r="E36" s="611">
        <f>IF(B35="","",LOOKUP(B35,Espesor!$C$8:$C$41,Espesor!$F$8:$F$41))</f>
        <v>0.41</v>
      </c>
      <c r="F36" s="611"/>
      <c r="G36" s="609" t="str">
        <f>IF(B35="","",LOOKUP(B35,Espesor!$C$8:$C$41,Espesor!$K$8:$K$41))</f>
        <v>simplemente apoyada</v>
      </c>
      <c r="H36" s="609"/>
      <c r="I36" s="609"/>
      <c r="J36" s="145" t="str">
        <f>IF(B35="","",IF(E36&lt;0.5,"","alfa ="))</f>
        <v/>
      </c>
      <c r="K36" s="146" t="str">
        <f>IF(B35="","",IF(E36&lt;0.5,"",(3-(E36)^2)/2))</f>
        <v/>
      </c>
      <c r="L36" s="162">
        <f>+IF(E36&lt;0.5,IF(H35=0,0.5,IF(H35=1,5/8,IF(H35=2,0.5,1))),"")</f>
        <v>0.5</v>
      </c>
      <c r="M36" s="176"/>
      <c r="N36" s="176"/>
      <c r="O36" s="135"/>
      <c r="P36" s="208">
        <f>+Espesor!C41</f>
        <v>34</v>
      </c>
      <c r="Q36" s="284">
        <f>+I269</f>
        <v>0</v>
      </c>
      <c r="R36" s="284">
        <f>+I270</f>
        <v>0</v>
      </c>
      <c r="S36" s="284">
        <f>+I271</f>
        <v>0</v>
      </c>
      <c r="T36" s="284">
        <f>+I272</f>
        <v>0</v>
      </c>
      <c r="U36" s="285">
        <f t="shared" si="6"/>
        <v>0</v>
      </c>
      <c r="V36" s="285">
        <f t="shared" si="7"/>
        <v>0</v>
      </c>
      <c r="W36" s="285">
        <f t="shared" si="8"/>
        <v>0</v>
      </c>
      <c r="X36" s="285">
        <f t="shared" si="9"/>
        <v>0</v>
      </c>
    </row>
    <row r="37" spans="1:24" s="22" customFormat="1" ht="15.95" customHeight="1">
      <c r="B37" s="349"/>
      <c r="C37" s="616"/>
      <c r="D37" s="168"/>
      <c r="E37" s="185" t="s">
        <v>108</v>
      </c>
      <c r="F37" s="186">
        <f>IF(B35="","",IF(M38="LX",IF(E36&lt;0.5,IF(H35=0,1/24,IF(H35=1,9/125,IF(H35=2,1/8,0))),IF(H35=4,VLOOKUP(E36,COEFICIENTES!$A$8:$N$58,2),IF(H35=3,VLOOKUP(E36,COEFICIENTES!$A$8:$N$58,4),IF(H35=2,VLOOKUP(E36,COEFICIENTES!$A$8:$N$58,7),IF(H35=1,VLOOKUP(E36,COEFICIENTES!$A$8:$N$58,10),VLOOKUP(E36,COEFICIENTES!$A$8:$N$58,13)))))),IF(H35=4,COEFICIENTES!$B$60,IF(H35=3,COEFICIENTES!$D$60,IF(H35=2,COEFICIENTES!$G$60,IF(H35=1,COEFICIENTES!$J$60,COEFICIENTES!$M$60))))))</f>
        <v>3.6999999999999998E-2</v>
      </c>
      <c r="G37" s="187"/>
      <c r="H37" s="185" t="s">
        <v>109</v>
      </c>
      <c r="I37" s="606">
        <f>IF(F37="",0,ROUND(F37*LOOKUP(B$35,Espesor!$C$8:$C$41,Espesor!$Z$8:$Z$41)*POWER(MIN(C$40,D$38),2),4))</f>
        <v>0.1565</v>
      </c>
      <c r="J37" s="606"/>
      <c r="K37" s="607">
        <f>IF(M38="LY",LOOKUP(B35,Espesor!$C$8:$C$41,Espesor!$AA$8:$AA$41),LOOKUP(B35,Espesor!$C$8:$C$41,Espesor!$AB$8:$AB$41))</f>
        <v>0.81327999999999989</v>
      </c>
      <c r="L37" s="607"/>
      <c r="M37" s="177"/>
      <c r="N37" s="171"/>
      <c r="O37" s="140"/>
      <c r="P37" s="204"/>
      <c r="Q37" s="194"/>
      <c r="R37" s="194"/>
      <c r="S37" s="194"/>
      <c r="T37" s="194"/>
      <c r="U37" s="280"/>
      <c r="V37" s="280"/>
      <c r="W37" s="280"/>
      <c r="X37" s="280"/>
    </row>
    <row r="38" spans="1:24" s="22" customFormat="1" ht="15.95" customHeight="1">
      <c r="B38" s="350"/>
      <c r="C38" s="617"/>
      <c r="D38" s="169">
        <f>IF(B35="","",VLOOKUP(B35,Espesor!$C$8:$E$41,3))</f>
        <v>2.6</v>
      </c>
      <c r="E38" s="185" t="s">
        <v>110</v>
      </c>
      <c r="F38" s="186">
        <f>IF(B35="","",IF(M38="LX",IF(E36&lt;0.5,IF(H35=0,1/12,IF(H35=1,3/8,IF(H35=2,0,0.5))),IF(H35=4,VLOOKUP(E36,COEFICIENTES!$A$8:$N$58,3),IF(H35=3,VLOOKUP(E36,COEFICIENTES!$A$8:$N$58,6),IF(H35=2,VLOOKUP(E36,COEFICIENTES!$A$8:$N$58,9),IF(H35=1,VLOOKUP(E36,COEFICIENTES!$A$8:$N$58,12),VLOOKUP(E36,COEFICIENTES!$A$8:$N$58,14)))))),IF(H35=4,COEFICIENTES!$C$60,IF(H35=3,COEFICIENTES!$F$60,IF(H35=2,COEFICIENTES!$I$60,IF(H35=1,COEFICIENTES!$L$60,COEFICIENTES!$N$60))))))</f>
        <v>4.9000000000000002E-2</v>
      </c>
      <c r="G38" s="153"/>
      <c r="H38" s="185" t="s">
        <v>111</v>
      </c>
      <c r="I38" s="606">
        <f>IF(F38="",0,ROUND(F38*LOOKUP(B$35,Espesor!$C$8:$C$41,Espesor!$Z$8:$Z$41)*POWER(MIN(C$40,D$38),2),4))</f>
        <v>0.2072</v>
      </c>
      <c r="J38" s="606"/>
      <c r="K38" s="608">
        <f>IF(M38="LX",LOOKUP(B35,Espesor!$C$8:$C$41,Espesor!$AA$8:$AA$41),LOOKUP(B35,Espesor!$C$8:$C$41,Espesor!$AB$8:$AB$41))</f>
        <v>0</v>
      </c>
      <c r="L38" s="608"/>
      <c r="M38" s="170" t="str">
        <f>+IF(MIN(C40,D38)=D38,"LY","LX")</f>
        <v>LY</v>
      </c>
      <c r="N38" s="171" t="str">
        <f>+IF(M38="","",IF(M38="LY","LX","LY"))</f>
        <v>LX</v>
      </c>
      <c r="O38" s="140"/>
      <c r="P38" s="204"/>
      <c r="U38" s="280"/>
      <c r="V38" s="280"/>
      <c r="W38" s="280"/>
      <c r="X38" s="280"/>
    </row>
    <row r="39" spans="1:24" s="22" customFormat="1" ht="15.95" customHeight="1" thickBot="1">
      <c r="B39" s="350"/>
      <c r="C39" s="618"/>
      <c r="D39" s="168"/>
      <c r="E39" s="185" t="s">
        <v>112</v>
      </c>
      <c r="F39" s="186">
        <f>IF(B35="","",IF(M38="LY",IF(E36&lt;0.5,IF(H35=0,1/24,IF(H35=1,9/125,IF(H35=2,1/8,0))),IF(H35=4,VLOOKUP(E36,COEFICIENTES!$A$8:$N$58,2),IF(H35=3,VLOOKUP(E36,COEFICIENTES!$A$8:$N$58,4),IF(H35=2,VLOOKUP(E36,COEFICIENTES!$A$8:$N$58,7),IF(H35=1,VLOOKUP(E36,COEFICIENTES!$A$8:$N$58,10),VLOOKUP(E36,COEFICIENTES!$A$8:$N$58,13)))))),IF(H35=4,COEFICIENTES!$B$60,IF(H35=3,COEFICIENTES!$D$60,IF(H35=2,COEFICIENTES!$G$60,IF(H35=1,COEFICIENTES!$J$60,COEFICIENTES!$M$60))))))</f>
        <v>0.125</v>
      </c>
      <c r="G39" s="153"/>
      <c r="H39" s="185" t="s">
        <v>113</v>
      </c>
      <c r="I39" s="606">
        <f>IF(F39="",0,ROUND(F39*LOOKUP(B$35,Espesor!$C$8:$C$41,Espesor!$Z$8:$Z$41)*POWER(MIN(C$40,D$38),2),4))</f>
        <v>0.52859999999999996</v>
      </c>
      <c r="J39" s="606"/>
      <c r="K39" s="173"/>
      <c r="L39" s="174"/>
      <c r="M39" s="143"/>
      <c r="N39" s="171"/>
      <c r="O39" s="140"/>
      <c r="P39" s="204"/>
      <c r="Q39" s="195"/>
      <c r="R39" s="195"/>
      <c r="S39" s="195"/>
      <c r="T39" s="195"/>
      <c r="U39" s="280"/>
      <c r="V39" s="280"/>
      <c r="W39" s="280"/>
      <c r="X39" s="280"/>
    </row>
    <row r="40" spans="1:24" s="22" customFormat="1" ht="15.95" customHeight="1">
      <c r="B40" s="348"/>
      <c r="C40" s="600">
        <f>IF(B35="","",VLOOKUP(B35,Espesor!$C$8:$E$41,2))</f>
        <v>6.4</v>
      </c>
      <c r="D40" s="168"/>
      <c r="E40" s="185" t="s">
        <v>114</v>
      </c>
      <c r="F40" s="186">
        <f>IF(B35="","",IF(M38="LY",IF(E36&lt;0.5,IF(H35=0,1/12,IF(H35=1,3/8,IF(H35=2,0,0.5))),IF(H35=4,VLOOKUP(E36,COEFICIENTES!$A$8:$N$58,3),IF(H35=3,VLOOKUP(E36,COEFICIENTES!$A$8:$N$58,6),IF(H35=2,VLOOKUP(E36,COEFICIENTES!$A$8:$N$58,9),IF(H35=1,VLOOKUP(E36,COEFICIENTES!$A$8:$N$58,12),VLOOKUP(E36,COEFICIENTES!$A$8:$N$58,14)))))),IF(H35=4,COEFICIENTES!$C$60,IF(H35=3,COEFICIENTES!$F$60,IF(H35=2,COEFICIENTES!$I$60,IF(H35=1,COEFICIENTES!$L$60,COEFICIENTES!$N$60))))))</f>
        <v>0</v>
      </c>
      <c r="G40" s="153"/>
      <c r="H40" s="185" t="s">
        <v>115</v>
      </c>
      <c r="I40" s="606">
        <f>IF(F40="",0,ROUND(F40*LOOKUP(B$35,Espesor!$C$8:$C$41,Espesor!$Z$8:$Z$41)*POWER(MIN(C$40,D$38),2),4))</f>
        <v>0</v>
      </c>
      <c r="J40" s="606"/>
      <c r="K40" s="173"/>
      <c r="L40" s="174"/>
      <c r="M40" s="171"/>
      <c r="N40" s="171"/>
      <c r="O40" s="140"/>
      <c r="P40" s="204"/>
      <c r="Q40" s="195"/>
      <c r="R40" s="195"/>
      <c r="S40" s="195"/>
      <c r="T40" s="195"/>
      <c r="U40" s="280"/>
      <c r="V40" s="280"/>
      <c r="W40" s="280"/>
      <c r="X40" s="280"/>
    </row>
    <row r="41" spans="1:24" s="22" customFormat="1" ht="15.95" customHeight="1">
      <c r="B41" s="348"/>
      <c r="C41" s="601"/>
      <c r="D41" s="168"/>
      <c r="E41" s="185"/>
      <c r="F41" s="147"/>
      <c r="G41" s="153"/>
      <c r="H41" s="153"/>
      <c r="I41" s="620"/>
      <c r="J41" s="620"/>
      <c r="K41" s="620"/>
      <c r="L41" s="180"/>
      <c r="M41" s="171"/>
      <c r="N41" s="171"/>
      <c r="O41" s="140"/>
      <c r="P41" s="204"/>
      <c r="Q41" s="195"/>
      <c r="R41" s="195"/>
      <c r="S41" s="195"/>
      <c r="T41" s="195"/>
      <c r="U41" s="280"/>
      <c r="V41" s="280"/>
      <c r="W41" s="280"/>
      <c r="X41" s="280"/>
    </row>
    <row r="42" spans="1:24" s="22" customFormat="1" ht="15.95" customHeight="1">
      <c r="B42" s="348"/>
      <c r="C42" s="179"/>
      <c r="D42" s="168"/>
      <c r="E42" s="185"/>
      <c r="F42" s="147"/>
      <c r="G42" s="153"/>
      <c r="H42" s="153"/>
      <c r="I42" s="197"/>
      <c r="J42" s="145"/>
      <c r="K42" s="146"/>
      <c r="L42" s="180"/>
      <c r="M42" s="171"/>
      <c r="N42" s="171"/>
      <c r="O42" s="140"/>
      <c r="P42" s="204"/>
      <c r="Q42" s="195"/>
      <c r="R42" s="195"/>
      <c r="S42" s="195"/>
      <c r="T42" s="195"/>
      <c r="U42" s="280"/>
      <c r="V42" s="280"/>
      <c r="W42" s="280"/>
      <c r="X42" s="280"/>
    </row>
    <row r="43" spans="1:24" s="22" customFormat="1" ht="15.95" customHeight="1">
      <c r="A43" s="347" t="str">
        <f>+Espesor!B13</f>
        <v>Lt-</v>
      </c>
      <c r="B43" s="347">
        <f>IF(B35="","",IF(Espesor!$D$4&gt;=(B35+1),B35+1,""))</f>
        <v>6</v>
      </c>
      <c r="C43" s="604" t="str">
        <f>IF(B43&lt;=Espesor!$D$4,Espesor!$G$5,"")</f>
        <v>Losa armada en</v>
      </c>
      <c r="D43" s="604"/>
      <c r="E43" s="602" t="str">
        <f>IF(C43="","",LOOKUP(B43,Espesor!$C$8:$C$41,Espesor!$G$8:$G$41))</f>
        <v>dos direcciones</v>
      </c>
      <c r="F43" s="602"/>
      <c r="G43" s="602"/>
      <c r="H43" s="167">
        <f>IF(B43="","",LOOKUP(B43,Espesor!$C$8:$C$41,Espesor!$J$8:$J$41))</f>
        <v>2</v>
      </c>
      <c r="I43" s="603" t="str">
        <f>IF(B43="","",IF(H43&gt;1,Espesor!$H$5,"Borde Discontinuo"))</f>
        <v>Bordes Discontinuos</v>
      </c>
      <c r="J43" s="603"/>
      <c r="K43" s="603"/>
      <c r="P43" s="204"/>
      <c r="Q43" s="192"/>
      <c r="R43" s="192"/>
      <c r="U43" s="280"/>
      <c r="V43" s="280"/>
      <c r="W43" s="280"/>
      <c r="X43" s="280"/>
    </row>
    <row r="44" spans="1:24" s="22" customFormat="1" ht="15.95" customHeight="1" thickBot="1">
      <c r="B44" s="348"/>
      <c r="C44" s="165"/>
      <c r="D44" s="175"/>
      <c r="E44" s="611">
        <f>IF(B43="","",LOOKUP(B43,Espesor!$C$8:$C$41,Espesor!$F$8:$F$41))</f>
        <v>0.71</v>
      </c>
      <c r="F44" s="611"/>
      <c r="G44" s="609" t="str">
        <f>IF(B43="","",LOOKUP(B43,Espesor!$C$8:$C$41,Espesor!$K$8:$K$41))</f>
        <v xml:space="preserve">        </v>
      </c>
      <c r="H44" s="609"/>
      <c r="I44" s="609"/>
      <c r="J44" s="145" t="str">
        <f>IF(B43="","",IF(E44&lt;0.5,"","alfa ="))</f>
        <v>alfa =</v>
      </c>
      <c r="K44" s="146">
        <f>IF(B43="","",IF(E44&lt;0.5,"",(3-(E44)^2)/2))</f>
        <v>1.2479499999999999</v>
      </c>
      <c r="L44" s="162" t="str">
        <f>+IF(E44&lt;0.5,IF(H43=0,0.5,IF(H43=1,5/8,IF(H43=2,0.5,1))),"")</f>
        <v/>
      </c>
      <c r="M44" s="176"/>
      <c r="N44" s="176"/>
      <c r="O44" s="140"/>
      <c r="P44" s="204"/>
      <c r="Q44" s="192"/>
      <c r="R44" s="192"/>
      <c r="U44" s="280"/>
      <c r="V44" s="280"/>
      <c r="W44" s="280"/>
      <c r="X44" s="280"/>
    </row>
    <row r="45" spans="1:24" s="22" customFormat="1" ht="15.95" customHeight="1">
      <c r="B45" s="348"/>
      <c r="C45" s="616"/>
      <c r="D45" s="168"/>
      <c r="E45" s="185" t="s">
        <v>108</v>
      </c>
      <c r="F45" s="186">
        <f>IF(B43="","",IF(M46="LX",IF(E44&lt;0.5,IF(H43=0,1/24,IF(H43=1,9/125,IF(H43=2,1/8,0))),IF(H43=4,VLOOKUP(E44,COEFICIENTES!$A$8:$N$58,2),IF(H43=3,VLOOKUP(E44,COEFICIENTES!$A$8:$N$58,4),IF(H43=2,VLOOKUP(E44,COEFICIENTES!$A$8:$N$58,7),IF(H43=1,VLOOKUP(E44,COEFICIENTES!$A$8:$N$58,10),VLOOKUP(E44,COEFICIENTES!$A$8:$N$58,13)))))),IF(H43=4,COEFICIENTES!$B$60,IF(H43=3,COEFICIENTES!$D$60,IF(H43=2,COEFICIENTES!$G$60,IF(H43=1,COEFICIENTES!$J$60,COEFICIENTES!$M$60))))))</f>
        <v>3.6999999999999998E-2</v>
      </c>
      <c r="G45" s="187"/>
      <c r="H45" s="185" t="s">
        <v>109</v>
      </c>
      <c r="I45" s="606">
        <f>IF(F45="",0,ROUND(F45*LOOKUP(B$43,Espesor!$C$8:$C$41,Espesor!$Z$8:$Z$41)*POWER(MIN(C$48,D$46),2),4))</f>
        <v>0.3</v>
      </c>
      <c r="J45" s="606"/>
      <c r="K45" s="607">
        <f>IF(M46="LY",LOOKUP(B43,Espesor!$C$8:$C$41,Espesor!$AA$8:$AA$41),LOOKUP(B43,Espesor!$C$8:$C$41,Espesor!$AB$8:$AB$41))</f>
        <v>0.75071999999999994</v>
      </c>
      <c r="L45" s="607"/>
      <c r="M45" s="143"/>
      <c r="N45" s="171"/>
      <c r="O45" s="140"/>
      <c r="P45" s="204"/>
      <c r="Q45" s="194"/>
      <c r="R45" s="194"/>
      <c r="S45" s="194"/>
      <c r="T45" s="194"/>
      <c r="U45" s="280"/>
      <c r="V45" s="280"/>
      <c r="W45" s="280"/>
      <c r="X45" s="280"/>
    </row>
    <row r="46" spans="1:24" s="22" customFormat="1" ht="15.95" customHeight="1">
      <c r="B46" s="348"/>
      <c r="C46" s="617"/>
      <c r="D46" s="169">
        <f>IF(B43="","",VLOOKUP(B43,Espesor!$C$8:$E$41,3))</f>
        <v>3.6</v>
      </c>
      <c r="E46" s="185" t="s">
        <v>110</v>
      </c>
      <c r="F46" s="186">
        <f>IF(B43="","",IF(M46="LX",IF(E44&lt;0.5,IF(H43=0,1/12,IF(H43=1,3/8,IF(H43=2,0,0.5))),IF(H43=4,VLOOKUP(E44,COEFICIENTES!$A$8:$N$58,3),IF(H43=3,VLOOKUP(E44,COEFICIENTES!$A$8:$N$58,6),IF(H43=2,VLOOKUP(E44,COEFICIENTES!$A$8:$N$58,9),IF(H43=1,VLOOKUP(E44,COEFICIENTES!$A$8:$N$58,12),VLOOKUP(E44,COEFICIENTES!$A$8:$N$58,14)))))),IF(H43=4,COEFICIENTES!$C$60,IF(H43=3,COEFICIENTES!$F$60,IF(H43=2,COEFICIENTES!$I$60,IF(H43=1,COEFICIENTES!$L$60,COEFICIENTES!$N$60))))))</f>
        <v>4.9000000000000002E-2</v>
      </c>
      <c r="G46" s="153"/>
      <c r="H46" s="185" t="s">
        <v>111</v>
      </c>
      <c r="I46" s="606">
        <f>IF(F46="",0,ROUND(F46*LOOKUP(B$43,Espesor!$C$8:$C$41,Espesor!$Z$8:$Z$41)*POWER(MIN(C$48,D$46),2),4))</f>
        <v>0.39729999999999999</v>
      </c>
      <c r="J46" s="606"/>
      <c r="K46" s="608">
        <f>IF(M46="LX",LOOKUP(B43,Espesor!$C$8:$C$41,Espesor!$AA$8:$AA$41),LOOKUP(B43,Espesor!$C$8:$C$41,Espesor!$AB$8:$AB$41))</f>
        <v>0.93686102399999982</v>
      </c>
      <c r="L46" s="608"/>
      <c r="M46" s="170" t="str">
        <f>+IF(MIN(C48,D46)=D46,"LY","LX")</f>
        <v>LY</v>
      </c>
      <c r="N46" s="171" t="str">
        <f>+IF(M46="","",IF(M46="LY","LX","LY"))</f>
        <v>LX</v>
      </c>
      <c r="O46" s="140"/>
      <c r="P46" s="204"/>
      <c r="Q46" s="192"/>
      <c r="R46" s="192"/>
      <c r="U46" s="280"/>
      <c r="V46" s="280"/>
      <c r="W46" s="280"/>
      <c r="X46" s="280"/>
    </row>
    <row r="47" spans="1:24" s="22" customFormat="1" ht="15.95" customHeight="1" thickBot="1">
      <c r="B47" s="348"/>
      <c r="C47" s="618"/>
      <c r="D47" s="168"/>
      <c r="E47" s="185" t="s">
        <v>112</v>
      </c>
      <c r="F47" s="186">
        <f>IF(B43="","",IF(M46="LY",IF(E44&lt;0.5,IF(H43=0,1/24,IF(H43=1,9/125,IF(H43=2,1/8,0))),IF(H43=4,VLOOKUP(E44,COEFICIENTES!$A$8:$N$58,2),IF(H43=3,VLOOKUP(E44,COEFICIENTES!$A$8:$N$58,4),IF(H43=2,VLOOKUP(E44,COEFICIENTES!$A$8:$N$58,7),IF(H43=1,VLOOKUP(E44,COEFICIENTES!$A$8:$N$58,10),VLOOKUP(E44,COEFICIENTES!$A$8:$N$58,13)))))),IF(H43=4,COEFICIENTES!$B$60,IF(H43=3,COEFICIENTES!$D$60,IF(H43=2,COEFICIENTES!$G$60,IF(H43=1,COEFICIENTES!$J$60,COEFICIENTES!$M$60))))))</f>
        <v>5.4000000000000097E-2</v>
      </c>
      <c r="G47" s="153"/>
      <c r="H47" s="185" t="s">
        <v>113</v>
      </c>
      <c r="I47" s="606">
        <f>IF(F47="",0,ROUND(F47*LOOKUP(B$43,Espesor!$C$8:$C$41,Espesor!$Z$8:$Z$41)*POWER(MIN(C$48,D$46),2),4))</f>
        <v>0.43780000000000002</v>
      </c>
      <c r="J47" s="606"/>
      <c r="K47" s="173"/>
      <c r="L47" s="174"/>
      <c r="M47" s="143"/>
      <c r="N47" s="171"/>
      <c r="O47" s="140"/>
      <c r="P47" s="204"/>
      <c r="Q47" s="192"/>
      <c r="R47" s="192"/>
      <c r="U47" s="280"/>
      <c r="V47" s="280"/>
      <c r="W47" s="280"/>
      <c r="X47" s="280"/>
    </row>
    <row r="48" spans="1:24" s="22" customFormat="1" ht="15.95" customHeight="1">
      <c r="B48" s="348"/>
      <c r="C48" s="600">
        <f>IF(B43="","",VLOOKUP(B43,Espesor!$C$8:$E$41,2))</f>
        <v>5.05</v>
      </c>
      <c r="D48" s="168"/>
      <c r="E48" s="185" t="s">
        <v>114</v>
      </c>
      <c r="F48" s="186">
        <f>IF(B43="","",IF(M46="LY",IF(E44&lt;0.5,IF(H43=0,1/12,IF(H43=1,3/8,IF(H43=2,0,0.5))),IF(H43=4,VLOOKUP(E44,COEFICIENTES!$A$8:$N$58,3),IF(H43=3,VLOOKUP(E44,COEFICIENTES!$A$8:$N$58,6),IF(H43=2,VLOOKUP(E44,COEFICIENTES!$A$8:$N$58,9),IF(H43=1,VLOOKUP(E44,COEFICIENTES!$A$8:$N$58,12),VLOOKUP(E44,COEFICIENTES!$A$8:$N$58,14)))))),IF(H43=4,COEFICIENTES!$C$60,IF(H43=3,COEFICIENTES!$F$60,IF(H43=2,COEFICIENTES!$I$60,IF(H43=1,COEFICIENTES!$L$60,COEFICIENTES!$N$60))))))</f>
        <v>7.1000000000000105E-2</v>
      </c>
      <c r="G48" s="153"/>
      <c r="H48" s="185" t="s">
        <v>115</v>
      </c>
      <c r="I48" s="606">
        <f>IF(F48="",0,ROUND(F48*LOOKUP(B$43,Espesor!$C$8:$C$41,Espesor!$Z$8:$Z$41)*POWER(MIN(C$48,D$46),2),4))</f>
        <v>0.57569999999999999</v>
      </c>
      <c r="J48" s="606"/>
      <c r="K48" s="173"/>
      <c r="L48" s="174"/>
      <c r="M48" s="143"/>
      <c r="N48" s="171"/>
      <c r="O48" s="140"/>
      <c r="P48" s="204"/>
      <c r="Q48" s="192"/>
      <c r="R48" s="192"/>
      <c r="U48" s="280"/>
      <c r="V48" s="280"/>
      <c r="W48" s="280"/>
      <c r="X48" s="280"/>
    </row>
    <row r="49" spans="1:24" s="22" customFormat="1" ht="15.95" customHeight="1">
      <c r="B49" s="348"/>
      <c r="C49" s="601"/>
      <c r="D49" s="168"/>
      <c r="E49" s="185"/>
      <c r="F49" s="147"/>
      <c r="G49" s="153"/>
      <c r="H49" s="153"/>
      <c r="I49" s="188"/>
      <c r="J49" s="185"/>
      <c r="K49" s="178"/>
      <c r="L49" s="178"/>
      <c r="M49" s="143"/>
      <c r="N49" s="171"/>
      <c r="O49" s="135"/>
      <c r="P49" s="204"/>
      <c r="Q49" s="192"/>
      <c r="R49" s="192"/>
      <c r="U49" s="280"/>
      <c r="V49" s="280"/>
      <c r="W49" s="280"/>
      <c r="X49" s="280"/>
    </row>
    <row r="50" spans="1:24" s="22" customFormat="1" ht="15.75" customHeight="1">
      <c r="B50" s="348"/>
      <c r="C50" s="179"/>
      <c r="D50" s="168"/>
      <c r="E50" s="185"/>
      <c r="F50" s="147"/>
      <c r="G50" s="153"/>
      <c r="H50" s="153"/>
      <c r="I50" s="188"/>
      <c r="J50" s="185"/>
      <c r="K50" s="178"/>
      <c r="L50" s="178"/>
      <c r="M50" s="143"/>
      <c r="N50" s="171"/>
      <c r="O50" s="135"/>
      <c r="P50" s="204"/>
      <c r="Q50" s="192"/>
      <c r="R50" s="192"/>
      <c r="U50" s="280"/>
      <c r="V50" s="280"/>
      <c r="W50" s="280"/>
      <c r="X50" s="280"/>
    </row>
    <row r="51" spans="1:24" s="22" customFormat="1" ht="15.75" customHeight="1">
      <c r="A51" s="347" t="str">
        <f>+Espesor!B14</f>
        <v>Lt-</v>
      </c>
      <c r="B51" s="347">
        <f>IF(B43="","",IF(Espesor!$D$4&gt;=(B43+1),B43+1,""))</f>
        <v>7</v>
      </c>
      <c r="C51" s="604" t="str">
        <f>IF(B51&lt;=Espesor!$D$4,Espesor!$G$5,"")</f>
        <v>Losa armada en</v>
      </c>
      <c r="D51" s="604"/>
      <c r="E51" s="602" t="str">
        <f>IF(C51="","",LOOKUP(B51,Espesor!$C$8:$C$41,Espesor!$G$8:$G$41))</f>
        <v>dos direcciones</v>
      </c>
      <c r="F51" s="602"/>
      <c r="G51" s="602"/>
      <c r="H51" s="167">
        <f>IF(B51="","",LOOKUP(B51,Espesor!$C$8:$C$41,Espesor!$J$8:$J$41))</f>
        <v>3</v>
      </c>
      <c r="I51" s="603" t="str">
        <f>IF(B51="","",IF(H51&gt;1,Espesor!$H$5,"Borde Discontinuo"))</f>
        <v>Bordes Discontinuos</v>
      </c>
      <c r="J51" s="603"/>
      <c r="K51" s="603"/>
      <c r="P51" s="204"/>
      <c r="Q51" s="192"/>
      <c r="R51" s="192"/>
      <c r="U51" s="280"/>
      <c r="V51" s="280"/>
      <c r="W51" s="280"/>
      <c r="X51" s="280"/>
    </row>
    <row r="52" spans="1:24" s="22" customFormat="1" ht="15.75" customHeight="1" thickBot="1">
      <c r="B52" s="349"/>
      <c r="C52" s="165"/>
      <c r="D52" s="175"/>
      <c r="E52" s="611">
        <f>IF(B51="","",LOOKUP(B51,Espesor!$C$8:$C$41,Espesor!$F$8:$F$41))</f>
        <v>0.89</v>
      </c>
      <c r="F52" s="611"/>
      <c r="G52" s="609" t="str">
        <f>IF(B51="","",LOOKUP(B51,Espesor!$C$8:$C$41,Espesor!$K$8:$K$41))</f>
        <v xml:space="preserve">        </v>
      </c>
      <c r="H52" s="609"/>
      <c r="I52" s="609"/>
      <c r="J52" s="145" t="str">
        <f>IF(B51="","",IF(E52&lt;0.5,"","alfa ="))</f>
        <v>alfa =</v>
      </c>
      <c r="K52" s="146">
        <f>IF(B51="","",IF(E52&lt;0.5,"",(3-(E52)^2)/2))</f>
        <v>1.10395</v>
      </c>
      <c r="L52" s="162" t="str">
        <f>+IF(E52&lt;0.5,IF(H51=0,0.5,IF(H51=1,5/8,IF(H51=2,0.5,1))),"")</f>
        <v/>
      </c>
      <c r="M52" s="143"/>
      <c r="N52" s="176"/>
      <c r="O52" s="135"/>
      <c r="P52" s="204"/>
      <c r="Q52" s="192"/>
      <c r="R52" s="192"/>
      <c r="U52" s="280"/>
      <c r="V52" s="280"/>
      <c r="W52" s="280"/>
      <c r="X52" s="280"/>
    </row>
    <row r="53" spans="1:24" s="22" customFormat="1" ht="15.75" customHeight="1">
      <c r="B53" s="349"/>
      <c r="C53" s="616"/>
      <c r="D53" s="168"/>
      <c r="E53" s="185" t="s">
        <v>108</v>
      </c>
      <c r="F53" s="186">
        <f>IF(B51="","",IF(M54="LX",IF(E52&lt;0.5,IF(H51=0,1/24,IF(H51=1,9/125,IF(H51=2,1/8,0))),IF(H51=4,VLOOKUP(E52,COEFICIENTES!$A$8:$N$58,2),IF(H51=3,VLOOKUP(E52,COEFICIENTES!$A$8:$N$58,4),IF(H51=2,VLOOKUP(E52,COEFICIENTES!$A$8:$N$58,7),IF(H51=1,VLOOKUP(E52,COEFICIENTES!$A$8:$N$58,10),VLOOKUP(E52,COEFICIENTES!$A$8:$N$58,13)))))),IF(H51=4,COEFICIENTES!$B$60,IF(H51=3,COEFICIENTES!$D$60,IF(H51=2,COEFICIENTES!$G$60,IF(H51=1,COEFICIENTES!$J$60,COEFICIENTES!$M$60))))))</f>
        <v>4.3999999999999997E-2</v>
      </c>
      <c r="G53" s="187"/>
      <c r="H53" s="185" t="s">
        <v>109</v>
      </c>
      <c r="I53" s="606">
        <f>IF(F53="",0,ROUND(F53*LOOKUP(B$51,Espesor!$C$8:$C$41,Espesor!$Z$8:$Z$41)*POWER(MIN(C$56,D$54),2),4))</f>
        <v>1.6006</v>
      </c>
      <c r="J53" s="606"/>
      <c r="K53" s="607">
        <f>IF(M54="LY",LOOKUP(B51,Espesor!$C$8:$C$41,Espesor!$AA$8:$AA$41),LOOKUP(B51,Espesor!$C$8:$C$41,Espesor!$AB$8:$AB$41))</f>
        <v>1.7964</v>
      </c>
      <c r="L53" s="607"/>
      <c r="M53" s="143"/>
      <c r="N53" s="171"/>
      <c r="O53" s="140"/>
      <c r="P53" s="204"/>
      <c r="Q53" s="194"/>
      <c r="R53" s="194"/>
      <c r="S53" s="194"/>
      <c r="T53" s="194"/>
      <c r="U53" s="280"/>
      <c r="V53" s="280"/>
      <c r="W53" s="280"/>
      <c r="X53" s="280"/>
    </row>
    <row r="54" spans="1:24" s="22" customFormat="1" ht="15.75" customHeight="1">
      <c r="B54" s="350"/>
      <c r="C54" s="617"/>
      <c r="D54" s="169">
        <f>IF(B51="","",VLOOKUP(B51,Espesor!$C$8:$E$41,3))</f>
        <v>6.75</v>
      </c>
      <c r="E54" s="185" t="s">
        <v>110</v>
      </c>
      <c r="F54" s="186">
        <f>IF(B51="","",IF(M54="LX",IF(E52&lt;0.5,IF(H51=0,1/12,IF(H51=1,3/8,IF(H51=2,0,0.5))),IF(H51=4,VLOOKUP(E52,COEFICIENTES!$A$8:$N$58,3),IF(H51=3,VLOOKUP(E52,COEFICIENTES!$A$8:$N$58,6),IF(H51=2,VLOOKUP(E52,COEFICIENTES!$A$8:$N$58,9),IF(H51=1,VLOOKUP(E52,COEFICIENTES!$A$8:$N$58,12),VLOOKUP(E52,COEFICIENTES!$A$8:$N$58,14)))))),IF(H51=4,COEFICIENTES!$C$60,IF(H51=3,COEFICIENTES!$F$60,IF(H51=2,COEFICIENTES!$I$60,IF(H51=1,COEFICIENTES!$L$60,COEFICIENTES!$N$60))))))</f>
        <v>5.7999999999999503E-2</v>
      </c>
      <c r="G54" s="153"/>
      <c r="H54" s="185" t="s">
        <v>111</v>
      </c>
      <c r="I54" s="606">
        <f>IF(F54="",0,ROUND(F54*LOOKUP(B$51,Espesor!$C$8:$C$41,Espesor!$Z$8:$Z$41)*POWER(MIN(C$56,D$54),2),4))</f>
        <v>2.1099000000000001</v>
      </c>
      <c r="J54" s="606"/>
      <c r="K54" s="608">
        <f>IF(M54="LX",LOOKUP(B51,Espesor!$C$8:$C$41,Espesor!$AA$8:$AA$41),LOOKUP(B51,Espesor!$C$8:$C$41,Espesor!$AB$8:$AB$41))</f>
        <v>1.98313578</v>
      </c>
      <c r="L54" s="608"/>
      <c r="M54" s="170" t="str">
        <f>+IF(MIN(C56,D54)=D54,"LY","LX")</f>
        <v>LY</v>
      </c>
      <c r="N54" s="171" t="str">
        <f>+IF(M54="","",IF(M54="LY","LX","LY"))</f>
        <v>LX</v>
      </c>
      <c r="O54" s="140"/>
      <c r="P54" s="204"/>
      <c r="Q54" s="193"/>
      <c r="R54" s="193"/>
      <c r="S54" s="26"/>
      <c r="T54" s="26"/>
      <c r="U54" s="280"/>
      <c r="V54" s="280"/>
      <c r="W54" s="280"/>
      <c r="X54" s="280"/>
    </row>
    <row r="55" spans="1:24" s="22" customFormat="1" ht="15.75" customHeight="1" thickBot="1">
      <c r="B55" s="350"/>
      <c r="C55" s="618"/>
      <c r="D55" s="168"/>
      <c r="E55" s="185" t="s">
        <v>112</v>
      </c>
      <c r="F55" s="186">
        <f>IF(B51="","",IF(M54="LY",IF(E52&lt;0.5,IF(H51=0,1/24,IF(H51=1,9/125,IF(H51=2,1/8,0))),IF(H51=4,VLOOKUP(E52,COEFICIENTES!$A$8:$N$58,2),IF(H51=3,VLOOKUP(E52,COEFICIENTES!$A$8:$N$58,4),IF(H51=2,VLOOKUP(E52,COEFICIENTES!$A$8:$N$58,7),IF(H51=1,VLOOKUP(E52,COEFICIENTES!$A$8:$N$58,10),VLOOKUP(E52,COEFICIENTES!$A$8:$N$58,13)))))),IF(H51=4,COEFICIENTES!$B$60,IF(H51=3,COEFICIENTES!$D$60,IF(H51=2,COEFICIENTES!$G$60,IF(H51=1,COEFICIENTES!$J$60,COEFICIENTES!$M$60))))))</f>
        <v>5.1200000000000002E-2</v>
      </c>
      <c r="G55" s="153"/>
      <c r="H55" s="185" t="s">
        <v>113</v>
      </c>
      <c r="I55" s="606">
        <f>IF(F55="",0,ROUND(F55*LOOKUP(B$51,Espesor!$C$8:$C$41,Espesor!$Z$8:$Z$41)*POWER(MIN(C$56,D$54),2),4))</f>
        <v>1.8625</v>
      </c>
      <c r="J55" s="606"/>
      <c r="K55" s="173"/>
      <c r="L55" s="174"/>
      <c r="M55" s="143"/>
      <c r="N55" s="171"/>
      <c r="O55" s="140"/>
      <c r="P55" s="204"/>
      <c r="Q55" s="193"/>
      <c r="R55" s="193"/>
      <c r="S55" s="26"/>
      <c r="T55" s="26"/>
      <c r="U55" s="280"/>
      <c r="V55" s="280"/>
      <c r="W55" s="280"/>
      <c r="X55" s="280"/>
    </row>
    <row r="56" spans="1:24" s="22" customFormat="1" ht="15.75" customHeight="1">
      <c r="B56" s="348"/>
      <c r="C56" s="600">
        <f>IF(B51="","",VLOOKUP(B51,Espesor!$C$8:$E$41,2))</f>
        <v>7.55</v>
      </c>
      <c r="D56" s="168"/>
      <c r="E56" s="185" t="s">
        <v>114</v>
      </c>
      <c r="F56" s="186">
        <f>IF(B51="","",IF(M54="LY",IF(E52&lt;0.5,IF(H51=0,1/12,IF(H51=1,3/8,IF(H51=2,0,0.5))),IF(H51=4,VLOOKUP(E52,COEFICIENTES!$A$8:$N$58,3),IF(H51=3,VLOOKUP(E52,COEFICIENTES!$A$8:$N$58,6),IF(H51=2,VLOOKUP(E52,COEFICIENTES!$A$8:$N$58,9),IF(H51=1,VLOOKUP(E52,COEFICIENTES!$A$8:$N$58,12),VLOOKUP(E52,COEFICIENTES!$A$8:$N$58,14)))))),IF(H51=4,COEFICIENTES!$C$60,IF(H51=3,COEFICIENTES!$F$60,IF(H51=2,COEFICIENTES!$I$60,IF(H51=1,COEFICIENTES!$L$60,COEFICIENTES!$N$60))))))</f>
        <v>6.7599999999999702E-2</v>
      </c>
      <c r="G56" s="153"/>
      <c r="H56" s="185" t="s">
        <v>115</v>
      </c>
      <c r="I56" s="606">
        <f>IF(F56="",0,ROUND(F56*LOOKUP(B$51,Espesor!$C$8:$C$41,Espesor!$Z$8:$Z$41)*POWER(MIN(C$56,D$54),2),4))</f>
        <v>2.4590999999999998</v>
      </c>
      <c r="J56" s="606"/>
      <c r="K56" s="173"/>
      <c r="L56" s="174"/>
      <c r="M56" s="171"/>
      <c r="N56" s="171"/>
      <c r="O56" s="140"/>
      <c r="P56" s="204"/>
      <c r="Q56" s="193"/>
      <c r="R56" s="193"/>
      <c r="S56" s="26"/>
      <c r="T56" s="26"/>
      <c r="U56" s="280"/>
      <c r="V56" s="280"/>
      <c r="W56" s="280"/>
      <c r="X56" s="280"/>
    </row>
    <row r="57" spans="1:24" s="22" customFormat="1" ht="15.75" customHeight="1">
      <c r="B57" s="348"/>
      <c r="C57" s="601"/>
      <c r="D57" s="168"/>
      <c r="E57" s="185"/>
      <c r="F57" s="147"/>
      <c r="G57" s="153"/>
      <c r="H57" s="153"/>
      <c r="I57" s="188"/>
      <c r="J57" s="185"/>
      <c r="K57" s="178"/>
      <c r="L57" s="178"/>
      <c r="M57" s="171"/>
      <c r="N57" s="171"/>
      <c r="O57" s="140"/>
      <c r="P57" s="204"/>
      <c r="Q57" s="193"/>
      <c r="R57" s="193"/>
      <c r="S57" s="26"/>
      <c r="T57" s="26"/>
      <c r="U57" s="280"/>
      <c r="V57" s="280"/>
      <c r="W57" s="280"/>
      <c r="X57" s="280"/>
    </row>
    <row r="58" spans="1:24" s="22" customFormat="1" ht="15.75" customHeight="1">
      <c r="B58" s="348"/>
      <c r="C58" s="184"/>
      <c r="D58" s="168"/>
      <c r="E58" s="185"/>
      <c r="F58" s="147"/>
      <c r="G58" s="153"/>
      <c r="H58" s="153"/>
      <c r="I58" s="188"/>
      <c r="J58" s="185"/>
      <c r="K58" s="178"/>
      <c r="L58" s="178"/>
      <c r="M58" s="171"/>
      <c r="N58" s="171"/>
      <c r="O58" s="140"/>
      <c r="P58" s="204"/>
      <c r="Q58" s="193"/>
      <c r="R58" s="193"/>
      <c r="S58" s="26"/>
      <c r="T58" s="26"/>
      <c r="U58" s="280"/>
      <c r="V58" s="280"/>
      <c r="W58" s="280"/>
      <c r="X58" s="280"/>
    </row>
    <row r="59" spans="1:24" s="22" customFormat="1" ht="15.75" customHeight="1">
      <c r="A59" s="347" t="str">
        <f>+Espesor!B15</f>
        <v>Lt-</v>
      </c>
      <c r="B59" s="347">
        <f>IF(B51="","",IF(Espesor!$D$4&gt;=(B51+1),B51+1,""))</f>
        <v>8</v>
      </c>
      <c r="C59" s="604" t="str">
        <f>IF(B59&lt;=Espesor!$D$4,Espesor!$G$5,"")</f>
        <v>Losa armada en</v>
      </c>
      <c r="D59" s="604"/>
      <c r="E59" s="602" t="str">
        <f>IF(C59="","",LOOKUP(B59,Espesor!$C$8:$C$41,Espesor!$G$8:$G$41))</f>
        <v/>
      </c>
      <c r="F59" s="602"/>
      <c r="G59" s="602"/>
      <c r="H59" s="167" t="str">
        <f>IF(B59="","",LOOKUP(B59,Espesor!$C$8:$C$41,Espesor!$J$8:$J$41))</f>
        <v/>
      </c>
      <c r="I59" s="603" t="str">
        <f>IF(B59="","",IF(H59&gt;1,Espesor!$H$5,"Borde Discontinuo"))</f>
        <v>Bordes Discontinuos</v>
      </c>
      <c r="J59" s="603"/>
      <c r="K59" s="603"/>
      <c r="P59" s="204"/>
      <c r="Q59" s="193"/>
      <c r="R59" s="193"/>
      <c r="S59" s="26"/>
      <c r="T59" s="26"/>
      <c r="U59" s="280"/>
      <c r="V59" s="280"/>
      <c r="W59" s="280"/>
      <c r="X59" s="280"/>
    </row>
    <row r="60" spans="1:24" s="22" customFormat="1" ht="15.75" customHeight="1" thickBot="1">
      <c r="B60" s="418"/>
      <c r="C60" s="165"/>
      <c r="D60" s="175"/>
      <c r="E60" s="611">
        <f>IF(B59="","",LOOKUP(B59,Espesor!$C$8:$C$41,Espesor!$F$8:$F$41))</f>
        <v>0</v>
      </c>
      <c r="F60" s="611"/>
      <c r="G60" s="609" t="str">
        <f>IF(B59="","",LOOKUP(B59,Espesor!$C$8:$C$41,Espesor!$K$8:$K$41))</f>
        <v/>
      </c>
      <c r="H60" s="609"/>
      <c r="I60" s="609"/>
      <c r="J60" s="145" t="str">
        <f>IF(B59="","",IF(E60&lt;0.5,"","alfa ="))</f>
        <v/>
      </c>
      <c r="K60" s="146" t="str">
        <f>IF(B59="","",IF(E60&lt;0.5,"",(3-(E60)^2)/2))</f>
        <v/>
      </c>
      <c r="L60" s="162">
        <f>+IF(E60&lt;0.5,IF(H59=0,0.5,IF(H59=1,5/8,IF(H59=2,0.5,1))),"")</f>
        <v>1</v>
      </c>
      <c r="M60" s="176"/>
      <c r="N60" s="176"/>
      <c r="O60" s="140"/>
      <c r="P60" s="204"/>
      <c r="Q60" s="193"/>
      <c r="R60" s="193"/>
      <c r="S60" s="26"/>
      <c r="T60" s="26"/>
      <c r="U60" s="280"/>
      <c r="V60" s="280"/>
      <c r="W60" s="280"/>
      <c r="X60" s="280"/>
    </row>
    <row r="61" spans="1:24" s="22" customFormat="1" ht="15.75" customHeight="1">
      <c r="B61" s="418"/>
      <c r="C61" s="616"/>
      <c r="D61" s="168"/>
      <c r="E61" s="185" t="s">
        <v>108</v>
      </c>
      <c r="F61" s="186">
        <f>IF(B59="","",IF(M62="LX",IF(E60&lt;0.5,IF(H59=0,1/24,IF(H59=1,9/125,IF(H59=2,1/8,0))),IF(H59=4,VLOOKUP(E60,COEFICIENTES!$A$8:$N$58,2),IF(H59=3,VLOOKUP(E60,COEFICIENTES!$A$8:$N$58,4),IF(H59=2,VLOOKUP(E60,COEFICIENTES!$A$8:$N$58,7),IF(H59=1,VLOOKUP(E60,COEFICIENTES!$A$8:$N$58,10),VLOOKUP(E60,COEFICIENTES!$A$8:$N$58,13)))))),IF(H59=4,COEFICIENTES!$B$60,IF(H59=3,COEFICIENTES!$D$60,IF(H59=2,COEFICIENTES!$G$60,IF(H59=1,COEFICIENTES!$J$60,COEFICIENTES!$M$60))))))</f>
        <v>2.5000000000000001E-2</v>
      </c>
      <c r="G61" s="187"/>
      <c r="H61" s="185" t="s">
        <v>109</v>
      </c>
      <c r="I61" s="606">
        <f>IF(F61="",0,ROUND(F61*LOOKUP(B$59,Espesor!$C$8:$C$41,Espesor!$Z$8:$Z$41)*POWER(MIN(C$64,D$62),2),4))</f>
        <v>0</v>
      </c>
      <c r="J61" s="606"/>
      <c r="K61" s="607">
        <f>IF(M62="LY",LOOKUP(B59,Espesor!$C$8:$C$41,Espesor!$AA$8:$AA$41),LOOKUP(B59,Espesor!$C$8:$C$41,Espesor!$AB$8:$AB$41))</f>
        <v>0</v>
      </c>
      <c r="L61" s="607"/>
      <c r="M61" s="177"/>
      <c r="N61" s="171"/>
      <c r="O61" s="140"/>
      <c r="P61" s="204"/>
      <c r="Q61" s="193"/>
      <c r="R61" s="193"/>
      <c r="S61" s="26"/>
      <c r="T61" s="26"/>
      <c r="U61" s="280"/>
      <c r="V61" s="280"/>
      <c r="W61" s="280"/>
      <c r="X61" s="280"/>
    </row>
    <row r="62" spans="1:24" s="22" customFormat="1" ht="15.75" customHeight="1">
      <c r="B62" s="418"/>
      <c r="C62" s="617"/>
      <c r="D62" s="169">
        <f>IF(B59="","",VLOOKUP(B59,Espesor!$C$8:$E$41,3))</f>
        <v>0</v>
      </c>
      <c r="E62" s="185" t="s">
        <v>110</v>
      </c>
      <c r="F62" s="186">
        <f>IF(B59="","",IF(M62="LX",IF(E60&lt;0.5,IF(H59=0,1/12,IF(H59=1,3/8,IF(H59=2,0,0.5))),IF(H59=4,VLOOKUP(E60,COEFICIENTES!$A$8:$N$58,3),IF(H59=3,VLOOKUP(E60,COEFICIENTES!$A$8:$N$58,6),IF(H59=2,VLOOKUP(E60,COEFICIENTES!$A$8:$N$58,9),IF(H59=1,VLOOKUP(E60,COEFICIENTES!$A$8:$N$58,12),VLOOKUP(E60,COEFICIENTES!$A$8:$N$58,14)))))),IF(H59=4,COEFICIENTES!$C$60,IF(H59=3,COEFICIENTES!$F$60,IF(H59=2,COEFICIENTES!$I$60,IF(H59=1,COEFICIENTES!$L$60,COEFICIENTES!$N$60))))))</f>
        <v>3.3000000000000002E-2</v>
      </c>
      <c r="G62" s="153"/>
      <c r="H62" s="185" t="s">
        <v>111</v>
      </c>
      <c r="I62" s="606">
        <f>IF(F62="",0,ROUND(F62*LOOKUP(B$59,Espesor!$C$8:$C$41,Espesor!$Z$8:$Z$41)*POWER(MIN(C$64,D$62),2),4))</f>
        <v>0</v>
      </c>
      <c r="J62" s="606"/>
      <c r="K62" s="608">
        <f>IF(M62="LX",LOOKUP(B59,Espesor!$C$8:$C$41,Espesor!$AA$8:$AA$41),LOOKUP(B59,Espesor!$C$8:$C$41,Espesor!$AB$8:$AB$41))</f>
        <v>0</v>
      </c>
      <c r="L62" s="608"/>
      <c r="M62" s="170" t="str">
        <f>+IF(MIN(C64,D62)=D62,"LY","LX")</f>
        <v>LY</v>
      </c>
      <c r="N62" s="171" t="str">
        <f>+IF(M62="","",IF(M62="LY","LX","LY"))</f>
        <v>LX</v>
      </c>
      <c r="O62" s="140"/>
      <c r="P62" s="204"/>
      <c r="Q62" s="193"/>
      <c r="R62" s="193"/>
      <c r="S62" s="26"/>
      <c r="T62" s="26"/>
      <c r="U62" s="280"/>
      <c r="V62" s="280"/>
      <c r="W62" s="280"/>
      <c r="X62" s="280"/>
    </row>
    <row r="63" spans="1:24" s="22" customFormat="1" ht="15.75" customHeight="1" thickBot="1">
      <c r="B63" s="418"/>
      <c r="C63" s="618"/>
      <c r="D63" s="172"/>
      <c r="E63" s="185" t="s">
        <v>112</v>
      </c>
      <c r="F63" s="186">
        <f>IF(B59="","",IF(M62="LY",IF(E60&lt;0.5,IF(H59=0,1/24,IF(H59=1,9/125,IF(H59=2,1/8,0))),IF(H59=4,VLOOKUP(E60,COEFICIENTES!$A$8:$N$58,2),IF(H59=3,VLOOKUP(E60,COEFICIENTES!$A$8:$N$58,4),IF(H59=2,VLOOKUP(E60,COEFICIENTES!$A$8:$N$58,7),IF(H59=1,VLOOKUP(E60,COEFICIENTES!$A$8:$N$58,10),VLOOKUP(E60,COEFICIENTES!$A$8:$N$58,13)))))),IF(H59=4,COEFICIENTES!$B$60,IF(H59=3,COEFICIENTES!$D$60,IF(H59=2,COEFICIENTES!$G$60,IF(H59=1,COEFICIENTES!$J$60,COEFICIENTES!$M$60))))))</f>
        <v>0</v>
      </c>
      <c r="G63" s="153"/>
      <c r="H63" s="185" t="s">
        <v>113</v>
      </c>
      <c r="I63" s="606">
        <f>IF(F63="",0,ROUND(F63*LOOKUP(B$59,Espesor!$C$8:$C$41,Espesor!$Z$8:$Z$41)*POWER(MIN(C$64,D$62),2),4))</f>
        <v>0</v>
      </c>
      <c r="J63" s="606"/>
      <c r="K63" s="173"/>
      <c r="L63" s="174"/>
      <c r="M63" s="143"/>
      <c r="N63" s="143"/>
      <c r="O63" s="140"/>
      <c r="P63" s="204"/>
      <c r="Q63" s="193"/>
      <c r="R63" s="193"/>
      <c r="S63" s="26"/>
      <c r="T63" s="26"/>
      <c r="U63" s="280"/>
      <c r="V63" s="280"/>
      <c r="W63" s="280"/>
      <c r="X63" s="280"/>
    </row>
    <row r="64" spans="1:24" s="22" customFormat="1" ht="15.75" customHeight="1">
      <c r="B64" s="418"/>
      <c r="C64" s="600">
        <f>IF(B59="","",VLOOKUP(B59,Espesor!$C$8:$E$41,2))</f>
        <v>0</v>
      </c>
      <c r="D64" s="168"/>
      <c r="E64" s="185" t="s">
        <v>114</v>
      </c>
      <c r="F64" s="186">
        <f>IF(B59="","",IF(M62="LY",IF(E60&lt;0.5,IF(H59=0,1/12,IF(H59=1,3/8,IF(H59=2,0,0.5))),IF(H59=4,VLOOKUP(E60,COEFICIENTES!$A$8:$N$58,3),IF(H59=3,VLOOKUP(E60,COEFICIENTES!$A$8:$N$58,6),IF(H59=2,VLOOKUP(E60,COEFICIENTES!$A$8:$N$58,9),IF(H59=1,VLOOKUP(E60,COEFICIENTES!$A$8:$N$58,12),VLOOKUP(E60,COEFICIENTES!$A$8:$N$58,14)))))),IF(H59=4,COEFICIENTES!$C$60,IF(H59=3,COEFICIENTES!$F$60,IF(H59=2,COEFICIENTES!$I$60,IF(H59=1,COEFICIENTES!$L$60,COEFICIENTES!$N$60))))))</f>
        <v>0.5</v>
      </c>
      <c r="G64" s="153"/>
      <c r="H64" s="185" t="s">
        <v>115</v>
      </c>
      <c r="I64" s="606">
        <f>IF(F64="",0,ROUND(F64*LOOKUP(B$59,Espesor!$C$8:$C$41,Espesor!$Z$8:$Z$41)*POWER(MIN(C$64,D$62),2),4))</f>
        <v>0</v>
      </c>
      <c r="J64" s="606"/>
      <c r="K64" s="173"/>
      <c r="L64" s="174"/>
      <c r="M64" s="171"/>
      <c r="N64" s="171"/>
      <c r="O64" s="140"/>
      <c r="P64" s="204"/>
      <c r="Q64" s="193"/>
      <c r="R64" s="193"/>
      <c r="S64" s="26"/>
      <c r="T64" s="26"/>
      <c r="U64" s="280"/>
      <c r="V64" s="280"/>
      <c r="W64" s="280"/>
      <c r="X64" s="280"/>
    </row>
    <row r="65" spans="1:24" s="22" customFormat="1" ht="15.75" customHeight="1">
      <c r="B65" s="418"/>
      <c r="C65" s="601"/>
      <c r="D65" s="168"/>
      <c r="E65" s="189"/>
      <c r="F65" s="147"/>
      <c r="G65" s="147"/>
      <c r="H65" s="147"/>
      <c r="I65" s="198"/>
      <c r="J65" s="189"/>
      <c r="K65" s="23"/>
      <c r="L65" s="150"/>
      <c r="M65" s="171"/>
      <c r="N65" s="171"/>
      <c r="O65" s="140"/>
      <c r="P65" s="204"/>
      <c r="Q65" s="193"/>
      <c r="R65" s="193"/>
      <c r="S65" s="26"/>
      <c r="T65" s="26"/>
      <c r="U65" s="280"/>
      <c r="V65" s="280"/>
      <c r="W65" s="280"/>
      <c r="X65" s="280"/>
    </row>
    <row r="66" spans="1:24" s="22" customFormat="1" ht="15.75" customHeight="1">
      <c r="B66" s="418"/>
      <c r="C66" s="179"/>
      <c r="D66" s="168"/>
      <c r="E66" s="189"/>
      <c r="F66" s="147"/>
      <c r="G66" s="147"/>
      <c r="H66" s="147"/>
      <c r="I66" s="198"/>
      <c r="J66" s="189"/>
      <c r="K66" s="23"/>
      <c r="L66" s="150"/>
      <c r="M66" s="171"/>
      <c r="N66" s="171"/>
      <c r="O66" s="135"/>
      <c r="P66" s="204"/>
      <c r="Q66" s="193"/>
      <c r="R66" s="193"/>
      <c r="S66" s="26"/>
      <c r="T66" s="26"/>
      <c r="U66" s="280"/>
      <c r="V66" s="280"/>
      <c r="W66" s="280"/>
      <c r="X66" s="280"/>
    </row>
    <row r="67" spans="1:24" s="22" customFormat="1" ht="15.75" customHeight="1">
      <c r="A67" s="347" t="str">
        <f>+Espesor!B16</f>
        <v>Lt-</v>
      </c>
      <c r="B67" s="347">
        <f>IF(B59="","",IF(Espesor!$D$4&gt;=(B59+1),B59+1,""))</f>
        <v>9</v>
      </c>
      <c r="C67" s="604" t="str">
        <f>IF(B67&lt;=Espesor!$D$4,Espesor!$G$5,"")</f>
        <v>Losa armada en</v>
      </c>
      <c r="D67" s="604"/>
      <c r="E67" s="602" t="str">
        <f>IF(C67="","",LOOKUP(B67,Espesor!$C$8:$C$41,Espesor!$G$8:$G$41))</f>
        <v/>
      </c>
      <c r="F67" s="602"/>
      <c r="G67" s="602"/>
      <c r="H67" s="167" t="str">
        <f>IF(B67="","",LOOKUP(B67,Espesor!$C$8:$C$41,Espesor!$J$8:$J$41))</f>
        <v/>
      </c>
      <c r="I67" s="603" t="str">
        <f>IF(B67="","",IF(H67&gt;1,Espesor!$H$5,"Borde Discontinuo"))</f>
        <v>Bordes Discontinuos</v>
      </c>
      <c r="J67" s="603"/>
      <c r="K67" s="603"/>
      <c r="P67" s="191"/>
      <c r="Q67" s="193"/>
      <c r="R67" s="193"/>
      <c r="S67" s="26"/>
      <c r="T67" s="26"/>
      <c r="U67" s="280"/>
      <c r="V67" s="280"/>
      <c r="W67" s="280"/>
      <c r="X67" s="280"/>
    </row>
    <row r="68" spans="1:24" s="22" customFormat="1" ht="15.75" customHeight="1" thickBot="1">
      <c r="B68" s="418"/>
      <c r="C68" s="165"/>
      <c r="D68" s="175"/>
      <c r="E68" s="611">
        <f>IF(B67="","",LOOKUP(B67,Espesor!$C$8:$C$41,Espesor!$F$8:$F$41))</f>
        <v>0</v>
      </c>
      <c r="F68" s="611"/>
      <c r="G68" s="609" t="str">
        <f>IF(B67="","",LOOKUP(B67,Espesor!$C$8:$C$41,Espesor!$K$8:$K$41))</f>
        <v/>
      </c>
      <c r="H68" s="609"/>
      <c r="I68" s="609"/>
      <c r="J68" s="145" t="str">
        <f>IF(B67="","",IF(E68&lt;0.5,"","alfa ="))</f>
        <v/>
      </c>
      <c r="K68" s="146" t="str">
        <f>IF(B67="","",IF(E68&lt;0.5,"",(3-(E68)^2)/2))</f>
        <v/>
      </c>
      <c r="L68" s="163">
        <f>+IF(E68&lt;0.5,IF(H67=0,0.5,IF(H67=1,5/8,IF(H67=2,0.5,1))),"")</f>
        <v>1</v>
      </c>
      <c r="M68" s="176"/>
      <c r="N68" s="176"/>
      <c r="O68" s="135"/>
      <c r="P68" s="204"/>
      <c r="Q68" s="193"/>
      <c r="R68" s="193"/>
      <c r="S68" s="26"/>
      <c r="T68" s="26"/>
      <c r="U68" s="280"/>
      <c r="V68" s="280"/>
      <c r="W68" s="280"/>
      <c r="X68" s="280"/>
    </row>
    <row r="69" spans="1:24" s="22" customFormat="1" ht="15.75" customHeight="1">
      <c r="B69" s="418"/>
      <c r="C69" s="616"/>
      <c r="D69" s="168"/>
      <c r="E69" s="185" t="s">
        <v>108</v>
      </c>
      <c r="F69" s="186">
        <f>IF(B67="","",IF(M70="LX",IF(E68&lt;0.5,IF(H67=0,1/24,IF(H67=1,9/125,IF(H67=2,1/8,0))),IF(H67=4,VLOOKUP(E68,COEFICIENTES!$A$8:$N$58,2),IF(H67=3,VLOOKUP(E68,COEFICIENTES!$A$8:$N$58,4),IF(H67=2,VLOOKUP(E68,COEFICIENTES!$A$8:$N$58,7),IF(H67=1,VLOOKUP(E68,COEFICIENTES!$A$8:$N$58,10),VLOOKUP(E68,COEFICIENTES!$A$8:$N$58,13)))))),IF(H67=4,COEFICIENTES!$B$60,IF(H67=3,COEFICIENTES!$D$60,IF(H67=2,COEFICIENTES!$G$60,IF(H67=1,COEFICIENTES!$J$60,COEFICIENTES!$M$60))))))</f>
        <v>2.5000000000000001E-2</v>
      </c>
      <c r="G69" s="187"/>
      <c r="H69" s="185" t="s">
        <v>109</v>
      </c>
      <c r="I69" s="606">
        <f>IF(F69="",0,ROUND(F69*LOOKUP(B$67,Espesor!$C$8:$C$41,Espesor!$Z$8:$Z$41)*POWER(MIN(C$72,D$70),2),4))</f>
        <v>0</v>
      </c>
      <c r="J69" s="606"/>
      <c r="K69" s="607">
        <f>IF(M70="LY",LOOKUP(B67,Espesor!$C$8:$C$41,Espesor!$AA$8:$AA$41),LOOKUP(B67,Espesor!$C$8:$C$41,Espesor!$AB$8:$AB$41))</f>
        <v>0</v>
      </c>
      <c r="L69" s="607"/>
      <c r="M69" s="177"/>
      <c r="N69" s="171"/>
      <c r="O69" s="140"/>
      <c r="P69" s="204"/>
      <c r="Q69" s="193"/>
      <c r="R69" s="193"/>
      <c r="S69" s="26"/>
      <c r="T69" s="26"/>
      <c r="U69" s="280"/>
      <c r="V69" s="280"/>
      <c r="W69" s="280"/>
      <c r="X69" s="280"/>
    </row>
    <row r="70" spans="1:24" s="22" customFormat="1" ht="15.75" customHeight="1">
      <c r="B70" s="418"/>
      <c r="C70" s="617"/>
      <c r="D70" s="169">
        <f>IF(B67="","",VLOOKUP(B67,Espesor!$C$8:$E$41,3))</f>
        <v>0</v>
      </c>
      <c r="E70" s="185" t="s">
        <v>110</v>
      </c>
      <c r="F70" s="186">
        <f>IF(B67="","",IF(M70="LX",IF(E68&lt;0.5,IF(H67=0,1/12,IF(H67=1,3/8,IF(H67=2,0,0.5))),IF(H67=4,VLOOKUP(E68,COEFICIENTES!$A$8:$N$58,3),IF(H67=3,VLOOKUP(E68,COEFICIENTES!$A$8:$N$58,6),IF(H67=2,VLOOKUP(E68,COEFICIENTES!$A$8:$N$58,9),IF(H67=1,VLOOKUP(E68,COEFICIENTES!$A$8:$N$58,12),VLOOKUP(E68,COEFICIENTES!$A$8:$N$58,14)))))),IF(H67=4,COEFICIENTES!$C$60,IF(H67=3,COEFICIENTES!$F$60,IF(H67=2,COEFICIENTES!$I$60,IF(H67=1,COEFICIENTES!$L$60,COEFICIENTES!$N$60))))))</f>
        <v>3.3000000000000002E-2</v>
      </c>
      <c r="G70" s="153"/>
      <c r="H70" s="185" t="s">
        <v>111</v>
      </c>
      <c r="I70" s="606">
        <f>IF(F70="",0,ROUND(F70*LOOKUP(B$67,Espesor!$C$8:$C$41,Espesor!$Z$8:$Z$41)*POWER(MIN(C$72,D$70),2),4))</f>
        <v>0</v>
      </c>
      <c r="J70" s="606"/>
      <c r="K70" s="608">
        <f>IF(M70="LX",LOOKUP(B67,Espesor!$C$8:$C$41,Espesor!$AA$8:$AA$41),LOOKUP(B67,Espesor!$C$8:$C$41,Espesor!$AB$8:$AB$41))</f>
        <v>0</v>
      </c>
      <c r="L70" s="608"/>
      <c r="M70" s="170" t="str">
        <f>+IF(MIN(C72,D70)=D70,"LY","LX")</f>
        <v>LY</v>
      </c>
      <c r="N70" s="171" t="str">
        <f>+IF(M70="","",IF(M70="LY","LX","LY"))</f>
        <v>LX</v>
      </c>
      <c r="O70" s="140"/>
      <c r="P70" s="204"/>
      <c r="Q70" s="193"/>
      <c r="R70" s="193"/>
      <c r="S70" s="26"/>
      <c r="T70" s="26"/>
      <c r="U70" s="280"/>
      <c r="V70" s="280"/>
      <c r="W70" s="280"/>
      <c r="X70" s="280"/>
    </row>
    <row r="71" spans="1:24" s="22" customFormat="1" ht="15.75" customHeight="1" thickBot="1">
      <c r="B71" s="418"/>
      <c r="C71" s="618"/>
      <c r="D71" s="168"/>
      <c r="E71" s="185" t="s">
        <v>112</v>
      </c>
      <c r="F71" s="186">
        <f>IF(B67="","",IF(M70="LY",IF(E68&lt;0.5,IF(H67=0,1/24,IF(H67=1,9/125,IF(H67=2,1/8,0))),IF(H67=4,VLOOKUP(E68,COEFICIENTES!$A$8:$N$58,2),IF(H67=3,VLOOKUP(E68,COEFICIENTES!$A$8:$N$58,4),IF(H67=2,VLOOKUP(E68,COEFICIENTES!$A$8:$N$58,7),IF(H67=1,VLOOKUP(E68,COEFICIENTES!$A$8:$N$58,10),VLOOKUP(E68,COEFICIENTES!$A$8:$N$58,13)))))),IF(H67=4,COEFICIENTES!$B$60,IF(H67=3,COEFICIENTES!$D$60,IF(H67=2,COEFICIENTES!$G$60,IF(H67=1,COEFICIENTES!$J$60,COEFICIENTES!$M$60))))))</f>
        <v>0</v>
      </c>
      <c r="G71" s="153"/>
      <c r="H71" s="185" t="s">
        <v>113</v>
      </c>
      <c r="I71" s="606">
        <f>IF(F71="",0,ROUND(F71*LOOKUP(B$67,Espesor!$C$8:$C$41,Espesor!$Z$8:$Z$41)*POWER(MIN(C$72,D$70),2),4))</f>
        <v>0</v>
      </c>
      <c r="J71" s="606"/>
      <c r="K71" s="173"/>
      <c r="L71" s="174"/>
      <c r="M71" s="143"/>
      <c r="N71" s="171"/>
      <c r="O71" s="140"/>
      <c r="P71" s="204"/>
      <c r="Q71" s="193"/>
      <c r="R71" s="193"/>
      <c r="S71" s="26"/>
      <c r="T71" s="26"/>
      <c r="U71" s="280"/>
      <c r="V71" s="280"/>
      <c r="W71" s="280"/>
      <c r="X71" s="280"/>
    </row>
    <row r="72" spans="1:24" s="22" customFormat="1" ht="15.75" customHeight="1">
      <c r="B72" s="418"/>
      <c r="C72" s="600">
        <f>IF(B67="","",VLOOKUP(B67,Espesor!$C$8:$E$41,2))</f>
        <v>0</v>
      </c>
      <c r="D72" s="168"/>
      <c r="E72" s="185" t="s">
        <v>114</v>
      </c>
      <c r="F72" s="186">
        <f>IF(B67="","",IF(M70="LY",IF(E68&lt;0.5,IF(H67=0,1/12,IF(H67=1,3/8,IF(H67=2,0,0.5))),IF(H67=4,VLOOKUP(E68,COEFICIENTES!$A$8:$N$58,3),IF(H67=3,VLOOKUP(E68,COEFICIENTES!$A$8:$N$58,6),IF(H67=2,VLOOKUP(E68,COEFICIENTES!$A$8:$N$58,9),IF(H67=1,VLOOKUP(E68,COEFICIENTES!$A$8:$N$58,12),VLOOKUP(E68,COEFICIENTES!$A$8:$N$58,14)))))),IF(H67=4,COEFICIENTES!$C$60,IF(H67=3,COEFICIENTES!$F$60,IF(H67=2,COEFICIENTES!$I$60,IF(H67=1,COEFICIENTES!$L$60,COEFICIENTES!$N$60))))))</f>
        <v>0.5</v>
      </c>
      <c r="G72" s="153"/>
      <c r="H72" s="185" t="s">
        <v>115</v>
      </c>
      <c r="I72" s="606">
        <f>IF(F72="",0,ROUND(F72*LOOKUP(B$67,Espesor!$C$8:$C$41,Espesor!$Z$8:$Z$41)*POWER(MIN(C$72,D$70),2),4))</f>
        <v>0</v>
      </c>
      <c r="J72" s="606"/>
      <c r="K72" s="173"/>
      <c r="L72" s="174"/>
      <c r="M72" s="171"/>
      <c r="N72" s="171"/>
      <c r="O72" s="140"/>
      <c r="P72" s="204"/>
      <c r="Q72" s="193"/>
      <c r="R72" s="193"/>
      <c r="S72" s="26"/>
      <c r="T72" s="26"/>
      <c r="U72" s="280"/>
      <c r="V72" s="280"/>
      <c r="W72" s="280"/>
      <c r="X72" s="280"/>
    </row>
    <row r="73" spans="1:24" s="22" customFormat="1" ht="15.75" customHeight="1">
      <c r="B73" s="418"/>
      <c r="C73" s="601"/>
      <c r="D73" s="168"/>
      <c r="E73" s="185"/>
      <c r="F73" s="186"/>
      <c r="G73" s="153"/>
      <c r="H73" s="185"/>
      <c r="I73" s="187"/>
      <c r="J73" s="201"/>
      <c r="K73" s="178"/>
      <c r="L73" s="178"/>
      <c r="M73" s="171"/>
      <c r="N73" s="171"/>
      <c r="O73" s="140"/>
      <c r="P73" s="204"/>
      <c r="Q73" s="193"/>
      <c r="R73" s="193"/>
      <c r="S73" s="26"/>
      <c r="T73" s="26"/>
      <c r="U73" s="280"/>
      <c r="V73" s="280"/>
      <c r="W73" s="280"/>
      <c r="X73" s="280"/>
    </row>
    <row r="74" spans="1:24" s="22" customFormat="1" ht="15.75" customHeight="1">
      <c r="B74" s="418"/>
      <c r="C74" s="179"/>
      <c r="D74" s="168"/>
      <c r="E74" s="602"/>
      <c r="F74" s="602"/>
      <c r="G74" s="153"/>
      <c r="H74" s="185"/>
      <c r="I74" s="187"/>
      <c r="J74" s="201"/>
      <c r="K74" s="178"/>
      <c r="L74" s="178"/>
      <c r="M74" s="171"/>
      <c r="N74" s="171"/>
      <c r="O74" s="140"/>
      <c r="P74" s="204"/>
      <c r="Q74" s="193"/>
      <c r="R74" s="193"/>
      <c r="S74" s="26"/>
      <c r="T74" s="26"/>
      <c r="U74" s="280"/>
      <c r="V74" s="280"/>
      <c r="W74" s="280"/>
      <c r="X74" s="280"/>
    </row>
    <row r="75" spans="1:24" s="22" customFormat="1" ht="15.75" customHeight="1">
      <c r="A75" s="347" t="str">
        <f>+Espesor!B17</f>
        <v>Lt-</v>
      </c>
      <c r="B75" s="347">
        <f>IF(B67="","",IF(Espesor!$D$4&gt;=(B67+1),B67+1,""))</f>
        <v>10</v>
      </c>
      <c r="C75" s="604" t="str">
        <f>IF(B75&lt;=Espesor!$D$4,Espesor!$G$5,"")</f>
        <v>Losa armada en</v>
      </c>
      <c r="D75" s="604"/>
      <c r="E75" s="602" t="str">
        <f>IF(C75="","",LOOKUP(B75,Espesor!$C$8:$C$41,Espesor!$G$8:$G$41))</f>
        <v/>
      </c>
      <c r="F75" s="602"/>
      <c r="G75" s="602"/>
      <c r="H75" s="167" t="str">
        <f>IF(B75="","",LOOKUP(B75,Espesor!$C$8:$C$41,Espesor!$J$8:$J$41))</f>
        <v/>
      </c>
      <c r="I75" s="603" t="str">
        <f>IF(B75="","",IF(H75&gt;1,Espesor!$H$5,"Borde Discontinuo"))</f>
        <v>Bordes Discontinuos</v>
      </c>
      <c r="J75" s="603"/>
      <c r="K75" s="603"/>
      <c r="P75" s="191"/>
      <c r="Q75" s="193"/>
      <c r="R75" s="193"/>
      <c r="S75" s="26"/>
      <c r="T75" s="26"/>
      <c r="U75" s="280"/>
      <c r="V75" s="280"/>
      <c r="W75" s="280"/>
      <c r="X75" s="280"/>
    </row>
    <row r="76" spans="1:24" s="22" customFormat="1" ht="15.75" customHeight="1" thickBot="1">
      <c r="B76" s="418"/>
      <c r="C76" s="165"/>
      <c r="D76" s="175"/>
      <c r="E76" s="611">
        <f>IF(B75="","",LOOKUP(B75,Espesor!$C$8:$C$41,Espesor!$F$8:$F$41))</f>
        <v>0</v>
      </c>
      <c r="F76" s="611"/>
      <c r="G76" s="609" t="str">
        <f>IF(B75="","",LOOKUP(B75,Espesor!$C$8:$C$41,Espesor!$K$8:$K$41))</f>
        <v/>
      </c>
      <c r="H76" s="609"/>
      <c r="I76" s="609"/>
      <c r="J76" s="145" t="str">
        <f>IF(B75="","",IF(E76&lt;0.5,"","alfa ="))</f>
        <v/>
      </c>
      <c r="K76" s="146" t="str">
        <f>IF(B75="","",IF(E76&lt;0.5,"",(3-(E76)^2)/2))</f>
        <v/>
      </c>
      <c r="L76" s="162">
        <f>+IF(E76&lt;0.5,IF(H75=0,0.5,IF(H75=1,5/8,IF(H75=2,0.5,1))),"")</f>
        <v>1</v>
      </c>
      <c r="M76" s="176"/>
      <c r="N76" s="176"/>
      <c r="O76" s="140"/>
      <c r="P76" s="204"/>
      <c r="Q76" s="193"/>
      <c r="R76" s="193"/>
      <c r="S76" s="26"/>
      <c r="T76" s="26"/>
      <c r="U76" s="280"/>
      <c r="V76" s="280"/>
      <c r="W76" s="280"/>
      <c r="X76" s="280"/>
    </row>
    <row r="77" spans="1:24" s="22" customFormat="1" ht="15.75" customHeight="1">
      <c r="B77" s="418"/>
      <c r="C77" s="616"/>
      <c r="D77" s="168"/>
      <c r="E77" s="185" t="s">
        <v>108</v>
      </c>
      <c r="F77" s="186">
        <f>IF(B75="","",IF(M78="LX",IF(E76&lt;0.5,IF(H75=0,1/24,IF(H75=1,9/125,IF(H75=2,1/8,0))),IF(H75=4,VLOOKUP(E76,COEFICIENTES!$A$8:$N$58,2),IF(H75=3,VLOOKUP(E76,COEFICIENTES!$A$8:$N$58,4),IF(H75=2,VLOOKUP(E76,COEFICIENTES!$A$8:$N$58,7),IF(H75=1,VLOOKUP(E76,COEFICIENTES!$A$8:$N$58,10),VLOOKUP(E76,COEFICIENTES!$A$8:$N$58,13)))))),IF(H75=4,COEFICIENTES!$B$60,IF(H75=3,COEFICIENTES!$D$60,IF(H75=2,COEFICIENTES!$G$60,IF(H75=1,COEFICIENTES!$J$60,COEFICIENTES!$M$60))))))</f>
        <v>2.5000000000000001E-2</v>
      </c>
      <c r="G77" s="187"/>
      <c r="H77" s="185" t="s">
        <v>109</v>
      </c>
      <c r="I77" s="606">
        <f>IF(F77="",0,ROUND(F77*LOOKUP(B$75,Espesor!$C$8:$C$41,Espesor!$Z$8:$Z$41)*POWER(MIN(C$80,D$78),2),4))</f>
        <v>0</v>
      </c>
      <c r="J77" s="606"/>
      <c r="K77" s="607">
        <f>IF(M78="LY",LOOKUP(B75,Espesor!$C$8:$C$41,Espesor!$AA$8:$AA$41),LOOKUP(B75,Espesor!$C$8:$C$41,Espesor!$AB$8:$AB$41))</f>
        <v>0</v>
      </c>
      <c r="L77" s="607"/>
      <c r="M77" s="177"/>
      <c r="N77" s="171"/>
      <c r="O77" s="140"/>
      <c r="P77" s="204"/>
      <c r="Q77" s="193"/>
      <c r="R77" s="193"/>
      <c r="S77" s="26"/>
      <c r="T77" s="26"/>
      <c r="U77" s="280"/>
      <c r="V77" s="280"/>
      <c r="W77" s="280"/>
      <c r="X77" s="280"/>
    </row>
    <row r="78" spans="1:24" s="22" customFormat="1" ht="15.75" customHeight="1">
      <c r="B78" s="418"/>
      <c r="C78" s="617"/>
      <c r="D78" s="169">
        <f>IF(B75="","",VLOOKUP(B75,Espesor!$C$8:$E$41,3))</f>
        <v>0</v>
      </c>
      <c r="E78" s="185" t="s">
        <v>110</v>
      </c>
      <c r="F78" s="186">
        <f>IF(B75="","",IF(M78="LX",IF(E76&lt;0.5,IF(H75=0,1/12,IF(H75=1,3/8,IF(H75=2,0,0.5))),IF(H75=4,VLOOKUP(E76,COEFICIENTES!$A$8:$N$58,3),IF(H75=3,VLOOKUP(E76,COEFICIENTES!$A$8:$N$58,6),IF(H75=2,VLOOKUP(E76,COEFICIENTES!$A$8:$N$58,9),IF(H75=1,VLOOKUP(E76,COEFICIENTES!$A$8:$N$58,12),VLOOKUP(E76,COEFICIENTES!$A$8:$N$58,14)))))),IF(H75=4,COEFICIENTES!$C$60,IF(H75=3,COEFICIENTES!$F$60,IF(H75=2,COEFICIENTES!$I$60,IF(H75=1,COEFICIENTES!$L$60,COEFICIENTES!$N$60))))))</f>
        <v>3.3000000000000002E-2</v>
      </c>
      <c r="G78" s="153"/>
      <c r="H78" s="185" t="s">
        <v>111</v>
      </c>
      <c r="I78" s="606">
        <f>IF(F78="",0,ROUND(F78*LOOKUP(B$75,Espesor!$C$8:$C$41,Espesor!$Z$8:$Z$41)*POWER(MIN(C$80,D$78),2),4))</f>
        <v>0</v>
      </c>
      <c r="J78" s="606"/>
      <c r="K78" s="608">
        <f>IF(M78="LX",LOOKUP(B75,Espesor!$C$8:$C$41,Espesor!$AA$8:$AA$41),LOOKUP(B75,Espesor!$C$8:$C$41,Espesor!$AB$8:$AB$41))</f>
        <v>0</v>
      </c>
      <c r="L78" s="608"/>
      <c r="M78" s="170" t="str">
        <f>+IF(MIN(C80,D78)=D78,"LY","LX")</f>
        <v>LY</v>
      </c>
      <c r="N78" s="171" t="str">
        <f>+IF(M78="","",IF(M78="LY","LX","LY"))</f>
        <v>LX</v>
      </c>
      <c r="O78" s="140"/>
      <c r="P78" s="204"/>
      <c r="Q78" s="193"/>
      <c r="R78" s="193"/>
      <c r="S78" s="26"/>
      <c r="T78" s="26"/>
      <c r="U78" s="280"/>
      <c r="V78" s="280"/>
      <c r="W78" s="280"/>
      <c r="X78" s="280"/>
    </row>
    <row r="79" spans="1:24" s="22" customFormat="1" ht="15.75" customHeight="1" thickBot="1">
      <c r="B79" s="418"/>
      <c r="C79" s="618"/>
      <c r="D79" s="168"/>
      <c r="E79" s="185" t="s">
        <v>112</v>
      </c>
      <c r="F79" s="186">
        <f>IF(B75="","",IF(M78="LY",IF(E76&lt;0.5,IF(H75=0,1/24,IF(H75=1,9/125,IF(H75=2,1/8,0))),IF(H75=4,VLOOKUP(E76,COEFICIENTES!$A$8:$N$58,2),IF(H75=3,VLOOKUP(E76,COEFICIENTES!$A$8:$N$58,4),IF(H75=2,VLOOKUP(E76,COEFICIENTES!$A$8:$N$58,7),IF(H75=1,VLOOKUP(E76,COEFICIENTES!$A$8:$N$58,10),VLOOKUP(E76,COEFICIENTES!$A$8:$N$58,13)))))),IF(H75=4,COEFICIENTES!$B$60,IF(H75=3,COEFICIENTES!$D$60,IF(H75=2,COEFICIENTES!$G$60,IF(H75=1,COEFICIENTES!$J$60,COEFICIENTES!$M$60))))))</f>
        <v>0</v>
      </c>
      <c r="G79" s="153"/>
      <c r="H79" s="185" t="s">
        <v>113</v>
      </c>
      <c r="I79" s="606">
        <f>IF(F79="",0,ROUND(F79*LOOKUP(B$75,Espesor!$C$8:$C$41,Espesor!$Z$8:$Z$41)*POWER(MIN(C$80,D$78),2),4))</f>
        <v>0</v>
      </c>
      <c r="J79" s="606"/>
      <c r="K79" s="182"/>
      <c r="L79" s="174"/>
      <c r="M79" s="143"/>
      <c r="N79" s="171"/>
      <c r="O79" s="140"/>
      <c r="P79" s="204"/>
      <c r="Q79" s="193"/>
      <c r="R79" s="193"/>
      <c r="S79" s="26"/>
      <c r="T79" s="26"/>
      <c r="U79" s="280"/>
      <c r="V79" s="280"/>
      <c r="W79" s="280"/>
      <c r="X79" s="280"/>
    </row>
    <row r="80" spans="1:24" s="22" customFormat="1" ht="15.75" customHeight="1">
      <c r="B80" s="418"/>
      <c r="C80" s="600">
        <f>IF(B75="","",VLOOKUP(B75,Espesor!$C$8:$E$41,2))</f>
        <v>0</v>
      </c>
      <c r="D80" s="168"/>
      <c r="E80" s="185" t="s">
        <v>114</v>
      </c>
      <c r="F80" s="186">
        <f>IF(B75="","",IF(M78="LY",IF(E76&lt;0.5,IF(H75=0,1/12,IF(H75=1,3/8,IF(H75=2,0,0.5))),IF(H75=4,VLOOKUP(E76,COEFICIENTES!$A$8:$N$58,3),IF(H75=3,VLOOKUP(E76,COEFICIENTES!$A$8:$N$58,6),IF(H75=2,VLOOKUP(E76,COEFICIENTES!$A$8:$N$58,9),IF(H75=1,VLOOKUP(E76,COEFICIENTES!$A$8:$N$58,12),VLOOKUP(E76,COEFICIENTES!$A$8:$N$58,14)))))),IF(H75=4,COEFICIENTES!$C$60,IF(H75=3,COEFICIENTES!$F$60,IF(H75=2,COEFICIENTES!$I$60,IF(H75=1,COEFICIENTES!$L$60,COEFICIENTES!$N$60))))))</f>
        <v>0.5</v>
      </c>
      <c r="G80" s="153"/>
      <c r="H80" s="185" t="s">
        <v>115</v>
      </c>
      <c r="I80" s="606">
        <f>IF(F80="",0,ROUND(F80*LOOKUP(B$75,Espesor!$C$8:$C$41,Espesor!$Z$8:$Z$41)*POWER(MIN(C$80,D$78),2),4))</f>
        <v>0</v>
      </c>
      <c r="J80" s="606"/>
      <c r="K80" s="182"/>
      <c r="L80" s="174"/>
      <c r="M80" s="171"/>
      <c r="N80" s="171"/>
      <c r="O80" s="140"/>
      <c r="P80" s="204"/>
      <c r="Q80" s="193"/>
      <c r="R80" s="193"/>
      <c r="S80" s="26"/>
      <c r="T80" s="26"/>
      <c r="U80" s="280"/>
      <c r="V80" s="280"/>
      <c r="W80" s="280"/>
      <c r="X80" s="280"/>
    </row>
    <row r="81" spans="1:24" s="22" customFormat="1" ht="15.75" customHeight="1">
      <c r="B81" s="418"/>
      <c r="C81" s="601"/>
      <c r="D81" s="168"/>
      <c r="E81" s="185"/>
      <c r="F81" s="186"/>
      <c r="G81" s="153"/>
      <c r="H81" s="185"/>
      <c r="I81" s="197"/>
      <c r="J81" s="202"/>
      <c r="K81" s="181"/>
      <c r="L81" s="180"/>
      <c r="M81" s="171"/>
      <c r="N81" s="171"/>
      <c r="O81" s="135"/>
      <c r="P81" s="204"/>
      <c r="Q81" s="193"/>
      <c r="R81" s="193"/>
      <c r="S81" s="26"/>
      <c r="T81" s="26"/>
      <c r="U81" s="280"/>
      <c r="V81" s="280"/>
      <c r="W81" s="280"/>
      <c r="X81" s="280"/>
    </row>
    <row r="82" spans="1:24" s="22" customFormat="1" ht="15.75" customHeight="1">
      <c r="B82" s="418"/>
      <c r="C82" s="179"/>
      <c r="D82" s="168"/>
      <c r="E82" s="185"/>
      <c r="F82" s="186"/>
      <c r="G82" s="153"/>
      <c r="H82" s="185"/>
      <c r="I82" s="197"/>
      <c r="J82" s="145" t="str">
        <f>IF(E82&lt;0.5,"","alfa =")</f>
        <v/>
      </c>
      <c r="K82" s="146" t="str">
        <f>IF(E82&lt;0.5,"",(3-(E82)^2)/2)</f>
        <v/>
      </c>
      <c r="L82" s="180"/>
      <c r="M82" s="171"/>
      <c r="N82" s="171"/>
      <c r="O82" s="135"/>
      <c r="P82" s="204"/>
      <c r="Q82" s="193"/>
      <c r="R82" s="193"/>
      <c r="S82" s="26"/>
      <c r="T82" s="26"/>
      <c r="U82" s="280"/>
      <c r="V82" s="280"/>
      <c r="W82" s="280"/>
      <c r="X82" s="280"/>
    </row>
    <row r="83" spans="1:24" s="22" customFormat="1" ht="15.75" customHeight="1">
      <c r="A83" s="347" t="str">
        <f>+Espesor!B18</f>
        <v>Lt-</v>
      </c>
      <c r="B83" s="347">
        <f>IF(B75="","",IF(Espesor!$D$4&gt;=(B75+1),B75+1,""))</f>
        <v>11</v>
      </c>
      <c r="C83" s="604" t="str">
        <f>IF(B83&lt;=Espesor!$D$4,Espesor!$G$5,"")</f>
        <v>Losa armada en</v>
      </c>
      <c r="D83" s="604"/>
      <c r="E83" s="602" t="str">
        <f>IF(C83="","",LOOKUP(B83,Espesor!$C$8:$C$41,Espesor!$G$8:$G$41))</f>
        <v/>
      </c>
      <c r="F83" s="602"/>
      <c r="G83" s="602"/>
      <c r="H83" s="167" t="str">
        <f>IF(B83="","",LOOKUP(B83,Espesor!$C$8:$C$41,Espesor!$J$8:$J$41))</f>
        <v/>
      </c>
      <c r="I83" s="603" t="str">
        <f>IF(B83="","",IF(H83&gt;1,Espesor!$H$5,"Borde Discontinuo"))</f>
        <v>Bordes Discontinuos</v>
      </c>
      <c r="J83" s="603"/>
      <c r="K83" s="603"/>
      <c r="P83" s="191"/>
      <c r="Q83" s="193"/>
      <c r="R83" s="193"/>
      <c r="S83" s="26"/>
      <c r="T83" s="26"/>
      <c r="U83" s="280"/>
      <c r="V83" s="280"/>
      <c r="W83" s="280"/>
      <c r="X83" s="280"/>
    </row>
    <row r="84" spans="1:24" s="22" customFormat="1" ht="15.75" customHeight="1" thickBot="1">
      <c r="B84" s="418"/>
      <c r="C84" s="165"/>
      <c r="D84" s="175"/>
      <c r="E84" s="611">
        <f>IF(B83="","",LOOKUP(B83,Espesor!$C$8:$C$41,Espesor!$F$8:$F$41))</f>
        <v>0</v>
      </c>
      <c r="F84" s="611"/>
      <c r="G84" s="609" t="str">
        <f>IF(B83="","",LOOKUP(B83,Espesor!$C$8:$C$41,Espesor!$K$8:$K$41))</f>
        <v/>
      </c>
      <c r="H84" s="609"/>
      <c r="I84" s="609"/>
      <c r="J84" s="145" t="str">
        <f>IF(B83="","",IF(E84&lt;0.5,"","alfa ="))</f>
        <v/>
      </c>
      <c r="K84" s="146" t="str">
        <f>IF(B83="","",IF(E84&lt;0.5,"",(3-(E84)^2)/2))</f>
        <v/>
      </c>
      <c r="L84" s="162">
        <f>+IF(E84&lt;0.5,IF(H83=0,0.5,IF(H83=1,5/8,IF(H83=2,0.5,1))),"")</f>
        <v>1</v>
      </c>
      <c r="M84" s="176"/>
      <c r="N84" s="176"/>
      <c r="O84" s="135"/>
      <c r="P84" s="204"/>
      <c r="Q84" s="193"/>
      <c r="R84" s="193"/>
      <c r="S84" s="26"/>
      <c r="T84" s="26"/>
      <c r="U84" s="280"/>
      <c r="V84" s="280"/>
      <c r="W84" s="280"/>
      <c r="X84" s="280"/>
    </row>
    <row r="85" spans="1:24" s="22" customFormat="1" ht="15.75" customHeight="1">
      <c r="B85" s="418"/>
      <c r="C85" s="616"/>
      <c r="D85" s="168"/>
      <c r="E85" s="185" t="s">
        <v>108</v>
      </c>
      <c r="F85" s="186">
        <f>IF(B83="","",IF(M86="LX",IF(E84&lt;0.5,IF(H83=0,1/24,IF(H83=1,9/125,IF(H83=2,1/8,0))),IF(H83=4,VLOOKUP(E84,COEFICIENTES!$A$8:$N$58,2),IF(H83=3,VLOOKUP(E84,COEFICIENTES!$A$8:$N$58,4),IF(H83=2,VLOOKUP(E84,COEFICIENTES!$A$8:$N$58,7),IF(H83=1,VLOOKUP(E84,COEFICIENTES!$A$8:$N$58,10),VLOOKUP(E84,COEFICIENTES!$A$8:$N$58,13)))))),IF(H83=4,COEFICIENTES!$B$60,IF(H83=3,COEFICIENTES!$D$60,IF(H83=2,COEFICIENTES!$G$60,IF(H83=1,COEFICIENTES!$J$60,COEFICIENTES!$M$60))))))</f>
        <v>2.5000000000000001E-2</v>
      </c>
      <c r="G85" s="187"/>
      <c r="H85" s="185" t="s">
        <v>109</v>
      </c>
      <c r="I85" s="606">
        <f>IF(F85="",0,ROUND(F85*LOOKUP(B$83,Espesor!$C$8:$C$41,Espesor!$Z$8:$Z$41)*POWER(MIN(C$88,D$86),2),4))</f>
        <v>0</v>
      </c>
      <c r="J85" s="606"/>
      <c r="K85" s="607">
        <f>IF(M86="LY",LOOKUP(B83,Espesor!$C$8:$C$41,Espesor!$AA$8:$AA$41),LOOKUP(B83,Espesor!$C$8:$C$41,Espesor!$AB$8:$AB$41))</f>
        <v>0</v>
      </c>
      <c r="L85" s="607"/>
      <c r="M85" s="177"/>
      <c r="N85" s="171"/>
      <c r="O85" s="140"/>
      <c r="P85" s="204"/>
      <c r="Q85" s="193"/>
      <c r="R85" s="193"/>
      <c r="S85" s="26"/>
      <c r="T85" s="26"/>
      <c r="U85" s="280"/>
      <c r="V85" s="280"/>
      <c r="W85" s="280"/>
      <c r="X85" s="280"/>
    </row>
    <row r="86" spans="1:24" s="22" customFormat="1" ht="15.75" customHeight="1">
      <c r="B86" s="418"/>
      <c r="C86" s="617"/>
      <c r="D86" s="169">
        <f>IF(B83="","",VLOOKUP(B83,Espesor!$C$8:$E$41,3))</f>
        <v>0</v>
      </c>
      <c r="E86" s="185" t="s">
        <v>110</v>
      </c>
      <c r="F86" s="186">
        <f>IF(B83="","",IF(M86="LX",IF(E84&lt;0.5,IF(H83=0,1/12,IF(H83=1,3/8,IF(H83=2,0,0.5))),IF(H83=4,VLOOKUP(E84,COEFICIENTES!$A$8:$N$58,3),IF(H83=3,VLOOKUP(E84,COEFICIENTES!$A$8:$N$58,6),IF(H83=2,VLOOKUP(E84,COEFICIENTES!$A$8:$N$58,9),IF(H83=1,VLOOKUP(E84,COEFICIENTES!$A$8:$N$58,12),VLOOKUP(E84,COEFICIENTES!$A$8:$N$58,14)))))),IF(H83=4,COEFICIENTES!$C$60,IF(H83=3,COEFICIENTES!$F$60,IF(H83=2,COEFICIENTES!$I$60,IF(H83=1,COEFICIENTES!$L$60,COEFICIENTES!$N$60))))))</f>
        <v>3.3000000000000002E-2</v>
      </c>
      <c r="G86" s="153"/>
      <c r="H86" s="185" t="s">
        <v>111</v>
      </c>
      <c r="I86" s="606">
        <f>IF(F86="",0,ROUND(F86*LOOKUP(B$83,Espesor!$C$8:$C$41,Espesor!$Z$8:$Z$41)*POWER(MIN(C$88,D$86),2),4))</f>
        <v>0</v>
      </c>
      <c r="J86" s="606"/>
      <c r="K86" s="608">
        <f>IF(M86="LX",LOOKUP(B83,Espesor!$C$8:$C$41,Espesor!$AA$8:$AA$41),LOOKUP(B83,Espesor!$C$8:$C$41,Espesor!$AB$8:$AB$41))</f>
        <v>0</v>
      </c>
      <c r="L86" s="608"/>
      <c r="M86" s="170" t="str">
        <f>+IF(MIN(C88,D86)=D86,"LY","LX")</f>
        <v>LY</v>
      </c>
      <c r="N86" s="171" t="str">
        <f>+IF(M86="","",IF(M86="LY","LX","LY"))</f>
        <v>LX</v>
      </c>
      <c r="O86" s="140"/>
      <c r="P86" s="204"/>
      <c r="Q86" s="193"/>
      <c r="R86" s="193"/>
      <c r="S86" s="26"/>
      <c r="T86" s="26"/>
      <c r="U86" s="280"/>
      <c r="V86" s="280"/>
      <c r="W86" s="280"/>
      <c r="X86" s="280"/>
    </row>
    <row r="87" spans="1:24" s="22" customFormat="1" ht="15.75" customHeight="1" thickBot="1">
      <c r="B87" s="418"/>
      <c r="C87" s="618"/>
      <c r="D87" s="168"/>
      <c r="E87" s="185" t="s">
        <v>112</v>
      </c>
      <c r="F87" s="186">
        <f>IF(B83="","",IF(M86="LY",IF(E84&lt;0.5,IF(H83=0,1/24,IF(H83=1,9/125,IF(H83=2,1/8,0))),IF(H83=4,VLOOKUP(E84,COEFICIENTES!$A$8:$N$58,2),IF(H83=3,VLOOKUP(E84,COEFICIENTES!$A$8:$N$58,4),IF(H83=2,VLOOKUP(E84,COEFICIENTES!$A$8:$N$58,7),IF(H83=1,VLOOKUP(E84,COEFICIENTES!$A$8:$N$58,10),VLOOKUP(E84,COEFICIENTES!$A$8:$N$58,13)))))),IF(H83=4,COEFICIENTES!$B$60,IF(H83=3,COEFICIENTES!$D$60,IF(H83=2,COEFICIENTES!$G$60,IF(H83=1,COEFICIENTES!$J$60,COEFICIENTES!$M$60))))))</f>
        <v>0</v>
      </c>
      <c r="G87" s="153"/>
      <c r="H87" s="185" t="s">
        <v>113</v>
      </c>
      <c r="I87" s="606">
        <f>IF(F87="",0,ROUND(F87*LOOKUP(B$83,Espesor!$C$8:$C$41,Espesor!$Z$8:$Z$41)*POWER(MIN(C$88,D$86),2),4))</f>
        <v>0</v>
      </c>
      <c r="J87" s="606"/>
      <c r="K87" s="182"/>
      <c r="L87" s="174"/>
      <c r="M87" s="143"/>
      <c r="N87" s="171"/>
      <c r="O87" s="140"/>
      <c r="P87" s="204"/>
      <c r="Q87" s="193"/>
      <c r="R87" s="193"/>
      <c r="S87" s="26"/>
      <c r="T87" s="26"/>
      <c r="U87" s="280"/>
      <c r="V87" s="280"/>
      <c r="W87" s="280"/>
      <c r="X87" s="280"/>
    </row>
    <row r="88" spans="1:24" s="22" customFormat="1" ht="15.75" customHeight="1">
      <c r="B88" s="418"/>
      <c r="C88" s="600">
        <f>IF(B83="","",VLOOKUP(B83,Espesor!$C$8:$E$41,2))</f>
        <v>0</v>
      </c>
      <c r="D88" s="168"/>
      <c r="E88" s="185" t="s">
        <v>114</v>
      </c>
      <c r="F88" s="186">
        <f>IF(B83="","",IF(M86="LY",IF(E84&lt;0.5,IF(H83=0,1/12,IF(H83=1,3/8,IF(H83=2,0,0.5))),IF(H83=4,VLOOKUP(E84,COEFICIENTES!$A$8:$N$58,3),IF(H83=3,VLOOKUP(E84,COEFICIENTES!$A$8:$N$58,6),IF(H83=2,VLOOKUP(E84,COEFICIENTES!$A$8:$N$58,9),IF(H83=1,VLOOKUP(E84,COEFICIENTES!$A$8:$N$58,12),VLOOKUP(E84,COEFICIENTES!$A$8:$N$58,14)))))),IF(H83=4,COEFICIENTES!$C$60,IF(H83=3,COEFICIENTES!$F$60,IF(H83=2,COEFICIENTES!$I$60,IF(H83=1,COEFICIENTES!$L$60,COEFICIENTES!$N$60))))))</f>
        <v>0.5</v>
      </c>
      <c r="G88" s="153"/>
      <c r="H88" s="185" t="s">
        <v>115</v>
      </c>
      <c r="I88" s="606">
        <f>IF(F88="",0,ROUND(F88*LOOKUP(B$83,Espesor!$C$8:$C$41,Espesor!$Z$8:$Z$41)*POWER(MIN(C$88,D$86),2),4))</f>
        <v>0</v>
      </c>
      <c r="J88" s="606"/>
      <c r="K88" s="182"/>
      <c r="L88" s="174"/>
      <c r="M88" s="171"/>
      <c r="N88" s="171"/>
      <c r="O88" s="140"/>
      <c r="P88" s="204"/>
      <c r="Q88" s="193"/>
      <c r="R88" s="193"/>
      <c r="S88" s="26"/>
      <c r="T88" s="26"/>
      <c r="U88" s="280"/>
      <c r="V88" s="280"/>
      <c r="W88" s="280"/>
      <c r="X88" s="280"/>
    </row>
    <row r="89" spans="1:24" s="22" customFormat="1" ht="15.75" customHeight="1">
      <c r="B89" s="418"/>
      <c r="C89" s="601"/>
      <c r="D89" s="23"/>
      <c r="E89" s="147"/>
      <c r="F89" s="147"/>
      <c r="G89" s="147"/>
      <c r="H89" s="147"/>
      <c r="I89" s="198"/>
      <c r="J89" s="189"/>
      <c r="K89" s="23"/>
      <c r="L89" s="150"/>
      <c r="M89" s="171"/>
      <c r="N89" s="171"/>
      <c r="O89" s="140"/>
      <c r="P89" s="204"/>
      <c r="Q89" s="193"/>
      <c r="R89" s="193"/>
      <c r="S89" s="26"/>
      <c r="T89" s="26"/>
      <c r="U89" s="280"/>
      <c r="V89" s="280"/>
      <c r="W89" s="280"/>
      <c r="X89" s="280"/>
    </row>
    <row r="90" spans="1:24" s="22" customFormat="1" ht="15.75" customHeight="1">
      <c r="B90" s="418"/>
      <c r="C90" s="179"/>
      <c r="D90" s="23"/>
      <c r="E90" s="147"/>
      <c r="F90" s="147"/>
      <c r="G90" s="147"/>
      <c r="H90" s="147"/>
      <c r="I90" s="198"/>
      <c r="J90" s="189"/>
      <c r="K90" s="23"/>
      <c r="L90" s="150"/>
      <c r="M90" s="171"/>
      <c r="N90" s="171"/>
      <c r="O90" s="140"/>
      <c r="P90" s="204"/>
      <c r="Q90" s="193"/>
      <c r="R90" s="193"/>
      <c r="S90" s="26"/>
      <c r="T90" s="26"/>
      <c r="U90" s="280"/>
      <c r="V90" s="280"/>
      <c r="W90" s="280"/>
      <c r="X90" s="280"/>
    </row>
    <row r="91" spans="1:24" s="22" customFormat="1" ht="15.75" customHeight="1">
      <c r="A91" s="347" t="str">
        <f>+Espesor!B19</f>
        <v>Lt-</v>
      </c>
      <c r="B91" s="347">
        <f>IF(B83="","",IF(Espesor!$D$4&gt;=(B83+1),B83+1,""))</f>
        <v>12</v>
      </c>
      <c r="C91" s="604" t="str">
        <f>IF(B91&lt;=Espesor!$D$4,Espesor!$G$5,"")</f>
        <v>Losa armada en</v>
      </c>
      <c r="D91" s="604"/>
      <c r="E91" s="602" t="str">
        <f>IF(C91="","",LOOKUP(B91,Espesor!$C$8:$C$41,Espesor!$G$8:$G$41))</f>
        <v/>
      </c>
      <c r="F91" s="602"/>
      <c r="G91" s="602"/>
      <c r="H91" s="167" t="str">
        <f>IF(B91="","",LOOKUP(B91,Espesor!$C$8:$C$41,Espesor!$J$8:$J$41))</f>
        <v/>
      </c>
      <c r="I91" s="619" t="str">
        <f>IF(B91="","",IF(H91&gt;1,Espesor!$H$5,"Borde Discontinuo"))</f>
        <v>Bordes Discontinuos</v>
      </c>
      <c r="J91" s="619"/>
      <c r="K91" s="619"/>
      <c r="P91" s="191"/>
      <c r="Q91" s="193"/>
      <c r="R91" s="193"/>
      <c r="S91" s="26"/>
      <c r="T91" s="26"/>
      <c r="U91" s="280"/>
      <c r="V91" s="280"/>
      <c r="W91" s="280"/>
      <c r="X91" s="280"/>
    </row>
    <row r="92" spans="1:24" s="22" customFormat="1" ht="15.75" customHeight="1" thickBot="1">
      <c r="B92" s="418"/>
      <c r="C92" s="165"/>
      <c r="D92" s="175"/>
      <c r="E92" s="611">
        <f>IF(B91="","",LOOKUP(B91,Espesor!$C$8:$C$41,Espesor!$F$8:$F$41))</f>
        <v>0</v>
      </c>
      <c r="F92" s="611"/>
      <c r="G92" s="609" t="str">
        <f>IF(B91="","",LOOKUP(B91,Espesor!$C$8:$C$41,Espesor!$K$8:$K$41))</f>
        <v/>
      </c>
      <c r="H92" s="609"/>
      <c r="I92" s="609"/>
      <c r="J92" s="145" t="str">
        <f>IF(B91="","",IF(E92&lt;0.5,"","alfa ="))</f>
        <v/>
      </c>
      <c r="K92" s="146" t="str">
        <f>IF(B91="","",IF(E92&lt;0.5,"",(3-(E92)^2)/2))</f>
        <v/>
      </c>
      <c r="L92" s="162">
        <f>+IF(E92&lt;0.5,IF(H91=0,0.5,IF(H91=1,5/8,IF(H91=2,0.5,1))),"")</f>
        <v>1</v>
      </c>
      <c r="M92" s="176"/>
      <c r="N92" s="176"/>
      <c r="O92" s="140"/>
      <c r="P92" s="204"/>
      <c r="Q92" s="193"/>
      <c r="R92" s="193"/>
      <c r="S92" s="26"/>
      <c r="T92" s="26"/>
      <c r="U92" s="280"/>
      <c r="V92" s="280"/>
      <c r="W92" s="280"/>
      <c r="X92" s="280"/>
    </row>
    <row r="93" spans="1:24" s="22" customFormat="1" ht="15.75" customHeight="1">
      <c r="B93" s="418"/>
      <c r="C93" s="616"/>
      <c r="D93" s="168"/>
      <c r="E93" s="185" t="s">
        <v>108</v>
      </c>
      <c r="F93" s="186">
        <f>IF(B91="","",IF(M94="LX",IF(E92&lt;0.5,IF(H91=0,1/24,IF(H91=1,9/125,IF(H91=2,1/8,0))),IF(H91=4,VLOOKUP(E92,COEFICIENTES!$A$8:$N$58,2),IF(H91=3,VLOOKUP(E92,COEFICIENTES!$A$8:$N$58,4),IF(H91=2,VLOOKUP(E92,COEFICIENTES!$A$8:$N$58,7),IF(H91=1,VLOOKUP(E92,COEFICIENTES!$A$8:$N$58,10),VLOOKUP(E92,COEFICIENTES!$A$8:$N$58,13)))))),IF(H91=4,COEFICIENTES!$B$60,IF(H91=3,COEFICIENTES!$D$60,IF(H91=2,COEFICIENTES!$G$60,IF(H91=1,COEFICIENTES!$J$60,COEFICIENTES!$M$60))))))</f>
        <v>2.5000000000000001E-2</v>
      </c>
      <c r="G93" s="187"/>
      <c r="H93" s="185" t="s">
        <v>109</v>
      </c>
      <c r="I93" s="606">
        <f>IF(F93="",0,ROUND(F93*LOOKUP(B$91,Espesor!$C$8:$C$41,Espesor!$Z$8:$Z$41)*POWER(MIN(C$96,D$94),2),4))</f>
        <v>0</v>
      </c>
      <c r="J93" s="606"/>
      <c r="K93" s="607">
        <f>IF(M94="LY",LOOKUP(B91,Espesor!$C$8:$C$41,Espesor!$AA$8:$AA$41),LOOKUP(B91,Espesor!$C$8:$C$41,Espesor!$AB$8:$AB$41))</f>
        <v>0</v>
      </c>
      <c r="L93" s="607"/>
      <c r="M93" s="177"/>
      <c r="N93" s="171"/>
      <c r="O93" s="140"/>
      <c r="P93" s="204"/>
      <c r="Q93" s="193"/>
      <c r="R93" s="193"/>
      <c r="S93" s="26"/>
      <c r="T93" s="26"/>
      <c r="U93" s="280"/>
      <c r="V93" s="280"/>
      <c r="W93" s="280"/>
      <c r="X93" s="280"/>
    </row>
    <row r="94" spans="1:24" s="22" customFormat="1" ht="15.75" customHeight="1">
      <c r="B94" s="418"/>
      <c r="C94" s="617"/>
      <c r="D94" s="169">
        <f>IF(B91="","",VLOOKUP(B91,Espesor!$C$8:$E$41,3))</f>
        <v>0</v>
      </c>
      <c r="E94" s="185" t="s">
        <v>110</v>
      </c>
      <c r="F94" s="186">
        <f>IF(B91="","",IF(M94="LX",IF(E92&lt;0.5,IF(H91=0,1/12,IF(H91=1,3/8,IF(H91=2,0,0.5))),IF(H91=4,VLOOKUP(E92,COEFICIENTES!$A$8:$N$58,3),IF(H91=3,VLOOKUP(E92,COEFICIENTES!$A$8:$N$58,6),IF(H91=2,VLOOKUP(E92,COEFICIENTES!$A$8:$N$58,9),IF(H91=1,VLOOKUP(E92,COEFICIENTES!$A$8:$N$58,12),VLOOKUP(E92,COEFICIENTES!$A$8:$N$58,14)))))),IF(H91=4,COEFICIENTES!$C$60,IF(H91=3,COEFICIENTES!$F$60,IF(H91=2,COEFICIENTES!$I$60,IF(H91=1,COEFICIENTES!$L$60,COEFICIENTES!$N$60))))))</f>
        <v>3.3000000000000002E-2</v>
      </c>
      <c r="G94" s="153"/>
      <c r="H94" s="185" t="s">
        <v>111</v>
      </c>
      <c r="I94" s="606">
        <f>IF(F94="",0,ROUND(F94*LOOKUP(B$91,Espesor!$C$8:$C$41,Espesor!$Z$8:$Z$41)*POWER(MIN(C$96,D$94),2),4))</f>
        <v>0</v>
      </c>
      <c r="J94" s="606"/>
      <c r="K94" s="608">
        <f>IF(M94="LX",LOOKUP(B91,Espesor!$C$8:$C$41,Espesor!$AA$8:$AA$41),LOOKUP(B91,Espesor!$C$8:$C$41,Espesor!$AB$8:$AB$41))</f>
        <v>0</v>
      </c>
      <c r="L94" s="608"/>
      <c r="M94" s="170" t="str">
        <f>+IF(MIN(C96,D94)=D94,"LY","LX")</f>
        <v>LY</v>
      </c>
      <c r="N94" s="171" t="str">
        <f>+IF(M94="","",IF(M94="LY","LX","LY"))</f>
        <v>LX</v>
      </c>
      <c r="O94" s="140"/>
      <c r="P94" s="204"/>
      <c r="Q94" s="193"/>
      <c r="R94" s="193"/>
      <c r="S94" s="26"/>
      <c r="T94" s="26"/>
      <c r="U94" s="280"/>
      <c r="V94" s="280"/>
      <c r="W94" s="280"/>
      <c r="X94" s="280"/>
    </row>
    <row r="95" spans="1:24" s="22" customFormat="1" ht="15.75" customHeight="1" thickBot="1">
      <c r="B95" s="418"/>
      <c r="C95" s="618"/>
      <c r="D95" s="168"/>
      <c r="E95" s="185" t="s">
        <v>112</v>
      </c>
      <c r="F95" s="186">
        <f>IF(B91="","",IF(M94="LY",IF(E92&lt;0.5,IF(H91=0,1/24,IF(H91=1,9/125,IF(H91=2,1/8,0))),IF(H91=4,VLOOKUP(E92,COEFICIENTES!$A$8:$N$58,2),IF(H91=3,VLOOKUP(E92,COEFICIENTES!$A$8:$N$58,4),IF(H91=2,VLOOKUP(E92,COEFICIENTES!$A$8:$N$58,7),IF(H91=1,VLOOKUP(E92,COEFICIENTES!$A$8:$N$58,10),VLOOKUP(E92,COEFICIENTES!$A$8:$N$58,13)))))),IF(H91=4,COEFICIENTES!$B$60,IF(H91=3,COEFICIENTES!$D$60,IF(H91=2,COEFICIENTES!$G$60,IF(H91=1,COEFICIENTES!$J$60,COEFICIENTES!$M$60))))))</f>
        <v>0</v>
      </c>
      <c r="G95" s="153"/>
      <c r="H95" s="185" t="s">
        <v>113</v>
      </c>
      <c r="I95" s="606">
        <f>IF(F95="",0,ROUND(F95*LOOKUP(B$91,Espesor!$C$8:$C$41,Espesor!$Z$8:$Z$41)*POWER(MIN(C$96,D$94),2),4))</f>
        <v>0</v>
      </c>
      <c r="J95" s="606"/>
      <c r="K95" s="182"/>
      <c r="L95" s="174"/>
      <c r="M95" s="143"/>
      <c r="N95" s="171"/>
      <c r="O95" s="140"/>
      <c r="P95" s="204"/>
      <c r="Q95" s="193"/>
      <c r="R95" s="193"/>
      <c r="S95" s="26"/>
      <c r="T95" s="26"/>
      <c r="U95" s="280"/>
      <c r="V95" s="280"/>
      <c r="W95" s="280"/>
      <c r="X95" s="280"/>
    </row>
    <row r="96" spans="1:24" s="22" customFormat="1" ht="15.75" customHeight="1">
      <c r="B96" s="418"/>
      <c r="C96" s="600">
        <f>IF(B91="","",VLOOKUP(B91,Espesor!$C$8:$E$41,2))</f>
        <v>0</v>
      </c>
      <c r="D96" s="168"/>
      <c r="E96" s="185" t="s">
        <v>114</v>
      </c>
      <c r="F96" s="186">
        <f>IF(B91="","",IF(M94="LY",IF(E92&lt;0.5,IF(H91=0,1/12,IF(H91=1,3/8,IF(H91=2,0,0.5))),IF(H91=4,VLOOKUP(E92,COEFICIENTES!$A$8:$N$58,3),IF(H91=3,VLOOKUP(E92,COEFICIENTES!$A$8:$N$58,6),IF(H91=2,VLOOKUP(E92,COEFICIENTES!$A$8:$N$58,9),IF(H91=1,VLOOKUP(E92,COEFICIENTES!$A$8:$N$58,12),VLOOKUP(E92,COEFICIENTES!$A$8:$N$58,14)))))),IF(H91=4,COEFICIENTES!$C$60,IF(H91=3,COEFICIENTES!$F$60,IF(H91=2,COEFICIENTES!$I$60,IF(H91=1,COEFICIENTES!$L$60,COEFICIENTES!$N$60))))))</f>
        <v>0.5</v>
      </c>
      <c r="G96" s="153"/>
      <c r="H96" s="185" t="s">
        <v>115</v>
      </c>
      <c r="I96" s="606">
        <f>IF(F96="",0,ROUND(F96*LOOKUP(B$91,Espesor!$C$8:$C$41,Espesor!$Z$8:$Z$41)*POWER(MIN(C$96,D$94),2),4))</f>
        <v>0</v>
      </c>
      <c r="J96" s="606"/>
      <c r="K96" s="182"/>
      <c r="L96" s="174"/>
      <c r="M96" s="171"/>
      <c r="N96" s="171"/>
      <c r="O96" s="140"/>
      <c r="P96" s="204"/>
      <c r="Q96" s="193"/>
      <c r="R96" s="193"/>
      <c r="S96" s="26"/>
      <c r="T96" s="26"/>
      <c r="U96" s="280"/>
      <c r="V96" s="280"/>
      <c r="W96" s="280"/>
      <c r="X96" s="280"/>
    </row>
    <row r="97" spans="1:24" s="22" customFormat="1" ht="15.75" customHeight="1">
      <c r="B97" s="418"/>
      <c r="C97" s="601"/>
      <c r="D97" s="168"/>
      <c r="E97" s="185"/>
      <c r="F97" s="147"/>
      <c r="G97" s="153"/>
      <c r="H97" s="153"/>
      <c r="I97" s="188"/>
      <c r="J97" s="185"/>
      <c r="K97" s="178"/>
      <c r="L97" s="178"/>
      <c r="M97" s="171"/>
      <c r="N97" s="171"/>
      <c r="O97" s="135"/>
      <c r="P97" s="204"/>
      <c r="Q97" s="193"/>
      <c r="R97" s="193"/>
      <c r="S97" s="26"/>
      <c r="T97" s="26"/>
      <c r="U97" s="280"/>
      <c r="V97" s="280"/>
      <c r="W97" s="280"/>
      <c r="X97" s="280"/>
    </row>
    <row r="98" spans="1:24" s="22" customFormat="1" ht="15.95" customHeight="1">
      <c r="B98" s="418"/>
      <c r="C98" s="179"/>
      <c r="D98" s="168"/>
      <c r="E98" s="185"/>
      <c r="F98" s="147"/>
      <c r="G98" s="153"/>
      <c r="H98" s="153"/>
      <c r="I98" s="188"/>
      <c r="J98" s="185"/>
      <c r="K98" s="178"/>
      <c r="L98" s="178"/>
      <c r="M98" s="171"/>
      <c r="N98" s="171"/>
      <c r="O98" s="135"/>
      <c r="P98" s="204"/>
      <c r="Q98" s="193"/>
      <c r="R98" s="193"/>
      <c r="S98" s="26"/>
      <c r="T98" s="26"/>
      <c r="U98" s="280"/>
      <c r="V98" s="280"/>
      <c r="W98" s="280"/>
      <c r="X98" s="280"/>
    </row>
    <row r="99" spans="1:24" s="22" customFormat="1" ht="15.95" customHeight="1">
      <c r="A99" s="347" t="str">
        <f>+Espesor!B20</f>
        <v>Lt-</v>
      </c>
      <c r="B99" s="347">
        <f>IF(B91="","",IF(Espesor!$D$4&gt;=(B91+1),B91+1,""))</f>
        <v>13</v>
      </c>
      <c r="C99" s="604" t="str">
        <f>IF(B99&lt;=Espesor!$D$4,Espesor!$G$5,"")</f>
        <v>Losa armada en</v>
      </c>
      <c r="D99" s="604"/>
      <c r="E99" s="602" t="str">
        <f>IF(C99="","",LOOKUP(B99,Espesor!$C$8:$C$41,Espesor!$G$8:$G$41))</f>
        <v/>
      </c>
      <c r="F99" s="602"/>
      <c r="G99" s="602"/>
      <c r="H99" s="167" t="str">
        <f>IF(B99="","",LOOKUP(B99,Espesor!$C$8:$C$41,Espesor!$J$8:$J$41))</f>
        <v/>
      </c>
      <c r="I99" s="619" t="str">
        <f>IF(B99="","",IF(H99&gt;1,Espesor!$H$5,"Borde Discontinuo"))</f>
        <v>Bordes Discontinuos</v>
      </c>
      <c r="J99" s="619"/>
      <c r="K99" s="619"/>
      <c r="P99" s="191"/>
      <c r="Q99" s="193"/>
      <c r="R99" s="193"/>
      <c r="S99" s="26"/>
      <c r="T99" s="26"/>
      <c r="U99" s="280"/>
      <c r="V99" s="280"/>
      <c r="W99" s="280"/>
      <c r="X99" s="280"/>
    </row>
    <row r="100" spans="1:24" s="22" customFormat="1" ht="15.95" customHeight="1" thickBot="1">
      <c r="B100" s="418"/>
      <c r="C100" s="165"/>
      <c r="D100" s="175"/>
      <c r="E100" s="611">
        <f>IF(B99="","",LOOKUP(B99,Espesor!$C$8:$C$41,Espesor!$F$8:$F$41))</f>
        <v>0</v>
      </c>
      <c r="F100" s="611"/>
      <c r="G100" s="609" t="str">
        <f>IF(B99="","",LOOKUP(B99,Espesor!$C$8:$C$41,Espesor!$K$8:$K$41))</f>
        <v/>
      </c>
      <c r="H100" s="609"/>
      <c r="I100" s="609"/>
      <c r="J100" s="145" t="str">
        <f>IF(B99="","",IF(E100&lt;0.5,"","alfa ="))</f>
        <v/>
      </c>
      <c r="K100" s="146" t="str">
        <f>IF(B99="","",IF(E100&lt;0.5,"",(3-(E100)^2)/2))</f>
        <v/>
      </c>
      <c r="L100" s="162">
        <f>+IF(E100&lt;0.5,IF(H99=0,0.5,IF(H99=1,5/8,IF(H99=2,0.5,1))),"")</f>
        <v>1</v>
      </c>
      <c r="M100" s="176"/>
      <c r="N100" s="176"/>
      <c r="O100" s="135"/>
      <c r="P100" s="204"/>
      <c r="Q100" s="193"/>
      <c r="R100" s="193"/>
      <c r="S100" s="26"/>
      <c r="T100" s="26"/>
      <c r="U100" s="280"/>
      <c r="V100" s="280"/>
      <c r="W100" s="280"/>
      <c r="X100" s="280"/>
    </row>
    <row r="101" spans="1:24" s="22" customFormat="1" ht="15.95" customHeight="1">
      <c r="B101" s="418"/>
      <c r="C101" s="616"/>
      <c r="D101" s="168"/>
      <c r="E101" s="185" t="s">
        <v>108</v>
      </c>
      <c r="F101" s="186">
        <f>IF(B99="","",IF(M102="LX",IF(E100&lt;0.5,IF(H99=0,1/24,IF(H99=1,9/125,IF(H99=2,1/8,0))),IF(H99=4,VLOOKUP(E100,COEFICIENTES!$A$8:$N$58,2),IF(H99=3,VLOOKUP(E100,COEFICIENTES!$A$8:$N$58,4),IF(H99=2,VLOOKUP(E100,COEFICIENTES!$A$8:$N$58,7),IF(H99=1,VLOOKUP(E100,COEFICIENTES!$A$8:$N$58,10),VLOOKUP(E100,COEFICIENTES!$A$8:$N$58,13)))))),IF(H99=4,COEFICIENTES!$B$60,IF(H99=3,COEFICIENTES!$D$60,IF(H99=2,COEFICIENTES!$G$60,IF(H99=1,COEFICIENTES!$J$60,COEFICIENTES!$M$60))))))</f>
        <v>2.5000000000000001E-2</v>
      </c>
      <c r="G101" s="187"/>
      <c r="H101" s="185" t="s">
        <v>109</v>
      </c>
      <c r="I101" s="606">
        <f>IF(F101="",0,ROUND(F101*LOOKUP(B$99,Espesor!$C$8:$C$41,Espesor!$Z$8:$Z$41)*POWER(MIN(C$104,D$102),2),4))</f>
        <v>0</v>
      </c>
      <c r="J101" s="606"/>
      <c r="K101" s="607">
        <f>IF(M102="LY",LOOKUP(B99,Espesor!$C$8:$C$41,Espesor!$AA$8:$AA$41),LOOKUP(B99,Espesor!$C$8:$C$41,Espesor!$AB$8:$AB$41))</f>
        <v>0</v>
      </c>
      <c r="L101" s="607"/>
      <c r="M101" s="143"/>
      <c r="N101" s="171"/>
      <c r="O101" s="140"/>
      <c r="P101" s="204"/>
      <c r="Q101" s="193"/>
      <c r="R101" s="193"/>
      <c r="S101" s="26"/>
      <c r="T101" s="26"/>
      <c r="U101" s="280"/>
      <c r="V101" s="280"/>
      <c r="W101" s="280"/>
      <c r="X101" s="280"/>
    </row>
    <row r="102" spans="1:24" s="22" customFormat="1" ht="15.95" customHeight="1">
      <c r="B102" s="418"/>
      <c r="C102" s="617"/>
      <c r="D102" s="169">
        <f>IF(B99="","",VLOOKUP(B99,Espesor!$C$8:$E$41,3))</f>
        <v>0</v>
      </c>
      <c r="E102" s="185" t="s">
        <v>110</v>
      </c>
      <c r="F102" s="186">
        <f>IF(B99="","",IF(M102="LX",IF(E100&lt;0.5,IF(H99=0,1/12,IF(H99=1,3/8,IF(H99=2,0,0.5))),IF(H99=4,VLOOKUP(E100,COEFICIENTES!$A$8:$N$58,3),IF(H99=3,VLOOKUP(E100,COEFICIENTES!$A$8:$N$58,6),IF(H99=2,VLOOKUP(E100,COEFICIENTES!$A$8:$N$58,9),IF(H99=1,VLOOKUP(E100,COEFICIENTES!$A$8:$N$58,12),VLOOKUP(E100,COEFICIENTES!$A$8:$N$58,14)))))),IF(H99=4,COEFICIENTES!$C$60,IF(H99=3,COEFICIENTES!$F$60,IF(H99=2,COEFICIENTES!$I$60,IF(H99=1,COEFICIENTES!$L$60,COEFICIENTES!$N$60))))))</f>
        <v>3.3000000000000002E-2</v>
      </c>
      <c r="G102" s="153"/>
      <c r="H102" s="185" t="s">
        <v>111</v>
      </c>
      <c r="I102" s="606">
        <f>IF(F102="",0,ROUND(F102*LOOKUP(B$99,Espesor!$C$8:$C$41,Espesor!$Z$8:$Z$41)*POWER(MIN(C$104,D$102),2),4))</f>
        <v>0</v>
      </c>
      <c r="J102" s="606"/>
      <c r="K102" s="608">
        <f>IF(M102="LX",LOOKUP(B99,Espesor!$C$8:$C$41,Espesor!$AA$8:$AA$41),LOOKUP(B99,Espesor!$C$8:$C$41,Espesor!$AB$8:$AB$41))</f>
        <v>0</v>
      </c>
      <c r="L102" s="608"/>
      <c r="M102" s="170" t="str">
        <f>+IF(MIN(C104,D102)=D102,"LY","LX")</f>
        <v>LY</v>
      </c>
      <c r="N102" s="171" t="str">
        <f>+IF(M102="","",IF(M102="LY","LX","LY"))</f>
        <v>LX</v>
      </c>
      <c r="O102" s="140"/>
      <c r="P102" s="204"/>
      <c r="Q102" s="193"/>
      <c r="R102" s="193"/>
      <c r="S102" s="26"/>
      <c r="T102" s="26"/>
      <c r="U102" s="280"/>
      <c r="V102" s="280"/>
      <c r="W102" s="280"/>
      <c r="X102" s="280"/>
    </row>
    <row r="103" spans="1:24" s="22" customFormat="1" ht="15.95" customHeight="1" thickBot="1">
      <c r="B103" s="418"/>
      <c r="C103" s="618"/>
      <c r="D103" s="168"/>
      <c r="E103" s="185" t="s">
        <v>112</v>
      </c>
      <c r="F103" s="186">
        <f>IF(B99="","",IF(M102="LY",IF(E100&lt;0.5,IF(H99=0,1/24,IF(H99=1,9/125,IF(H99=2,1/8,0))),IF(H99=4,VLOOKUP(E100,COEFICIENTES!$A$8:$N$58,2),IF(H99=3,VLOOKUP(E100,COEFICIENTES!$A$8:$N$58,4),IF(H99=2,VLOOKUP(E100,COEFICIENTES!$A$8:$N$58,7),IF(H99=1,VLOOKUP(E100,COEFICIENTES!$A$8:$N$58,10),VLOOKUP(E100,COEFICIENTES!$A$8:$N$58,13)))))),IF(H99=4,COEFICIENTES!$B$60,IF(H99=3,COEFICIENTES!$D$60,IF(H99=2,COEFICIENTES!$G$60,IF(H99=1,COEFICIENTES!$J$60,COEFICIENTES!$M$60))))))</f>
        <v>0</v>
      </c>
      <c r="G103" s="153"/>
      <c r="H103" s="185" t="s">
        <v>113</v>
      </c>
      <c r="I103" s="606">
        <f>IF(F103="",0,ROUND(F103*LOOKUP(B$99,Espesor!$C$8:$C$41,Espesor!$Z$8:$Z$41)*POWER(MIN(C$104,D$102),2),4))</f>
        <v>0</v>
      </c>
      <c r="J103" s="606"/>
      <c r="K103" s="182"/>
      <c r="L103" s="174"/>
      <c r="M103" s="143"/>
      <c r="N103" s="171"/>
      <c r="O103" s="140"/>
      <c r="P103" s="204"/>
      <c r="Q103" s="193"/>
      <c r="R103" s="193"/>
      <c r="S103" s="26"/>
      <c r="T103" s="26"/>
      <c r="U103" s="280"/>
      <c r="V103" s="280"/>
      <c r="W103" s="280"/>
      <c r="X103" s="280"/>
    </row>
    <row r="104" spans="1:24" s="22" customFormat="1" ht="15.95" customHeight="1">
      <c r="B104" s="418"/>
      <c r="C104" s="600">
        <f>IF(B99="","",VLOOKUP(B99,Espesor!$C$8:$E$41,2))</f>
        <v>0</v>
      </c>
      <c r="D104" s="168"/>
      <c r="E104" s="185" t="s">
        <v>114</v>
      </c>
      <c r="F104" s="186">
        <f>IF(B99="","",IF(M102="LY",IF(E100&lt;0.5,IF(H99=0,1/12,IF(H99=1,3/8,IF(H99=2,0,0.5))),IF(H99=4,VLOOKUP(E100,COEFICIENTES!$A$8:$N$58,3),IF(H99=3,VLOOKUP(E100,COEFICIENTES!$A$8:$N$58,6),IF(H99=2,VLOOKUP(E100,COEFICIENTES!$A$8:$N$58,9),IF(H99=1,VLOOKUP(E100,COEFICIENTES!$A$8:$N$58,12),VLOOKUP(E100,COEFICIENTES!$A$8:$N$58,14)))))),IF(H99=4,COEFICIENTES!$C$60,IF(H99=3,COEFICIENTES!$F$60,IF(H99=2,COEFICIENTES!$I$60,IF(H99=1,COEFICIENTES!$L$60,COEFICIENTES!$N$60))))))</f>
        <v>0.5</v>
      </c>
      <c r="G104" s="153"/>
      <c r="H104" s="185" t="s">
        <v>115</v>
      </c>
      <c r="I104" s="606">
        <f>IF(F104="",0,ROUND(F104*LOOKUP(B$99,Espesor!$C$8:$C$41,Espesor!$Z$8:$Z$41)*POWER(MIN(C$104,D$102),2),4))</f>
        <v>0</v>
      </c>
      <c r="J104" s="606"/>
      <c r="K104" s="182"/>
      <c r="L104" s="174"/>
      <c r="M104" s="143"/>
      <c r="N104" s="171"/>
      <c r="O104" s="140"/>
      <c r="P104" s="204"/>
      <c r="Q104" s="193"/>
      <c r="R104" s="193"/>
      <c r="S104" s="26"/>
      <c r="T104" s="26"/>
      <c r="U104" s="280"/>
      <c r="V104" s="280"/>
      <c r="W104" s="280"/>
      <c r="X104" s="280"/>
    </row>
    <row r="105" spans="1:24" s="22" customFormat="1" ht="15.95" customHeight="1">
      <c r="B105" s="418"/>
      <c r="C105" s="601"/>
      <c r="D105" s="168"/>
      <c r="E105" s="185"/>
      <c r="F105" s="147"/>
      <c r="G105" s="153"/>
      <c r="H105" s="153"/>
      <c r="I105" s="198"/>
      <c r="J105" s="189"/>
      <c r="K105" s="178"/>
      <c r="L105" s="178"/>
      <c r="M105" s="143"/>
      <c r="N105" s="171"/>
      <c r="O105" s="140"/>
      <c r="P105" s="204"/>
      <c r="Q105" s="193"/>
      <c r="R105" s="193"/>
      <c r="S105" s="26"/>
      <c r="T105" s="26"/>
      <c r="U105" s="280"/>
      <c r="V105" s="280"/>
      <c r="W105" s="280"/>
      <c r="X105" s="280"/>
    </row>
    <row r="106" spans="1:24" s="22" customFormat="1" ht="15.95" customHeight="1">
      <c r="B106" s="418"/>
      <c r="C106" s="179"/>
      <c r="D106" s="168"/>
      <c r="E106" s="185"/>
      <c r="F106" s="147"/>
      <c r="G106" s="153"/>
      <c r="H106" s="153"/>
      <c r="I106" s="198"/>
      <c r="J106" s="189"/>
      <c r="K106" s="178"/>
      <c r="L106" s="178"/>
      <c r="M106" s="143"/>
      <c r="N106" s="171"/>
      <c r="O106" s="140"/>
      <c r="P106" s="204"/>
      <c r="Q106" s="193"/>
      <c r="R106" s="193"/>
      <c r="S106" s="26"/>
      <c r="T106" s="26"/>
      <c r="U106" s="280"/>
      <c r="V106" s="280"/>
      <c r="W106" s="280"/>
      <c r="X106" s="280"/>
    </row>
    <row r="107" spans="1:24" s="22" customFormat="1" ht="15.95" customHeight="1">
      <c r="A107" s="347" t="str">
        <f>+Espesor!B21</f>
        <v>Lt-</v>
      </c>
      <c r="B107" s="347">
        <f>IF(B99="","",IF(Espesor!$D$4&gt;=(B99+1),B99+1,""))</f>
        <v>14</v>
      </c>
      <c r="C107" s="604" t="str">
        <f>IF(B107&lt;=Espesor!$D$4,Espesor!$G$5,"")</f>
        <v>Losa armada en</v>
      </c>
      <c r="D107" s="604"/>
      <c r="E107" s="602" t="str">
        <f>IF(C107="","",LOOKUP(B107,Espesor!$C$8:$C$41,Espesor!$G$8:$G$41))</f>
        <v/>
      </c>
      <c r="F107" s="602"/>
      <c r="G107" s="602"/>
      <c r="H107" s="167" t="str">
        <f>IF(B107="","",LOOKUP(B107,Espesor!$C$8:$C$41,Espesor!$J$8:$J$41))</f>
        <v/>
      </c>
      <c r="I107" s="619" t="str">
        <f>IF(B107="","",IF(H107&gt;1,Espesor!$H$5,"Borde Discontinuo"))</f>
        <v>Bordes Discontinuos</v>
      </c>
      <c r="J107" s="619"/>
      <c r="K107" s="619"/>
      <c r="P107" s="191"/>
      <c r="Q107" s="193"/>
      <c r="R107" s="193"/>
      <c r="S107" s="26"/>
      <c r="T107" s="26"/>
      <c r="U107" s="280"/>
      <c r="V107" s="280"/>
      <c r="W107" s="280"/>
      <c r="X107" s="280"/>
    </row>
    <row r="108" spans="1:24" s="22" customFormat="1" ht="15.95" customHeight="1" thickBot="1">
      <c r="B108" s="418"/>
      <c r="C108" s="165"/>
      <c r="D108" s="175"/>
      <c r="E108" s="611">
        <f>IF(B107="","",LOOKUP(B107,Espesor!$C$8:$C$41,Espesor!$F$8:$F$41))</f>
        <v>0</v>
      </c>
      <c r="F108" s="611"/>
      <c r="G108" s="609" t="str">
        <f>IF(B107="","",LOOKUP(B107,Espesor!$C$8:$C$41,Espesor!$K$8:$K$41))</f>
        <v/>
      </c>
      <c r="H108" s="609"/>
      <c r="I108" s="609"/>
      <c r="J108" s="145" t="str">
        <f>IF(B107="","",IF(E108&lt;0.5,"","alfa ="))</f>
        <v/>
      </c>
      <c r="K108" s="146" t="str">
        <f>IF(B107="","",IF(E108&lt;0.5,"",(3-(E108)^2)/2))</f>
        <v/>
      </c>
      <c r="L108" s="162">
        <f>+IF(E108&lt;0.5,IF(H107=0,0.5,IF(H107=1,5/8,IF(H107=2,0.5,1))),"")</f>
        <v>1</v>
      </c>
      <c r="M108" s="143"/>
      <c r="N108" s="176"/>
      <c r="O108" s="140"/>
      <c r="P108" s="204"/>
      <c r="Q108" s="193"/>
      <c r="R108" s="193"/>
      <c r="S108" s="26"/>
      <c r="T108" s="26"/>
      <c r="U108" s="280"/>
      <c r="V108" s="280"/>
      <c r="W108" s="280"/>
      <c r="X108" s="280"/>
    </row>
    <row r="109" spans="1:24" s="22" customFormat="1" ht="15.95" customHeight="1">
      <c r="B109" s="418"/>
      <c r="C109" s="616"/>
      <c r="D109" s="168"/>
      <c r="E109" s="185" t="s">
        <v>108</v>
      </c>
      <c r="F109" s="186">
        <f>IF(B107="","",IF(M110="LX",IF(E108&lt;0.5,IF(H107=0,1/24,IF(H107=1,9/125,IF(H107=2,1/8,0))),IF(H107=4,VLOOKUP(E108,COEFICIENTES!$A$8:$N$58,2),IF(H107=3,VLOOKUP(E108,COEFICIENTES!$A$8:$N$58,4),IF(H107=2,VLOOKUP(E108,COEFICIENTES!$A$8:$N$58,7),IF(H107=1,VLOOKUP(E108,COEFICIENTES!$A$8:$N$58,10),VLOOKUP(E108,COEFICIENTES!$A$8:$N$58,13)))))),IF(H107=4,COEFICIENTES!$B$60,IF(H107=3,COEFICIENTES!$D$60,IF(H107=2,COEFICIENTES!$G$60,IF(H107=1,COEFICIENTES!$J$60,COEFICIENTES!$M$60))))))</f>
        <v>2.5000000000000001E-2</v>
      </c>
      <c r="G109" s="187"/>
      <c r="H109" s="185" t="s">
        <v>109</v>
      </c>
      <c r="I109" s="606">
        <f>IF(F109="",0,ROUND(F109*LOOKUP(B$107,Espesor!$C$8:$C$41,Espesor!$Z$8:$Z$41)*POWER(MIN(C$112,D$110),2),4))</f>
        <v>0</v>
      </c>
      <c r="J109" s="606"/>
      <c r="K109" s="607">
        <f>IF(M110="LY",LOOKUP(B107,Espesor!$C$8:$C$41,Espesor!$AA$8:$AA$41),LOOKUP(B107,Espesor!$C$8:$C$41,Espesor!$AB$8:$AB$41))</f>
        <v>0</v>
      </c>
      <c r="L109" s="607"/>
      <c r="M109" s="143"/>
      <c r="N109" s="171"/>
      <c r="O109" s="140"/>
      <c r="P109" s="204"/>
      <c r="Q109" s="193"/>
      <c r="R109" s="193"/>
      <c r="S109" s="26"/>
      <c r="T109" s="26"/>
      <c r="U109" s="280"/>
      <c r="V109" s="280"/>
      <c r="W109" s="280"/>
      <c r="X109" s="280"/>
    </row>
    <row r="110" spans="1:24" s="22" customFormat="1" ht="15.95" customHeight="1">
      <c r="B110" s="418"/>
      <c r="C110" s="617"/>
      <c r="D110" s="169">
        <f>IF(B107="","",VLOOKUP(B107,Espesor!$C$8:$E$41,3))</f>
        <v>0</v>
      </c>
      <c r="E110" s="185" t="s">
        <v>110</v>
      </c>
      <c r="F110" s="186">
        <f>IF(B107="","",IF(M110="LX",IF(E108&lt;0.5,IF(H107=0,1/12,IF(H107=1,3/8,IF(H107=2,0,0.5))),IF(H107=4,VLOOKUP(E108,COEFICIENTES!$A$8:$N$58,3),IF(H107=3,VLOOKUP(E108,COEFICIENTES!$A$8:$N$58,6),IF(H107=2,VLOOKUP(E108,COEFICIENTES!$A$8:$N$58,9),IF(H107=1,VLOOKUP(E108,COEFICIENTES!$A$8:$N$58,12),VLOOKUP(E108,COEFICIENTES!$A$8:$N$58,14)))))),IF(H107=4,COEFICIENTES!$C$60,IF(H107=3,COEFICIENTES!$F$60,IF(H107=2,COEFICIENTES!$I$60,IF(H107=1,COEFICIENTES!$L$60,COEFICIENTES!$N$60))))))</f>
        <v>3.3000000000000002E-2</v>
      </c>
      <c r="G110" s="153"/>
      <c r="H110" s="185" t="s">
        <v>111</v>
      </c>
      <c r="I110" s="606">
        <f>IF(F110="",0,ROUND(F110*LOOKUP(B$107,Espesor!$C$8:$C$41,Espesor!$Z$8:$Z$41)*POWER(MIN(C$112,D$110),2),4))</f>
        <v>0</v>
      </c>
      <c r="J110" s="606"/>
      <c r="K110" s="608">
        <f>IF(M110="LX",LOOKUP(B107,Espesor!$C$8:$C$41,Espesor!$AA$8:$AA$41),LOOKUP(B107,Espesor!$C$8:$C$41,Espesor!$AB$8:$AB$41))</f>
        <v>0</v>
      </c>
      <c r="L110" s="608"/>
      <c r="M110" s="170" t="str">
        <f>+IF(MIN(C112,D110)=D110,"LY","LX")</f>
        <v>LY</v>
      </c>
      <c r="N110" s="171" t="str">
        <f>+IF(M110="","",IF(M110="LY","LX","LY"))</f>
        <v>LX</v>
      </c>
      <c r="O110" s="140"/>
      <c r="P110" s="204"/>
      <c r="Q110" s="193"/>
      <c r="R110" s="193"/>
      <c r="S110" s="26"/>
      <c r="T110" s="26"/>
      <c r="U110" s="280"/>
      <c r="V110" s="280"/>
      <c r="W110" s="280"/>
      <c r="X110" s="280"/>
    </row>
    <row r="111" spans="1:24" s="22" customFormat="1" ht="15.95" customHeight="1" thickBot="1">
      <c r="B111" s="418"/>
      <c r="C111" s="618"/>
      <c r="D111" s="168"/>
      <c r="E111" s="185" t="s">
        <v>112</v>
      </c>
      <c r="F111" s="186">
        <f>IF(B107="","",IF(M110="LY",IF(E108&lt;0.5,IF(H107=0,1/24,IF(H107=1,9/125,IF(H107=2,1/8,0))),IF(H107=4,VLOOKUP(E108,COEFICIENTES!$A$8:$N$58,2),IF(H107=3,VLOOKUP(E108,COEFICIENTES!$A$8:$N$58,4),IF(H107=2,VLOOKUP(E108,COEFICIENTES!$A$8:$N$58,7),IF(H107=1,VLOOKUP(E108,COEFICIENTES!$A$8:$N$58,10),VLOOKUP(E108,COEFICIENTES!$A$8:$N$58,13)))))),IF(H107=4,COEFICIENTES!$B$60,IF(H107=3,COEFICIENTES!$D$60,IF(H107=2,COEFICIENTES!$G$60,IF(H107=1,COEFICIENTES!$J$60,COEFICIENTES!$M$60))))))</f>
        <v>0</v>
      </c>
      <c r="G111" s="153"/>
      <c r="H111" s="185" t="s">
        <v>113</v>
      </c>
      <c r="I111" s="606">
        <f>IF(F111="",0,ROUND(F111*LOOKUP(B$107,Espesor!$C$8:$C$41,Espesor!$Z$8:$Z$41)*POWER(MIN(C$112,D$110),2),4))</f>
        <v>0</v>
      </c>
      <c r="J111" s="606"/>
      <c r="K111" s="182"/>
      <c r="L111" s="174"/>
      <c r="M111" s="143"/>
      <c r="N111" s="171"/>
      <c r="O111" s="140"/>
      <c r="P111" s="204"/>
      <c r="Q111" s="193"/>
      <c r="R111" s="193"/>
      <c r="S111" s="26"/>
      <c r="T111" s="26"/>
      <c r="U111" s="280"/>
      <c r="V111" s="280"/>
      <c r="W111" s="280"/>
      <c r="X111" s="280"/>
    </row>
    <row r="112" spans="1:24" s="22" customFormat="1" ht="15.95" customHeight="1">
      <c r="B112" s="418"/>
      <c r="C112" s="600">
        <f>IF(B107="","",VLOOKUP(B107,Espesor!$C$8:$E$41,2))</f>
        <v>0</v>
      </c>
      <c r="D112" s="168"/>
      <c r="E112" s="185" t="s">
        <v>114</v>
      </c>
      <c r="F112" s="186">
        <f>IF(B107="","",IF(M110="LY",IF(E108&lt;0.5,IF(H107=0,1/12,IF(H107=1,3/8,IF(H107=2,0,0.5))),IF(H107=4,VLOOKUP(E108,COEFICIENTES!$A$8:$N$58,3),IF(H107=3,VLOOKUP(E108,COEFICIENTES!$A$8:$N$58,6),IF(H107=2,VLOOKUP(E108,COEFICIENTES!$A$8:$N$58,9),IF(H107=1,VLOOKUP(E108,COEFICIENTES!$A$8:$N$58,12),VLOOKUP(E108,COEFICIENTES!$A$8:$N$58,14)))))),IF(H107=4,COEFICIENTES!$C$60,IF(H107=3,COEFICIENTES!$F$60,IF(H107=2,COEFICIENTES!$I$60,IF(H107=1,COEFICIENTES!$L$60,COEFICIENTES!$N$60))))))</f>
        <v>0.5</v>
      </c>
      <c r="G112" s="153"/>
      <c r="H112" s="185" t="s">
        <v>115</v>
      </c>
      <c r="I112" s="606">
        <f>IF(F112="",0,ROUND(F112*LOOKUP(B$107,Espesor!$C$8:$C$41,Espesor!$Z$8:$Z$41)*POWER(MIN(C$112,D$110),2),4))</f>
        <v>0</v>
      </c>
      <c r="J112" s="606"/>
      <c r="K112" s="182"/>
      <c r="L112" s="174"/>
      <c r="M112" s="171"/>
      <c r="N112" s="171"/>
      <c r="O112" s="140"/>
      <c r="P112" s="204"/>
      <c r="Q112" s="193"/>
      <c r="R112" s="193"/>
      <c r="S112" s="26"/>
      <c r="T112" s="26"/>
      <c r="U112" s="280"/>
      <c r="V112" s="280"/>
      <c r="W112" s="280"/>
      <c r="X112" s="280"/>
    </row>
    <row r="113" spans="1:24" s="22" customFormat="1" ht="15.95" customHeight="1">
      <c r="B113" s="418"/>
      <c r="C113" s="601"/>
      <c r="D113" s="168"/>
      <c r="E113" s="185"/>
      <c r="F113" s="147"/>
      <c r="G113" s="153"/>
      <c r="H113" s="153"/>
      <c r="I113" s="188"/>
      <c r="J113" s="185"/>
      <c r="K113" s="178"/>
      <c r="L113" s="178"/>
      <c r="M113" s="171"/>
      <c r="N113" s="171"/>
      <c r="O113" s="135"/>
      <c r="P113" s="204"/>
      <c r="Q113" s="193"/>
      <c r="R113" s="193"/>
      <c r="S113" s="26"/>
      <c r="T113" s="26"/>
      <c r="U113" s="280"/>
      <c r="V113" s="280"/>
      <c r="W113" s="280"/>
      <c r="X113" s="280"/>
    </row>
    <row r="114" spans="1:24" s="22" customFormat="1" ht="15.95" customHeight="1">
      <c r="B114" s="418"/>
      <c r="C114" s="184"/>
      <c r="D114" s="168"/>
      <c r="E114" s="185"/>
      <c r="F114" s="147"/>
      <c r="G114" s="153"/>
      <c r="H114" s="153"/>
      <c r="I114" s="188"/>
      <c r="J114" s="185"/>
      <c r="K114" s="178"/>
      <c r="L114" s="178"/>
      <c r="M114" s="171"/>
      <c r="N114" s="171"/>
      <c r="O114" s="135"/>
      <c r="P114" s="204"/>
      <c r="Q114" s="193"/>
      <c r="R114" s="193"/>
      <c r="S114" s="26"/>
      <c r="T114" s="26"/>
      <c r="U114" s="280"/>
      <c r="V114" s="280"/>
      <c r="W114" s="280"/>
      <c r="X114" s="280"/>
    </row>
    <row r="115" spans="1:24" s="22" customFormat="1" ht="15.95" customHeight="1">
      <c r="A115" s="347" t="str">
        <f>+Espesor!B22</f>
        <v>Lt-</v>
      </c>
      <c r="B115" s="347">
        <f>IF(B107="","",IF(Espesor!$D$4&gt;=(B107+1),B107+1,""))</f>
        <v>15</v>
      </c>
      <c r="C115" s="604" t="str">
        <f>IF(B115&lt;=Espesor!$D$4,Espesor!$G$5,"")</f>
        <v>Losa armada en</v>
      </c>
      <c r="D115" s="604"/>
      <c r="E115" s="602" t="str">
        <f>IF(C115="","",LOOKUP(B115,Espesor!$C$8:$C$41,Espesor!$G$8:$G$41))</f>
        <v/>
      </c>
      <c r="F115" s="602"/>
      <c r="G115" s="602"/>
      <c r="H115" s="167" t="str">
        <f>IF(B115="","",LOOKUP(B115,Espesor!$C$8:$C$41,Espesor!$J$8:$J$41))</f>
        <v/>
      </c>
      <c r="I115" s="619" t="str">
        <f>IF(B115="","",IF(H115&gt;1,Espesor!$H$5,"Borde Discontinuo"))</f>
        <v>Bordes Discontinuos</v>
      </c>
      <c r="J115" s="619"/>
      <c r="K115" s="619"/>
      <c r="P115" s="191"/>
      <c r="Q115" s="193"/>
      <c r="R115" s="193"/>
      <c r="S115" s="26"/>
      <c r="T115" s="26"/>
      <c r="U115" s="280"/>
      <c r="V115" s="280"/>
      <c r="W115" s="280"/>
      <c r="X115" s="280"/>
    </row>
    <row r="116" spans="1:24" s="22" customFormat="1" ht="15.95" customHeight="1" thickBot="1">
      <c r="B116" s="418"/>
      <c r="C116" s="165"/>
      <c r="D116" s="175"/>
      <c r="E116" s="611">
        <f>IF(B115="","",LOOKUP(B115,Espesor!$C$8:$C$41,Espesor!$F$8:$F$41))</f>
        <v>0</v>
      </c>
      <c r="F116" s="611"/>
      <c r="G116" s="609" t="str">
        <f>IF(B115="","",LOOKUP(B115,Espesor!$C$8:$C$41,Espesor!$K$8:$K$41))</f>
        <v/>
      </c>
      <c r="H116" s="609"/>
      <c r="I116" s="609"/>
      <c r="J116" s="145" t="str">
        <f>IF(B115="","",IF(E116&lt;0.5,"","alfa ="))</f>
        <v/>
      </c>
      <c r="K116" s="146" t="str">
        <f>IF(B115="","",IF(E116&lt;0.5,"",(3-(E116)^2)/2))</f>
        <v/>
      </c>
      <c r="L116" s="162">
        <f>+IF(E116&lt;0.5,IF(H115=0,0.5,IF(H115=1,5/8,IF(H115=2,0.5,1))),"")</f>
        <v>1</v>
      </c>
      <c r="M116" s="143"/>
      <c r="N116" s="176"/>
      <c r="O116" s="135"/>
      <c r="P116" s="204"/>
      <c r="Q116" s="193"/>
      <c r="R116" s="193"/>
      <c r="S116" s="26"/>
      <c r="T116" s="26"/>
      <c r="U116" s="280"/>
      <c r="V116" s="280"/>
      <c r="W116" s="280"/>
      <c r="X116" s="280"/>
    </row>
    <row r="117" spans="1:24" s="22" customFormat="1" ht="15.95" customHeight="1">
      <c r="B117" s="418"/>
      <c r="C117" s="616"/>
      <c r="D117" s="168"/>
      <c r="E117" s="185" t="s">
        <v>108</v>
      </c>
      <c r="F117" s="186">
        <f>IF(B115="","",IF(M118="LX",IF(E116&lt;0.5,IF(H115=0,1/24,IF(H115=1,9/125,IF(H115=2,1/8,0))),IF(H115=4,VLOOKUP(E116,COEFICIENTES!$A$8:$N$58,2),IF(H115=3,VLOOKUP(E116,COEFICIENTES!$A$8:$N$58,4),IF(H115=2,VLOOKUP(E116,COEFICIENTES!$A$8:$N$58,7),IF(H115=1,VLOOKUP(E116,COEFICIENTES!$A$8:$N$58,10),VLOOKUP(E116,COEFICIENTES!$A$8:$N$58,13)))))),IF(H115=4,COEFICIENTES!$B$60,IF(H115=3,COEFICIENTES!$D$60,IF(H115=2,COEFICIENTES!$G$60,IF(H115=1,COEFICIENTES!$J$60,COEFICIENTES!$M$60))))))</f>
        <v>2.5000000000000001E-2</v>
      </c>
      <c r="G117" s="187"/>
      <c r="H117" s="185" t="s">
        <v>109</v>
      </c>
      <c r="I117" s="606">
        <f>IF(F117="",0,ROUND(F117*LOOKUP(B$115,Espesor!$C$8:$C$41,Espesor!$Z$8:$Z$41)*POWER(MIN(C$120,D$118),2),4))</f>
        <v>0</v>
      </c>
      <c r="J117" s="606"/>
      <c r="K117" s="607">
        <f>IF(M118="LY",LOOKUP(B115,Espesor!$C$8:$C$41,Espesor!$AA$8:$AA$41),LOOKUP(B115,Espesor!$C$8:$C$41,Espesor!$AB$8:$AB$41))</f>
        <v>0</v>
      </c>
      <c r="L117" s="607"/>
      <c r="M117" s="143"/>
      <c r="N117" s="171"/>
      <c r="O117" s="140"/>
      <c r="P117" s="204"/>
      <c r="Q117" s="193"/>
      <c r="R117" s="193"/>
      <c r="S117" s="26"/>
      <c r="T117" s="26"/>
      <c r="U117" s="280"/>
      <c r="V117" s="280"/>
      <c r="W117" s="280"/>
      <c r="X117" s="280"/>
    </row>
    <row r="118" spans="1:24" s="22" customFormat="1" ht="15.95" customHeight="1">
      <c r="B118" s="418"/>
      <c r="C118" s="617"/>
      <c r="D118" s="169">
        <f>IF(B115="","",VLOOKUP(B115,Espesor!$C$8:$E$41,3))</f>
        <v>0</v>
      </c>
      <c r="E118" s="185" t="s">
        <v>110</v>
      </c>
      <c r="F118" s="186">
        <f>IF(B115="","",IF(M118="LX",IF(E116&lt;0.5,IF(H115=0,1/12,IF(H115=1,3/8,IF(H115=2,0,0.5))),IF(H115=4,VLOOKUP(E116,COEFICIENTES!$A$8:$N$58,3),IF(H115=3,VLOOKUP(E116,COEFICIENTES!$A$8:$N$58,6),IF(H115=2,VLOOKUP(E116,COEFICIENTES!$A$8:$N$58,9),IF(H115=1,VLOOKUP(E116,COEFICIENTES!$A$8:$N$58,12),VLOOKUP(E116,COEFICIENTES!$A$8:$N$58,14)))))),IF(H115=4,COEFICIENTES!$C$60,IF(H115=3,COEFICIENTES!$F$60,IF(H115=2,COEFICIENTES!$I$60,IF(H115=1,COEFICIENTES!$L$60,COEFICIENTES!$N$60))))))</f>
        <v>3.3000000000000002E-2</v>
      </c>
      <c r="G118" s="153"/>
      <c r="H118" s="185" t="s">
        <v>111</v>
      </c>
      <c r="I118" s="606">
        <f>IF(F118="",0,ROUND(F118*LOOKUP(B$115,Espesor!$C$8:$C$41,Espesor!$Z$8:$Z$41)*POWER(MIN(C$120,D$118),2),4))</f>
        <v>0</v>
      </c>
      <c r="J118" s="606"/>
      <c r="K118" s="608">
        <f>IF(M118="LX",LOOKUP(B115,Espesor!$C$8:$C$41,Espesor!$AA$8:$AA$41),LOOKUP(B115,Espesor!$C$8:$C$41,Espesor!$AB$8:$AB$41))</f>
        <v>0</v>
      </c>
      <c r="L118" s="608"/>
      <c r="M118" s="170" t="str">
        <f>+IF(MIN(C120,D118)=D118,"LY","LX")</f>
        <v>LY</v>
      </c>
      <c r="N118" s="171" t="str">
        <f>+IF(M118="","",IF(M118="LY","LX","LY"))</f>
        <v>LX</v>
      </c>
      <c r="O118" s="140"/>
      <c r="P118" s="204"/>
      <c r="Q118" s="193"/>
      <c r="R118" s="193"/>
      <c r="S118" s="26"/>
      <c r="T118" s="26"/>
      <c r="U118" s="280"/>
      <c r="V118" s="280"/>
      <c r="W118" s="280"/>
      <c r="X118" s="280"/>
    </row>
    <row r="119" spans="1:24" s="22" customFormat="1" ht="15.95" customHeight="1" thickBot="1">
      <c r="B119" s="418"/>
      <c r="C119" s="618"/>
      <c r="D119" s="168"/>
      <c r="E119" s="185" t="s">
        <v>112</v>
      </c>
      <c r="F119" s="186">
        <f>IF(B115="","",IF(M118="LY",IF(E116&lt;0.5,IF(H115=0,1/24,IF(H115=1,9/125,IF(H115=2,1/8,0))),IF(H115=4,VLOOKUP(E116,COEFICIENTES!$A$8:$N$58,2),IF(H115=3,VLOOKUP(E116,COEFICIENTES!$A$8:$N$58,4),IF(H115=2,VLOOKUP(E116,COEFICIENTES!$A$8:$N$58,7),IF(H115=1,VLOOKUP(E116,COEFICIENTES!$A$8:$N$58,10),VLOOKUP(E116,COEFICIENTES!$A$8:$N$58,13)))))),IF(H115=4,COEFICIENTES!$B$60,IF(H115=3,COEFICIENTES!$D$60,IF(H115=2,COEFICIENTES!$G$60,IF(H115=1,COEFICIENTES!$J$60,COEFICIENTES!$M$60))))))</f>
        <v>0</v>
      </c>
      <c r="G119" s="153"/>
      <c r="H119" s="185" t="s">
        <v>113</v>
      </c>
      <c r="I119" s="606">
        <f>IF(F119="",0,ROUND(F119*LOOKUP(B$115,Espesor!$C$8:$C$41,Espesor!$Z$8:$Z$41)*POWER(MIN(C$120,D$118),2),4))</f>
        <v>0</v>
      </c>
      <c r="J119" s="606"/>
      <c r="K119" s="182"/>
      <c r="L119" s="174"/>
      <c r="M119" s="143"/>
      <c r="N119" s="171"/>
      <c r="O119" s="140"/>
      <c r="P119" s="204"/>
      <c r="Q119" s="193"/>
      <c r="R119" s="193"/>
      <c r="S119" s="26"/>
      <c r="T119" s="26"/>
      <c r="U119" s="280"/>
      <c r="V119" s="280"/>
      <c r="W119" s="280"/>
      <c r="X119" s="280"/>
    </row>
    <row r="120" spans="1:24" s="22" customFormat="1" ht="15.95" customHeight="1">
      <c r="B120" s="418"/>
      <c r="C120" s="600">
        <f>IF(B115="","",VLOOKUP(B115,Espesor!$C$8:$E$41,2))</f>
        <v>0</v>
      </c>
      <c r="D120" s="168"/>
      <c r="E120" s="185" t="s">
        <v>114</v>
      </c>
      <c r="F120" s="186">
        <f>IF(B115="","",IF(M118="LY",IF(E116&lt;0.5,IF(H115=0,1/12,IF(H115=1,3/8,IF(H115=2,0,0.5))),IF(H115=4,VLOOKUP(E116,COEFICIENTES!$A$8:$N$58,3),IF(H115=3,VLOOKUP(E116,COEFICIENTES!$A$8:$N$58,6),IF(H115=2,VLOOKUP(E116,COEFICIENTES!$A$8:$N$58,9),IF(H115=1,VLOOKUP(E116,COEFICIENTES!$A$8:$N$58,12),VLOOKUP(E116,COEFICIENTES!$A$8:$N$58,14)))))),IF(H115=4,COEFICIENTES!$C$60,IF(H115=3,COEFICIENTES!$F$60,IF(H115=2,COEFICIENTES!$I$60,IF(H115=1,COEFICIENTES!$L$60,COEFICIENTES!$N$60))))))</f>
        <v>0.5</v>
      </c>
      <c r="G120" s="153"/>
      <c r="H120" s="185" t="s">
        <v>115</v>
      </c>
      <c r="I120" s="606">
        <f>IF(F120="",0,ROUND(F120*LOOKUP(B$115,Espesor!$C$8:$C$41,Espesor!$Z$8:$Z$41)*POWER(MIN(C$120,D$118),2),4))</f>
        <v>0</v>
      </c>
      <c r="J120" s="606"/>
      <c r="K120" s="182"/>
      <c r="L120" s="174"/>
      <c r="M120" s="171"/>
      <c r="N120" s="171"/>
      <c r="O120" s="140"/>
      <c r="P120" s="204"/>
      <c r="Q120" s="193"/>
      <c r="R120" s="193"/>
      <c r="S120" s="26"/>
      <c r="T120" s="26"/>
      <c r="U120" s="280"/>
      <c r="V120" s="280"/>
      <c r="W120" s="280"/>
      <c r="X120" s="280"/>
    </row>
    <row r="121" spans="1:24" s="22" customFormat="1" ht="15.95" customHeight="1">
      <c r="B121" s="418"/>
      <c r="C121" s="601"/>
      <c r="D121" s="168"/>
      <c r="E121" s="185"/>
      <c r="F121" s="147"/>
      <c r="G121" s="153"/>
      <c r="H121" s="153"/>
      <c r="I121" s="188"/>
      <c r="J121" s="185"/>
      <c r="K121" s="178"/>
      <c r="L121" s="178"/>
      <c r="M121" s="171"/>
      <c r="N121" s="171"/>
      <c r="O121" s="140"/>
      <c r="P121" s="204"/>
      <c r="Q121" s="193"/>
      <c r="R121" s="193"/>
      <c r="S121" s="26"/>
      <c r="T121" s="26"/>
      <c r="U121" s="280"/>
      <c r="V121" s="280"/>
      <c r="W121" s="280"/>
      <c r="X121" s="280"/>
    </row>
    <row r="122" spans="1:24" s="22" customFormat="1" ht="15.95" customHeight="1">
      <c r="B122" s="418"/>
      <c r="C122" s="179"/>
      <c r="D122" s="168"/>
      <c r="E122" s="185"/>
      <c r="F122" s="147"/>
      <c r="G122" s="153"/>
      <c r="H122" s="153"/>
      <c r="I122" s="188"/>
      <c r="J122" s="185"/>
      <c r="K122" s="178"/>
      <c r="L122" s="178"/>
      <c r="M122" s="171"/>
      <c r="N122" s="171"/>
      <c r="O122" s="140"/>
      <c r="P122" s="204"/>
      <c r="Q122" s="193"/>
      <c r="R122" s="193"/>
      <c r="S122" s="26"/>
      <c r="T122" s="26"/>
      <c r="U122" s="280"/>
      <c r="V122" s="280"/>
      <c r="W122" s="280"/>
      <c r="X122" s="280"/>
    </row>
    <row r="123" spans="1:24" s="22" customFormat="1" ht="15.95" customHeight="1">
      <c r="A123" s="347" t="str">
        <f>+Espesor!B23</f>
        <v>Lt-</v>
      </c>
      <c r="B123" s="347">
        <f>IF(B115="","",IF(Espesor!$D$4&gt;=(B115+1),B115+1,""))</f>
        <v>16</v>
      </c>
      <c r="C123" s="604" t="str">
        <f>IF(B123&lt;=Espesor!$D$4,Espesor!$G$5,"")</f>
        <v>Losa armada en</v>
      </c>
      <c r="D123" s="604"/>
      <c r="E123" s="602" t="str">
        <f>IF(C123="","",LOOKUP(B123,Espesor!$C$8:$C$41,Espesor!$G$8:$G$41))</f>
        <v/>
      </c>
      <c r="F123" s="602"/>
      <c r="G123" s="602"/>
      <c r="H123" s="167" t="str">
        <f>IF(B123="","",LOOKUP(B123,Espesor!$C$8:$C$41,Espesor!$J$8:$J$41))</f>
        <v/>
      </c>
      <c r="I123" s="603" t="str">
        <f>IF(B123="","",IF(H123&gt;1,Espesor!$H$5,"Borde Discontinuo"))</f>
        <v>Bordes Discontinuos</v>
      </c>
      <c r="J123" s="603"/>
      <c r="K123" s="603"/>
      <c r="P123" s="191"/>
      <c r="Q123" s="193"/>
      <c r="R123" s="193"/>
      <c r="S123" s="26"/>
      <c r="T123" s="26"/>
      <c r="U123" s="280"/>
      <c r="V123" s="280"/>
      <c r="W123" s="280"/>
      <c r="X123" s="280"/>
    </row>
    <row r="124" spans="1:24" s="22" customFormat="1" ht="15.95" customHeight="1" thickBot="1">
      <c r="B124" s="418"/>
      <c r="C124" s="165"/>
      <c r="D124" s="175"/>
      <c r="E124" s="611">
        <f>IF(B123="","",LOOKUP(B123,Espesor!$C$8:$C$41,Espesor!$F$8:$F$41))</f>
        <v>0</v>
      </c>
      <c r="F124" s="611"/>
      <c r="G124" s="609" t="str">
        <f>IF(B123="","",LOOKUP(B123,Espesor!$C$8:$C$41,Espesor!$K$8:$K$41))</f>
        <v/>
      </c>
      <c r="H124" s="609"/>
      <c r="I124" s="609"/>
      <c r="J124" s="145" t="str">
        <f>IF(B123="","",IF(E124&lt;0.5,"","alfa ="))</f>
        <v/>
      </c>
      <c r="K124" s="146" t="str">
        <f>IF(B123="","",IF(E124&lt;0.5,"",(3-(E124)^2)/2))</f>
        <v/>
      </c>
      <c r="L124" s="162">
        <f>+IF(E124&lt;0.5,IF(H123=0,0.5,IF(H123=1,5/8,IF(H123=2,0.5,1))),"")</f>
        <v>1</v>
      </c>
      <c r="M124" s="143"/>
      <c r="N124" s="176"/>
      <c r="O124" s="140"/>
      <c r="P124" s="204"/>
      <c r="Q124" s="193"/>
      <c r="R124" s="193"/>
      <c r="S124" s="26"/>
      <c r="T124" s="26"/>
      <c r="U124" s="280"/>
      <c r="V124" s="280"/>
      <c r="W124" s="280"/>
      <c r="X124" s="280"/>
    </row>
    <row r="125" spans="1:24" s="22" customFormat="1" ht="15.95" customHeight="1">
      <c r="B125" s="418"/>
      <c r="C125" s="616"/>
      <c r="D125" s="168"/>
      <c r="E125" s="185" t="s">
        <v>108</v>
      </c>
      <c r="F125" s="186">
        <f>IF(B123="","",IF(M126="LX",IF(E124&lt;0.5,IF(H123=0,1/24,IF(H123=1,9/125,IF(H123=2,1/8,0))),IF(H123=4,VLOOKUP(E124,COEFICIENTES!$A$8:$N$58,2),IF(H123=3,VLOOKUP(E124,COEFICIENTES!$A$8:$N$58,4),IF(H123=2,VLOOKUP(E124,COEFICIENTES!$A$8:$N$58,7),IF(H123=1,VLOOKUP(E124,COEFICIENTES!$A$8:$N$58,10),VLOOKUP(E124,COEFICIENTES!$A$8:$N$58,13)))))),IF(H123=4,COEFICIENTES!$B$60,IF(H123=3,COEFICIENTES!$D$60,IF(H123=2,COEFICIENTES!$G$60,IF(H123=1,COEFICIENTES!$J$60,COEFICIENTES!$M$60))))))</f>
        <v>2.5000000000000001E-2</v>
      </c>
      <c r="G125" s="187"/>
      <c r="H125" s="185" t="s">
        <v>109</v>
      </c>
      <c r="I125" s="606">
        <f>IF(F125="",0,ROUND(F125*LOOKUP(B$123,Espesor!$C$8:$C$41,Espesor!$Z$8:$Z$41)*POWER(MIN(C$128,D$126),2),4))</f>
        <v>0</v>
      </c>
      <c r="J125" s="606"/>
      <c r="K125" s="607">
        <f>IF(M126="LY",LOOKUP(B123,Espesor!$C$8:$C$41,Espesor!$AA$8:$AA$41),LOOKUP(B123,Espesor!$C$8:$C$41,Espesor!$AB$8:$AB$41))</f>
        <v>0</v>
      </c>
      <c r="L125" s="607"/>
      <c r="M125" s="143"/>
      <c r="N125" s="171"/>
      <c r="O125" s="140"/>
      <c r="P125" s="204"/>
      <c r="Q125" s="193"/>
      <c r="R125" s="193"/>
      <c r="S125" s="26"/>
      <c r="T125" s="26"/>
      <c r="U125" s="280"/>
      <c r="V125" s="280"/>
      <c r="W125" s="280"/>
      <c r="X125" s="280"/>
    </row>
    <row r="126" spans="1:24" s="22" customFormat="1" ht="15.95" customHeight="1">
      <c r="B126" s="418"/>
      <c r="C126" s="617"/>
      <c r="D126" s="169">
        <f>IF(B123="","",VLOOKUP(B123,Espesor!$C$8:$E$41,3))</f>
        <v>0</v>
      </c>
      <c r="E126" s="185" t="s">
        <v>110</v>
      </c>
      <c r="F126" s="186">
        <f>IF(B123="","",IF(M126="LX",IF(E124&lt;0.5,IF(H123=0,1/12,IF(H123=1,3/8,IF(H123=2,0,0.5))),IF(H123=4,VLOOKUP(E124,COEFICIENTES!$A$8:$N$58,3),IF(H123=3,VLOOKUP(E124,COEFICIENTES!$A$8:$N$58,6),IF(H123=2,VLOOKUP(E124,COEFICIENTES!$A$8:$N$58,9),IF(H123=1,VLOOKUP(E124,COEFICIENTES!$A$8:$N$58,12),VLOOKUP(E124,COEFICIENTES!$A$8:$N$58,14)))))),IF(H123=4,COEFICIENTES!$C$60,IF(H123=3,COEFICIENTES!$F$60,IF(H123=2,COEFICIENTES!$I$60,IF(H123=1,COEFICIENTES!$L$60,COEFICIENTES!$N$60))))))</f>
        <v>3.3000000000000002E-2</v>
      </c>
      <c r="G126" s="153"/>
      <c r="H126" s="185" t="s">
        <v>111</v>
      </c>
      <c r="I126" s="606">
        <f>IF(F126="",0,ROUND(F126*LOOKUP(B$123,Espesor!$C$8:$C$41,Espesor!$Z$8:$Z$41)*POWER(MIN(C$128,D$126),2),4))</f>
        <v>0</v>
      </c>
      <c r="J126" s="606"/>
      <c r="K126" s="608">
        <f>IF(M126="LX",LOOKUP(B123,Espesor!$C$8:$C$41,Espesor!$AA$8:$AA$41),LOOKUP(B123,Espesor!$C$8:$C$41,Espesor!$AB$8:$AB$41))</f>
        <v>0</v>
      </c>
      <c r="L126" s="608"/>
      <c r="M126" s="170" t="str">
        <f>+IF(MIN(C128,D126)=D126,"LY","LX")</f>
        <v>LY</v>
      </c>
      <c r="N126" s="171" t="str">
        <f>+IF(M126="","",IF(M126="LY","LX","LY"))</f>
        <v>LX</v>
      </c>
      <c r="O126" s="140"/>
      <c r="P126" s="204"/>
      <c r="Q126" s="193"/>
      <c r="R126" s="193"/>
      <c r="S126" s="26"/>
      <c r="T126" s="26"/>
      <c r="U126" s="280"/>
      <c r="V126" s="280"/>
      <c r="W126" s="280"/>
      <c r="X126" s="280"/>
    </row>
    <row r="127" spans="1:24" s="22" customFormat="1" ht="15.95" customHeight="1" thickBot="1">
      <c r="B127" s="418"/>
      <c r="C127" s="618"/>
      <c r="D127" s="168"/>
      <c r="E127" s="185" t="s">
        <v>112</v>
      </c>
      <c r="F127" s="186">
        <f>IF(B123="","",IF(M126="LY",IF(E124&lt;0.5,IF(H123=0,1/24,IF(H123=1,9/125,IF(H123=2,1/8,0))),IF(H123=4,VLOOKUP(E124,COEFICIENTES!$A$8:$N$58,2),IF(H123=3,VLOOKUP(E124,COEFICIENTES!$A$8:$N$58,4),IF(H123=2,VLOOKUP(E124,COEFICIENTES!$A$8:$N$58,7),IF(H123=1,VLOOKUP(E124,COEFICIENTES!$A$8:$N$58,10),VLOOKUP(E124,COEFICIENTES!$A$8:$N$58,13)))))),IF(H123=4,COEFICIENTES!$B$60,IF(H123=3,COEFICIENTES!$D$60,IF(H123=2,COEFICIENTES!$G$60,IF(H123=1,COEFICIENTES!$J$60,COEFICIENTES!$M$60))))))</f>
        <v>0</v>
      </c>
      <c r="G127" s="153"/>
      <c r="H127" s="185" t="s">
        <v>113</v>
      </c>
      <c r="I127" s="606">
        <f>IF(F127="",0,ROUND(F127*LOOKUP(B$123,Espesor!$C$8:$C$41,Espesor!$Z$8:$Z$41)*POWER(MIN(C$128,D$126),2),4))</f>
        <v>0</v>
      </c>
      <c r="J127" s="606"/>
      <c r="K127" s="182"/>
      <c r="L127" s="174"/>
      <c r="M127" s="170"/>
      <c r="N127" s="171"/>
      <c r="O127" s="140"/>
      <c r="P127" s="204"/>
      <c r="Q127" s="193"/>
      <c r="R127" s="193"/>
      <c r="S127" s="26"/>
      <c r="T127" s="26"/>
      <c r="U127" s="280"/>
      <c r="V127" s="280"/>
      <c r="W127" s="280"/>
      <c r="X127" s="280"/>
    </row>
    <row r="128" spans="1:24" s="22" customFormat="1" ht="15.95" customHeight="1">
      <c r="B128" s="418"/>
      <c r="C128" s="600">
        <f>IF(B123="","",VLOOKUP(B123,Espesor!$C$8:$E$41,2))</f>
        <v>0</v>
      </c>
      <c r="D128" s="168"/>
      <c r="E128" s="185" t="s">
        <v>114</v>
      </c>
      <c r="F128" s="186">
        <f>IF(B123="","",IF(M126="LY",IF(E124&lt;0.5,IF(H123=0,1/12,IF(H123=1,3/8,IF(H123=2,0,0.5))),IF(H123=4,VLOOKUP(E124,COEFICIENTES!$A$8:$N$58,3),IF(H123=3,VLOOKUP(E124,COEFICIENTES!$A$8:$N$58,6),IF(H123=2,VLOOKUP(E124,COEFICIENTES!$A$8:$N$58,9),IF(H123=1,VLOOKUP(E124,COEFICIENTES!$A$8:$N$58,12),VLOOKUP(E124,COEFICIENTES!$A$8:$N$58,14)))))),IF(H123=4,COEFICIENTES!$C$60,IF(H123=3,COEFICIENTES!$F$60,IF(H123=2,COEFICIENTES!$I$60,IF(H123=1,COEFICIENTES!$L$60,COEFICIENTES!$N$60))))))</f>
        <v>0.5</v>
      </c>
      <c r="G128" s="153"/>
      <c r="H128" s="185" t="s">
        <v>115</v>
      </c>
      <c r="I128" s="606">
        <f>IF(F128="",0,ROUND(F128*LOOKUP(B$123,Espesor!$C$8:$C$41,Espesor!$Z$8:$Z$41)*POWER(MIN(C$128,D$126),2),4))</f>
        <v>0</v>
      </c>
      <c r="J128" s="606"/>
      <c r="K128" s="182"/>
      <c r="L128" s="174"/>
      <c r="M128" s="170"/>
      <c r="N128" s="171"/>
      <c r="O128" s="140"/>
      <c r="P128" s="204"/>
      <c r="Q128" s="193"/>
      <c r="R128" s="193"/>
      <c r="S128" s="26"/>
      <c r="T128" s="26"/>
      <c r="U128" s="280"/>
      <c r="V128" s="280"/>
      <c r="W128" s="280"/>
      <c r="X128" s="280"/>
    </row>
    <row r="129" spans="1:24" s="22" customFormat="1" ht="15.95" customHeight="1">
      <c r="B129" s="418"/>
      <c r="C129" s="601"/>
      <c r="D129" s="168"/>
      <c r="E129" s="185"/>
      <c r="F129" s="147"/>
      <c r="G129" s="153"/>
      <c r="H129" s="153"/>
      <c r="I129" s="188"/>
      <c r="J129" s="185"/>
      <c r="K129" s="178"/>
      <c r="L129" s="178"/>
      <c r="M129" s="171"/>
      <c r="N129" s="171"/>
      <c r="O129" s="135"/>
      <c r="P129" s="204"/>
      <c r="Q129" s="193"/>
      <c r="R129" s="193"/>
      <c r="S129" s="26"/>
      <c r="T129" s="26"/>
      <c r="U129" s="280"/>
      <c r="V129" s="280"/>
      <c r="W129" s="280"/>
      <c r="X129" s="280"/>
    </row>
    <row r="130" spans="1:24" s="22" customFormat="1" ht="15.95" customHeight="1">
      <c r="B130" s="418"/>
      <c r="E130" s="143"/>
      <c r="F130" s="143"/>
      <c r="G130" s="153"/>
      <c r="H130" s="153"/>
      <c r="I130" s="188"/>
      <c r="J130" s="185"/>
      <c r="K130" s="178"/>
      <c r="L130" s="178"/>
      <c r="M130" s="171"/>
      <c r="N130" s="171"/>
      <c r="O130" s="135"/>
      <c r="P130" s="204"/>
      <c r="Q130" s="193"/>
      <c r="R130" s="193"/>
      <c r="S130" s="26"/>
      <c r="T130" s="26"/>
      <c r="U130" s="280"/>
      <c r="V130" s="280"/>
      <c r="W130" s="280"/>
      <c r="X130" s="280"/>
    </row>
    <row r="131" spans="1:24" s="22" customFormat="1" ht="15.95" customHeight="1">
      <c r="A131" s="347" t="str">
        <f>+Espesor!B24</f>
        <v>Lt-</v>
      </c>
      <c r="B131" s="347">
        <f>IF(B123="","",IF(Espesor!$D$4&gt;=(B123+1),B123+1,""))</f>
        <v>17</v>
      </c>
      <c r="C131" s="604" t="str">
        <f>IF(B131&lt;=Espesor!$D$4,Espesor!$G$5,"")</f>
        <v>Losa armada en</v>
      </c>
      <c r="D131" s="604"/>
      <c r="E131" s="602" t="str">
        <f>IF(C131="","",LOOKUP(B131,Espesor!$C$8:$C$41,Espesor!$G$8:$G$41))</f>
        <v/>
      </c>
      <c r="F131" s="602"/>
      <c r="G131" s="602"/>
      <c r="H131" s="167" t="str">
        <f>IF(B131="","",LOOKUP(B131,Espesor!$C$8:$C$41,Espesor!$J$8:$J$41))</f>
        <v/>
      </c>
      <c r="I131" s="603" t="str">
        <f>IF(B131="","",IF(H131&gt;1,Espesor!$H$5,"Borde Discontinuo"))</f>
        <v>Bordes Discontinuos</v>
      </c>
      <c r="J131" s="603"/>
      <c r="K131" s="603"/>
      <c r="P131" s="191"/>
      <c r="Q131" s="193"/>
      <c r="R131" s="193"/>
      <c r="S131" s="26"/>
      <c r="T131" s="26"/>
      <c r="U131" s="280"/>
      <c r="V131" s="280"/>
      <c r="W131" s="280"/>
      <c r="X131" s="280"/>
    </row>
    <row r="132" spans="1:24" s="22" customFormat="1" ht="15.95" customHeight="1" thickBot="1">
      <c r="B132" s="418"/>
      <c r="C132" s="165"/>
      <c r="D132" s="175"/>
      <c r="E132" s="611">
        <f>IF(B131="","",LOOKUP(B131,Espesor!$C$8:$C$41,Espesor!$F$8:$F$41))</f>
        <v>0</v>
      </c>
      <c r="F132" s="611"/>
      <c r="G132" s="609" t="str">
        <f>IF(B131="","",LOOKUP(B131,Espesor!$C$8:$C$41,Espesor!$K$8:$K$41))</f>
        <v/>
      </c>
      <c r="H132" s="609"/>
      <c r="I132" s="609"/>
      <c r="J132" s="145" t="str">
        <f>IF(B131="","",IF(E132&lt;0.5,"","alfa ="))</f>
        <v/>
      </c>
      <c r="K132" s="146" t="str">
        <f>IF(B131="","",IF(E132&lt;0.5,"",(3-(E132)^2)/2))</f>
        <v/>
      </c>
      <c r="L132" s="162">
        <f>+IF(E132&lt;0.5,IF(H131=0,0.5,IF(H131=1,5/8,IF(H131=2,0.5,1))),"")</f>
        <v>1</v>
      </c>
      <c r="M132" s="143"/>
      <c r="N132" s="176"/>
      <c r="O132" s="135"/>
      <c r="P132" s="204"/>
      <c r="Q132" s="193"/>
      <c r="R132" s="193"/>
      <c r="S132" s="26"/>
      <c r="T132" s="26"/>
      <c r="U132" s="280"/>
      <c r="V132" s="280"/>
      <c r="W132" s="280"/>
      <c r="X132" s="280"/>
    </row>
    <row r="133" spans="1:24" s="22" customFormat="1" ht="15.95" customHeight="1">
      <c r="B133" s="418"/>
      <c r="C133" s="616"/>
      <c r="D133" s="168"/>
      <c r="E133" s="185" t="s">
        <v>108</v>
      </c>
      <c r="F133" s="186">
        <f>IF(B131="","",IF(M134="LX",IF(E132&lt;0.5,IF(H131=0,1/24,IF(H131=1,9/125,IF(H131=2,1/8,0))),IF(H131=4,VLOOKUP(E132,COEFICIENTES!$A$8:$N$58,2),IF(H131=3,VLOOKUP(E132,COEFICIENTES!$A$8:$N$58,4),IF(H131=2,VLOOKUP(E132,COEFICIENTES!$A$8:$N$58,7),IF(H131=1,VLOOKUP(E132,COEFICIENTES!$A$8:$N$58,10),VLOOKUP(E132,COEFICIENTES!$A$8:$N$58,13)))))),IF(H131=4,COEFICIENTES!$B$60,IF(H131=3,COEFICIENTES!$D$60,IF(H131=2,COEFICIENTES!$G$60,IF(H131=1,COEFICIENTES!$J$60,COEFICIENTES!$M$60))))))</f>
        <v>2.5000000000000001E-2</v>
      </c>
      <c r="G133" s="187"/>
      <c r="H133" s="185" t="s">
        <v>109</v>
      </c>
      <c r="I133" s="606">
        <f>IF(F133="",0,ROUND(F133*LOOKUP(B$131,Espesor!$C$8:$C$41,Espesor!$Z$8:$Z$41)*POWER(MIN(C$136,D$134),2),4))</f>
        <v>0</v>
      </c>
      <c r="J133" s="606"/>
      <c r="K133" s="607">
        <f>IF(M134="LY",LOOKUP(B131,Espesor!$C$8:$C$41,Espesor!$AA$8:$AA$41),LOOKUP(B131,Espesor!$C$8:$C$41,Espesor!$AB$8:$AB$41))</f>
        <v>0</v>
      </c>
      <c r="L133" s="607"/>
      <c r="M133" s="143"/>
      <c r="N133" s="171"/>
      <c r="O133" s="135"/>
      <c r="P133" s="204"/>
      <c r="Q133" s="193"/>
      <c r="R133" s="193"/>
      <c r="S133" s="26"/>
      <c r="T133" s="26"/>
      <c r="U133" s="280"/>
      <c r="V133" s="280"/>
      <c r="W133" s="280"/>
      <c r="X133" s="280"/>
    </row>
    <row r="134" spans="1:24" s="22" customFormat="1" ht="15.95" customHeight="1">
      <c r="B134" s="418"/>
      <c r="C134" s="617"/>
      <c r="D134" s="169">
        <f>IF(B131="","",VLOOKUP(B131,Espesor!$C$8:$E$41,3))</f>
        <v>0</v>
      </c>
      <c r="E134" s="185" t="s">
        <v>110</v>
      </c>
      <c r="F134" s="186">
        <f>IF(B131="","",IF(M134="LX",IF(E132&lt;0.5,IF(H131=0,1/12,IF(H131=1,3/8,IF(H131=2,0,0.5))),IF(H131=4,VLOOKUP(E132,COEFICIENTES!$A$8:$N$58,3),IF(H131=3,VLOOKUP(E132,COEFICIENTES!$A$8:$N$58,6),IF(H131=2,VLOOKUP(E132,COEFICIENTES!$A$8:$N$58,9),IF(H131=1,VLOOKUP(E132,COEFICIENTES!$A$8:$N$58,12),VLOOKUP(E132,COEFICIENTES!$A$8:$N$58,14)))))),IF(H131=4,COEFICIENTES!$C$60,IF(H131=3,COEFICIENTES!$F$60,IF(H131=2,COEFICIENTES!$I$60,IF(H131=1,COEFICIENTES!$L$60,COEFICIENTES!$N$60))))))</f>
        <v>3.3000000000000002E-2</v>
      </c>
      <c r="G134" s="153"/>
      <c r="H134" s="185" t="s">
        <v>111</v>
      </c>
      <c r="I134" s="606">
        <f>IF(F134="",0,ROUND(F134*LOOKUP(B$131,Espesor!$C$8:$C$41,Espesor!$Z$8:$Z$41)*POWER(MIN(C$136,D$134),2),4))</f>
        <v>0</v>
      </c>
      <c r="J134" s="606"/>
      <c r="K134" s="608">
        <f>IF(M134="LX",LOOKUP(B131,Espesor!$C$8:$C$41,Espesor!$AA$8:$AA$41),LOOKUP(B131,Espesor!$C$8:$C$41,Espesor!$AB$8:$AB$41))</f>
        <v>0</v>
      </c>
      <c r="L134" s="608"/>
      <c r="M134" s="170" t="str">
        <f>+IF(MIN(C136,D134)=D134,"LY","LX")</f>
        <v>LY</v>
      </c>
      <c r="N134" s="171" t="str">
        <f>+IF(M134="","",IF(M134="LY","LX","LY"))</f>
        <v>LX</v>
      </c>
      <c r="O134" s="135"/>
      <c r="P134" s="204"/>
      <c r="Q134" s="193"/>
      <c r="R134" s="193"/>
      <c r="S134" s="26"/>
      <c r="T134" s="26"/>
      <c r="U134" s="280"/>
      <c r="V134" s="280"/>
      <c r="W134" s="280"/>
      <c r="X134" s="280"/>
    </row>
    <row r="135" spans="1:24" s="22" customFormat="1" ht="15.95" customHeight="1" thickBot="1">
      <c r="B135" s="418"/>
      <c r="C135" s="618"/>
      <c r="D135" s="168"/>
      <c r="E135" s="185" t="s">
        <v>112</v>
      </c>
      <c r="F135" s="186">
        <f>IF(B131="","",IF(M134="LY",IF(E132&lt;0.5,IF(H131=0,1/24,IF(H131=1,9/125,IF(H131=2,1/8,0))),IF(H131=4,VLOOKUP(E132,COEFICIENTES!$A$8:$N$58,2),IF(H131=3,VLOOKUP(E132,COEFICIENTES!$A$8:$N$58,4),IF(H131=2,VLOOKUP(E132,COEFICIENTES!$A$8:$N$58,7),IF(H131=1,VLOOKUP(E132,COEFICIENTES!$A$8:$N$58,10),VLOOKUP(E132,COEFICIENTES!$A$8:$N$58,13)))))),IF(H131=4,COEFICIENTES!$B$60,IF(H131=3,COEFICIENTES!$D$60,IF(H131=2,COEFICIENTES!$G$60,IF(H131=1,COEFICIENTES!$J$60,COEFICIENTES!$M$60))))))</f>
        <v>0</v>
      </c>
      <c r="G135" s="153"/>
      <c r="H135" s="185" t="s">
        <v>113</v>
      </c>
      <c r="I135" s="606">
        <f>IF(F135="",0,ROUND(F135*LOOKUP(B$131,Espesor!$C$8:$C$41,Espesor!$Z$8:$Z$41)*POWER(MIN(C$136,D$134),2),4))</f>
        <v>0</v>
      </c>
      <c r="J135" s="606"/>
      <c r="K135" s="182"/>
      <c r="L135" s="174"/>
      <c r="M135" s="143"/>
      <c r="N135" s="171"/>
      <c r="O135" s="135"/>
      <c r="P135" s="204"/>
      <c r="Q135" s="193"/>
      <c r="R135" s="193"/>
      <c r="S135" s="26"/>
      <c r="T135" s="26"/>
      <c r="U135" s="280"/>
      <c r="V135" s="280"/>
      <c r="W135" s="280"/>
      <c r="X135" s="280"/>
    </row>
    <row r="136" spans="1:24" s="22" customFormat="1" ht="15.95" customHeight="1">
      <c r="B136" s="418"/>
      <c r="C136" s="600">
        <f>IF(B131="","",VLOOKUP(B131,Espesor!$C$8:$E$41,2))</f>
        <v>0</v>
      </c>
      <c r="D136" s="168"/>
      <c r="E136" s="185" t="s">
        <v>114</v>
      </c>
      <c r="F136" s="186">
        <f>IF(B131="","",IF(M134="LY",IF(E132&lt;0.5,IF(H131=0,1/12,IF(H131=1,3/8,IF(H131=2,0,0.5))),IF(H131=4,VLOOKUP(E132,COEFICIENTES!$A$8:$N$58,3),IF(H131=3,VLOOKUP(E132,COEFICIENTES!$A$8:$N$58,6),IF(H131=2,VLOOKUP(E132,COEFICIENTES!$A$8:$N$58,9),IF(H131=1,VLOOKUP(E132,COEFICIENTES!$A$8:$N$58,12),VLOOKUP(E132,COEFICIENTES!$A$8:$N$58,14)))))),IF(H131=4,COEFICIENTES!$C$60,IF(H131=3,COEFICIENTES!$F$60,IF(H131=2,COEFICIENTES!$I$60,IF(H131=1,COEFICIENTES!$L$60,COEFICIENTES!$N$60))))))</f>
        <v>0.5</v>
      </c>
      <c r="G136" s="153"/>
      <c r="H136" s="185" t="s">
        <v>115</v>
      </c>
      <c r="I136" s="606">
        <f>IF(F136="",0,ROUND(F136*LOOKUP(B$131,Espesor!$C$8:$C$41,Espesor!$Z$8:$Z$41)*POWER(MIN(C$136,D$134),2),4))</f>
        <v>0</v>
      </c>
      <c r="J136" s="606"/>
      <c r="K136" s="182"/>
      <c r="L136" s="174"/>
      <c r="M136" s="171"/>
      <c r="N136" s="171"/>
      <c r="O136" s="135"/>
      <c r="P136" s="204"/>
      <c r="Q136" s="193"/>
      <c r="R136" s="193"/>
      <c r="S136" s="26"/>
      <c r="T136" s="26"/>
      <c r="U136" s="280"/>
      <c r="V136" s="280"/>
      <c r="W136" s="280"/>
      <c r="X136" s="280"/>
    </row>
    <row r="137" spans="1:24" s="22" customFormat="1" ht="15.95" customHeight="1">
      <c r="B137" s="418"/>
      <c r="C137" s="601"/>
      <c r="D137" s="168"/>
      <c r="E137" s="185"/>
      <c r="F137" s="147"/>
      <c r="G137" s="153"/>
      <c r="H137" s="153"/>
      <c r="I137" s="188"/>
      <c r="J137" s="185"/>
      <c r="K137" s="178"/>
      <c r="L137" s="178"/>
      <c r="M137" s="171"/>
      <c r="N137" s="171"/>
      <c r="O137" s="135"/>
      <c r="P137" s="204"/>
      <c r="Q137" s="193"/>
      <c r="R137" s="193"/>
      <c r="S137" s="26"/>
      <c r="T137" s="26"/>
      <c r="U137" s="280"/>
      <c r="V137" s="280"/>
      <c r="W137" s="280"/>
      <c r="X137" s="280"/>
    </row>
    <row r="138" spans="1:24" s="22" customFormat="1" ht="15.95" customHeight="1">
      <c r="B138" s="418"/>
      <c r="C138" s="179"/>
      <c r="D138" s="168"/>
      <c r="E138" s="185"/>
      <c r="F138" s="147"/>
      <c r="G138" s="153"/>
      <c r="H138" s="153"/>
      <c r="I138" s="188"/>
      <c r="J138" s="185"/>
      <c r="K138" s="178"/>
      <c r="L138" s="178"/>
      <c r="M138" s="171"/>
      <c r="N138" s="171"/>
      <c r="O138" s="135"/>
      <c r="P138" s="204"/>
      <c r="Q138" s="193"/>
      <c r="R138" s="193"/>
      <c r="S138" s="26"/>
      <c r="T138" s="26"/>
      <c r="U138" s="280"/>
      <c r="V138" s="280"/>
      <c r="W138" s="280"/>
      <c r="X138" s="280"/>
    </row>
    <row r="139" spans="1:24" s="22" customFormat="1" ht="15.95" customHeight="1">
      <c r="A139" s="347" t="str">
        <f>+Espesor!B25</f>
        <v>Lt-</v>
      </c>
      <c r="B139" s="347">
        <f>IF(B131="","",IF(Espesor!$D$4&gt;=(B131+1),B131+1,""))</f>
        <v>18</v>
      </c>
      <c r="C139" s="604" t="str">
        <f>IF(B139&lt;=Espesor!$D$4,Espesor!$G$5,"")</f>
        <v>Losa armada en</v>
      </c>
      <c r="D139" s="604"/>
      <c r="E139" s="602" t="str">
        <f>IF(C139="","",LOOKUP(B139,Espesor!$C$8:$C$41,Espesor!$G$8:$G$41))</f>
        <v/>
      </c>
      <c r="F139" s="602"/>
      <c r="G139" s="602"/>
      <c r="H139" s="167" t="str">
        <f>IF(B139="","",LOOKUP(B139,Espesor!$C$8:$C$41,Espesor!$J$8:$J$41))</f>
        <v/>
      </c>
      <c r="I139" s="603" t="str">
        <f>IF(B139="","",IF(H139&gt;1,Espesor!$H$5,"Borde Discontinuo"))</f>
        <v>Bordes Discontinuos</v>
      </c>
      <c r="J139" s="603"/>
      <c r="K139" s="603"/>
      <c r="P139" s="191"/>
      <c r="Q139" s="193"/>
      <c r="R139" s="193"/>
      <c r="S139" s="26"/>
      <c r="T139" s="26"/>
      <c r="U139" s="280"/>
      <c r="V139" s="280"/>
      <c r="W139" s="280"/>
      <c r="X139" s="280"/>
    </row>
    <row r="140" spans="1:24" s="22" customFormat="1" ht="15.95" customHeight="1" thickBot="1">
      <c r="B140" s="418"/>
      <c r="C140" s="165"/>
      <c r="D140" s="175"/>
      <c r="E140" s="611">
        <f>IF(B139="","",LOOKUP(B139,Espesor!$C$8:$C$41,Espesor!$F$8:$F$41))</f>
        <v>0</v>
      </c>
      <c r="F140" s="611"/>
      <c r="G140" s="609" t="str">
        <f>IF(B139="","",LOOKUP(B139,Espesor!$C$8:$C$41,Espesor!$K$8:$K$41))</f>
        <v/>
      </c>
      <c r="H140" s="609"/>
      <c r="I140" s="609"/>
      <c r="J140" s="145" t="str">
        <f>IF(B139="","",IF(E140&lt;0.5,"","alfa ="))</f>
        <v/>
      </c>
      <c r="K140" s="146" t="str">
        <f>IF(B139="","",IF(E140&lt;0.5,"",(3-(E140)^2)/2))</f>
        <v/>
      </c>
      <c r="L140" s="162">
        <f>+IF(E140&lt;0.5,IF(H139=0,0.5,IF(H139=1,5/8,IF(H139=2,0.5,1))),"")</f>
        <v>1</v>
      </c>
      <c r="M140" s="143"/>
      <c r="N140" s="176"/>
      <c r="O140" s="135"/>
      <c r="P140" s="204"/>
      <c r="Q140" s="193"/>
      <c r="R140" s="193"/>
      <c r="S140" s="26"/>
      <c r="T140" s="26"/>
      <c r="U140" s="280"/>
      <c r="V140" s="280"/>
      <c r="W140" s="280"/>
      <c r="X140" s="280"/>
    </row>
    <row r="141" spans="1:24" s="22" customFormat="1" ht="15.95" customHeight="1">
      <c r="B141" s="418"/>
      <c r="C141" s="616"/>
      <c r="D141" s="168"/>
      <c r="E141" s="185" t="s">
        <v>108</v>
      </c>
      <c r="F141" s="186">
        <f>IF(B139="","",IF(M142="LX",IF(E140&lt;0.5,IF(H139=0,1/24,IF(H139=1,9/125,IF(H139=2,1/8,0))),IF(H139=4,VLOOKUP(E140,COEFICIENTES!$A$8:$N$58,2),IF(H139=3,VLOOKUP(E140,COEFICIENTES!$A$8:$N$58,4),IF(H139=2,VLOOKUP(E140,COEFICIENTES!$A$8:$N$58,7),IF(H139=1,VLOOKUP(E140,COEFICIENTES!$A$8:$N$58,10),VLOOKUP(E140,COEFICIENTES!$A$8:$N$58,13)))))),IF(H139=4,COEFICIENTES!$B$60,IF(H139=3,COEFICIENTES!$D$60,IF(H139=2,COEFICIENTES!$G$60,IF(H139=1,COEFICIENTES!$J$60,COEFICIENTES!$M$60))))))</f>
        <v>2.5000000000000001E-2</v>
      </c>
      <c r="G141" s="187"/>
      <c r="H141" s="185" t="s">
        <v>109</v>
      </c>
      <c r="I141" s="606">
        <f>IF(F141="",0,ROUND(F141*LOOKUP(B$139,Espesor!$C$8:$C$41,Espesor!$Z$8:$Z$41)*POWER(MIN(C$144,D$142),2),4))</f>
        <v>0</v>
      </c>
      <c r="J141" s="606"/>
      <c r="K141" s="607">
        <f>IF(M142="LY",LOOKUP(B139,Espesor!$C$8:$C$41,Espesor!$AA$8:$AA$41),LOOKUP(B139,Espesor!$C$8:$C$41,Espesor!$AB$8:$AB$41))</f>
        <v>0</v>
      </c>
      <c r="L141" s="607"/>
      <c r="M141" s="143"/>
      <c r="N141" s="171"/>
      <c r="O141" s="135"/>
      <c r="P141" s="204"/>
      <c r="Q141" s="193"/>
      <c r="R141" s="193"/>
      <c r="S141" s="26"/>
      <c r="T141" s="26"/>
      <c r="U141" s="280"/>
      <c r="V141" s="280"/>
      <c r="W141" s="280"/>
      <c r="X141" s="280"/>
    </row>
    <row r="142" spans="1:24" s="22" customFormat="1" ht="15.95" customHeight="1">
      <c r="B142" s="418"/>
      <c r="C142" s="617"/>
      <c r="D142" s="169">
        <f>IF(B139="","",VLOOKUP(B139,Espesor!$C$8:$E$41,3))</f>
        <v>0</v>
      </c>
      <c r="E142" s="185" t="s">
        <v>110</v>
      </c>
      <c r="F142" s="186">
        <f>IF(B139="","",IF(M142="LX",IF(E140&lt;0.5,IF(H139=0,1/12,IF(H139=1,3/8,IF(H139=2,0,0.5))),IF(H139=4,VLOOKUP(E140,COEFICIENTES!$A$8:$N$58,3),IF(H139=3,VLOOKUP(E140,COEFICIENTES!$A$8:$N$58,6),IF(H139=2,VLOOKUP(E140,COEFICIENTES!$A$8:$N$58,9),IF(H139=1,VLOOKUP(E140,COEFICIENTES!$A$8:$N$58,12),VLOOKUP(E140,COEFICIENTES!$A$8:$N$58,14)))))),IF(H139=4,COEFICIENTES!$C$60,IF(H139=3,COEFICIENTES!$F$60,IF(H139=2,COEFICIENTES!$I$60,IF(H139=1,COEFICIENTES!$L$60,COEFICIENTES!$N$60))))))</f>
        <v>3.3000000000000002E-2</v>
      </c>
      <c r="G142" s="153"/>
      <c r="H142" s="185" t="s">
        <v>111</v>
      </c>
      <c r="I142" s="606">
        <f>IF(F142="",0,ROUND(F142*LOOKUP(B$139,Espesor!$C$8:$C$41,Espesor!$Z$8:$Z$41)*POWER(MIN(C$144,D$142),2),4))</f>
        <v>0</v>
      </c>
      <c r="J142" s="606"/>
      <c r="K142" s="608">
        <f>IF(M142="LX",LOOKUP(B139,Espesor!$C$8:$C$41,Espesor!$AA$8:$AA$41),LOOKUP(B139,Espesor!$C$8:$C$41,Espesor!$AB$8:$AB$41))</f>
        <v>0</v>
      </c>
      <c r="L142" s="608"/>
      <c r="M142" s="170" t="str">
        <f>+IF(MIN(C144,D142)=D142,"LY","LX")</f>
        <v>LY</v>
      </c>
      <c r="N142" s="171" t="str">
        <f>+IF(M142="","",IF(M142="LY","LX","LY"))</f>
        <v>LX</v>
      </c>
      <c r="O142" s="135"/>
      <c r="P142" s="204"/>
      <c r="Q142" s="193"/>
      <c r="R142" s="193"/>
      <c r="S142" s="26"/>
      <c r="T142" s="26"/>
      <c r="U142" s="280"/>
      <c r="V142" s="280"/>
      <c r="W142" s="280"/>
      <c r="X142" s="280"/>
    </row>
    <row r="143" spans="1:24" s="22" customFormat="1" ht="15.95" customHeight="1" thickBot="1">
      <c r="B143" s="418"/>
      <c r="C143" s="618"/>
      <c r="D143" s="168"/>
      <c r="E143" s="185" t="s">
        <v>112</v>
      </c>
      <c r="F143" s="186">
        <f>IF(B139="","",IF(M142="LY",IF(E140&lt;0.5,IF(H139=0,1/24,IF(H139=1,9/125,IF(H139=2,1/8,0))),IF(H139=4,VLOOKUP(E140,COEFICIENTES!$A$8:$N$58,2),IF(H139=3,VLOOKUP(E140,COEFICIENTES!$A$8:$N$58,4),IF(H139=2,VLOOKUP(E140,COEFICIENTES!$A$8:$N$58,7),IF(H139=1,VLOOKUP(E140,COEFICIENTES!$A$8:$N$58,10),VLOOKUP(E140,COEFICIENTES!$A$8:$N$58,13)))))),IF(H139=4,COEFICIENTES!$B$60,IF(H139=3,COEFICIENTES!$D$60,IF(H139=2,COEFICIENTES!$G$60,IF(H139=1,COEFICIENTES!$J$60,COEFICIENTES!$M$60))))))</f>
        <v>0</v>
      </c>
      <c r="G143" s="153"/>
      <c r="H143" s="185" t="s">
        <v>113</v>
      </c>
      <c r="I143" s="606">
        <f>IF(F143="",0,ROUND(F143*LOOKUP(B$139,Espesor!$C$8:$C$41,Espesor!$Z$8:$Z$41)*POWER(MIN(C$144,D$142),2),4))</f>
        <v>0</v>
      </c>
      <c r="J143" s="606"/>
      <c r="K143" s="182"/>
      <c r="L143" s="174"/>
      <c r="M143" s="143"/>
      <c r="N143" s="171"/>
      <c r="O143" s="135"/>
      <c r="P143" s="204"/>
      <c r="Q143" s="193"/>
      <c r="R143" s="193"/>
      <c r="S143" s="26"/>
      <c r="T143" s="26"/>
      <c r="U143" s="280"/>
      <c r="V143" s="280"/>
      <c r="W143" s="280"/>
      <c r="X143" s="280"/>
    </row>
    <row r="144" spans="1:24" s="22" customFormat="1" ht="15.95" customHeight="1">
      <c r="B144" s="418"/>
      <c r="C144" s="600">
        <f>IF(B139="","",VLOOKUP(B139,Espesor!$C$8:$E$41,2))</f>
        <v>0</v>
      </c>
      <c r="D144" s="168"/>
      <c r="E144" s="185" t="s">
        <v>114</v>
      </c>
      <c r="F144" s="186">
        <f>IF(B139="","",IF(M142="LY",IF(E140&lt;0.5,IF(H139=0,1/12,IF(H139=1,3/8,IF(H139=2,0,0.5))),IF(H139=4,VLOOKUP(E140,COEFICIENTES!$A$8:$N$58,3),IF(H139=3,VLOOKUP(E140,COEFICIENTES!$A$8:$N$58,6),IF(H139=2,VLOOKUP(E140,COEFICIENTES!$A$8:$N$58,9),IF(H139=1,VLOOKUP(E140,COEFICIENTES!$A$8:$N$58,12),VLOOKUP(E140,COEFICIENTES!$A$8:$N$58,14)))))),IF(H139=4,COEFICIENTES!$C$60,IF(H139=3,COEFICIENTES!$F$60,IF(H139=2,COEFICIENTES!$I$60,IF(H139=1,COEFICIENTES!$L$60,COEFICIENTES!$N$60))))))</f>
        <v>0.5</v>
      </c>
      <c r="G144" s="153"/>
      <c r="H144" s="185" t="s">
        <v>115</v>
      </c>
      <c r="I144" s="606">
        <f>IF(F144="",0,ROUND(F144*LOOKUP(B$139,Espesor!$C$8:$C$41,Espesor!$Z$8:$Z$41)*POWER(MIN(C$144,D$142),2),4))</f>
        <v>0</v>
      </c>
      <c r="J144" s="606"/>
      <c r="K144" s="182"/>
      <c r="L144" s="174"/>
      <c r="M144" s="171"/>
      <c r="N144" s="171"/>
      <c r="O144" s="141"/>
      <c r="P144" s="191"/>
      <c r="Q144" s="193"/>
      <c r="R144" s="193"/>
      <c r="S144" s="26"/>
      <c r="T144" s="26"/>
      <c r="U144" s="280"/>
      <c r="V144" s="280"/>
      <c r="W144" s="280"/>
      <c r="X144" s="280"/>
    </row>
    <row r="145" spans="1:24" s="22" customFormat="1" ht="15.95" customHeight="1">
      <c r="B145" s="418"/>
      <c r="C145" s="601"/>
      <c r="D145" s="168"/>
      <c r="E145" s="185"/>
      <c r="F145" s="147"/>
      <c r="G145" s="153"/>
      <c r="H145" s="153"/>
      <c r="I145" s="188"/>
      <c r="J145" s="185"/>
      <c r="K145" s="178"/>
      <c r="L145" s="178"/>
      <c r="M145" s="171"/>
      <c r="N145" s="171"/>
      <c r="O145" s="135"/>
      <c r="P145" s="204"/>
      <c r="Q145" s="193"/>
      <c r="R145" s="193"/>
      <c r="S145" s="26"/>
      <c r="T145" s="26"/>
      <c r="U145" s="280"/>
      <c r="V145" s="280"/>
      <c r="W145" s="280"/>
      <c r="X145" s="280"/>
    </row>
    <row r="146" spans="1:24" s="22" customFormat="1" ht="15.95" customHeight="1">
      <c r="B146" s="418"/>
      <c r="C146" s="179"/>
      <c r="D146" s="168"/>
      <c r="E146" s="185"/>
      <c r="F146" s="147"/>
      <c r="G146" s="153"/>
      <c r="H146" s="153"/>
      <c r="I146" s="188"/>
      <c r="J146" s="185"/>
      <c r="K146" s="178"/>
      <c r="L146" s="178"/>
      <c r="M146" s="171"/>
      <c r="N146" s="171"/>
      <c r="O146" s="135"/>
      <c r="P146" s="204"/>
      <c r="Q146" s="193"/>
      <c r="R146" s="193"/>
      <c r="S146" s="26"/>
      <c r="T146" s="26"/>
      <c r="U146" s="280"/>
      <c r="V146" s="280"/>
      <c r="W146" s="280"/>
      <c r="X146" s="280"/>
    </row>
    <row r="147" spans="1:24" s="22" customFormat="1" ht="15.95" customHeight="1">
      <c r="A147" s="347" t="str">
        <f>+Espesor!B26</f>
        <v>Lt-</v>
      </c>
      <c r="B147" s="347">
        <f>IF(B139="","",IF(Espesor!$D$4&gt;=(B139+1),B139+1,""))</f>
        <v>19</v>
      </c>
      <c r="C147" s="604" t="str">
        <f>IF(B147&lt;=Espesor!$D$4,Espesor!$G$5,"")</f>
        <v>Losa armada en</v>
      </c>
      <c r="D147" s="604"/>
      <c r="E147" s="602" t="str">
        <f>IF(C147="","",LOOKUP(B147,Espesor!$C$8:$C$41,Espesor!$G$8:$G$41))</f>
        <v/>
      </c>
      <c r="F147" s="602"/>
      <c r="G147" s="602"/>
      <c r="H147" s="167" t="str">
        <f>IF(B147="","",LOOKUP(B147,Espesor!$C$8:$C$41,Espesor!$J$8:$J$41))</f>
        <v/>
      </c>
      <c r="I147" s="603" t="str">
        <f>IF(B147="","",IF(H147&gt;1,Espesor!$H$5,"Borde Discontinuo"))</f>
        <v>Bordes Discontinuos</v>
      </c>
      <c r="J147" s="603"/>
      <c r="K147" s="603"/>
      <c r="P147" s="191"/>
      <c r="Q147" s="193"/>
      <c r="R147" s="193"/>
      <c r="S147" s="26"/>
      <c r="T147" s="26"/>
      <c r="U147" s="280"/>
      <c r="V147" s="280"/>
      <c r="W147" s="280"/>
      <c r="X147" s="280"/>
    </row>
    <row r="148" spans="1:24" s="22" customFormat="1" ht="15.95" customHeight="1" thickBot="1">
      <c r="B148" s="418"/>
      <c r="C148" s="165"/>
      <c r="D148" s="175"/>
      <c r="E148" s="611">
        <f>IF(B147="","",LOOKUP(B147,Espesor!$C$8:$C$41,Espesor!$F$8:$F$41))</f>
        <v>0</v>
      </c>
      <c r="F148" s="611"/>
      <c r="G148" s="609" t="str">
        <f>IF(B147="","",LOOKUP(B147,Espesor!$C$8:$C$41,Espesor!$K$8:$K$41))</f>
        <v/>
      </c>
      <c r="H148" s="609"/>
      <c r="I148" s="609"/>
      <c r="J148" s="145" t="str">
        <f>IF(B147="","",IF(E148&lt;0.5,"","alfa ="))</f>
        <v/>
      </c>
      <c r="K148" s="146" t="str">
        <f>IF(B147="","",IF(E148&lt;0.5,"",(3-(E148)^2)/2))</f>
        <v/>
      </c>
      <c r="L148" s="162">
        <f>+IF(E148&lt;0.5,IF(H147=0,0.5,IF(H147=1,5/8,IF(H147=2,0.5,1))),"")</f>
        <v>1</v>
      </c>
      <c r="M148" s="143"/>
      <c r="N148" s="176"/>
      <c r="O148" s="135"/>
      <c r="P148" s="204"/>
      <c r="Q148" s="193"/>
      <c r="R148" s="193"/>
      <c r="S148" s="26"/>
      <c r="T148" s="26"/>
      <c r="U148" s="280"/>
      <c r="V148" s="280"/>
      <c r="W148" s="280"/>
      <c r="X148" s="280"/>
    </row>
    <row r="149" spans="1:24" s="22" customFormat="1" ht="15.95" customHeight="1">
      <c r="B149" s="418"/>
      <c r="C149" s="616"/>
      <c r="D149" s="168"/>
      <c r="E149" s="185" t="s">
        <v>108</v>
      </c>
      <c r="F149" s="186">
        <f>IF(B147="","",IF(M150="LX",IF(E148&lt;0.5,IF(H147=0,1/24,IF(H147=1,9/125,IF(H147=2,1/8,0))),IF(H147=4,VLOOKUP(E148,COEFICIENTES!$A$8:$N$58,2),IF(H147=3,VLOOKUP(E148,COEFICIENTES!$A$8:$N$58,4),IF(H147=2,VLOOKUP(E148,COEFICIENTES!$A$8:$N$58,7),IF(H147=1,VLOOKUP(E148,COEFICIENTES!$A$8:$N$58,10),VLOOKUP(E148,COEFICIENTES!$A$8:$N$58,13)))))),IF(H147=4,COEFICIENTES!$B$60,IF(H147=3,COEFICIENTES!$D$60,IF(H147=2,COEFICIENTES!$G$60,IF(H147=1,COEFICIENTES!$J$60,COEFICIENTES!$M$60))))))</f>
        <v>2.5000000000000001E-2</v>
      </c>
      <c r="G149" s="187"/>
      <c r="H149" s="185" t="s">
        <v>109</v>
      </c>
      <c r="I149" s="606">
        <f>IF(F149="",0,ROUND(F149*LOOKUP(B$147,Espesor!$C$8:$C$41,Espesor!$Z$8:$Z$41)*POWER(MIN(C$152,D$150),2),4))</f>
        <v>0</v>
      </c>
      <c r="J149" s="606"/>
      <c r="K149" s="607">
        <f>IF(M150="LY",LOOKUP(B147,Espesor!$C$8:$C$41,Espesor!$AA$8:$AA$41),LOOKUP(B147,Espesor!$C$8:$C$41,Espesor!$AB$8:$AB$41))</f>
        <v>0</v>
      </c>
      <c r="L149" s="607"/>
      <c r="M149" s="143"/>
      <c r="N149" s="171"/>
      <c r="O149" s="135"/>
      <c r="P149" s="204"/>
      <c r="Q149" s="193"/>
      <c r="R149" s="193"/>
      <c r="S149" s="26"/>
      <c r="T149" s="26"/>
      <c r="U149" s="280"/>
      <c r="V149" s="280"/>
      <c r="W149" s="280"/>
      <c r="X149" s="280"/>
    </row>
    <row r="150" spans="1:24" s="22" customFormat="1" ht="15.95" customHeight="1">
      <c r="B150" s="418"/>
      <c r="C150" s="617"/>
      <c r="D150" s="169">
        <f>IF(B147="","",VLOOKUP(B147,Espesor!$C$8:$E$41,3))</f>
        <v>0</v>
      </c>
      <c r="E150" s="185" t="s">
        <v>110</v>
      </c>
      <c r="F150" s="186">
        <f>IF(B147="","",IF(M150="LX",IF(E148&lt;0.5,IF(H147=0,1/12,IF(H147=1,3/8,IF(H147=2,0,0.5))),IF(H147=4,VLOOKUP(E148,COEFICIENTES!$A$8:$N$58,3),IF(H147=3,VLOOKUP(E148,COEFICIENTES!$A$8:$N$58,6),IF(H147=2,VLOOKUP(E148,COEFICIENTES!$A$8:$N$58,9),IF(H147=1,VLOOKUP(E148,COEFICIENTES!$A$8:$N$58,12),VLOOKUP(E148,COEFICIENTES!$A$8:$N$58,14)))))),IF(H147=4,COEFICIENTES!$C$60,IF(H147=3,COEFICIENTES!$F$60,IF(H147=2,COEFICIENTES!$I$60,IF(H147=1,COEFICIENTES!$L$60,COEFICIENTES!$N$60))))))</f>
        <v>3.3000000000000002E-2</v>
      </c>
      <c r="G150" s="153"/>
      <c r="H150" s="185" t="s">
        <v>111</v>
      </c>
      <c r="I150" s="606">
        <f>IF(F150="",0,ROUND(F150*LOOKUP(B$147,Espesor!$C$8:$C$41,Espesor!$Z$8:$Z$41)*POWER(MIN(C$152,D$150),2),4))</f>
        <v>0</v>
      </c>
      <c r="J150" s="606"/>
      <c r="K150" s="608">
        <f>IF(M150="LX",LOOKUP(B147,Espesor!$C$8:$C$41,Espesor!$AA$8:$AA$41),LOOKUP(B147,Espesor!$C$8:$C$41,Espesor!$AB$8:$AB$41))</f>
        <v>0</v>
      </c>
      <c r="L150" s="608"/>
      <c r="M150" s="170" t="str">
        <f>+IF(MIN(C152,D150)=D150,"LY","LX")</f>
        <v>LY</v>
      </c>
      <c r="N150" s="171" t="str">
        <f>+IF(M150="","",IF(M150="LY","LX","LY"))</f>
        <v>LX</v>
      </c>
      <c r="O150" s="135"/>
      <c r="P150" s="204"/>
      <c r="Q150" s="193"/>
      <c r="R150" s="193"/>
      <c r="S150" s="26"/>
      <c r="T150" s="26"/>
      <c r="U150" s="280"/>
      <c r="V150" s="280"/>
      <c r="W150" s="280"/>
      <c r="X150" s="280"/>
    </row>
    <row r="151" spans="1:24" s="22" customFormat="1" ht="15.95" customHeight="1" thickBot="1">
      <c r="B151" s="418"/>
      <c r="C151" s="618"/>
      <c r="D151" s="168"/>
      <c r="E151" s="185" t="s">
        <v>112</v>
      </c>
      <c r="F151" s="186">
        <f>IF(B147="","",IF(M150="LY",IF(E148&lt;0.5,IF(H147=0,1/24,IF(H147=1,9/125,IF(H147=2,1/8,0))),IF(H147=4,VLOOKUP(E148,COEFICIENTES!$A$8:$N$58,2),IF(H147=3,VLOOKUP(E148,COEFICIENTES!$A$8:$N$58,4),IF(H147=2,VLOOKUP(E148,COEFICIENTES!$A$8:$N$58,7),IF(H147=1,VLOOKUP(E148,COEFICIENTES!$A$8:$N$58,10),VLOOKUP(E148,COEFICIENTES!$A$8:$N$58,13)))))),IF(H147=4,COEFICIENTES!$B$60,IF(H147=3,COEFICIENTES!$D$60,IF(H147=2,COEFICIENTES!$G$60,IF(H147=1,COEFICIENTES!$J$60,COEFICIENTES!$M$60))))))</f>
        <v>0</v>
      </c>
      <c r="G151" s="153"/>
      <c r="H151" s="185" t="s">
        <v>113</v>
      </c>
      <c r="I151" s="606">
        <f>IF(F151="",0,ROUND(F151*LOOKUP(B$147,Espesor!$C$8:$C$41,Espesor!$Z$8:$Z$41)*POWER(MIN(C$152,D$150),2),4))</f>
        <v>0</v>
      </c>
      <c r="J151" s="606"/>
      <c r="K151" s="182"/>
      <c r="L151" s="174"/>
      <c r="M151" s="143"/>
      <c r="N151" s="171"/>
      <c r="O151" s="135"/>
      <c r="P151" s="204"/>
      <c r="Q151" s="193"/>
      <c r="R151" s="193"/>
      <c r="S151" s="26"/>
      <c r="T151" s="26"/>
      <c r="U151" s="280"/>
      <c r="V151" s="280"/>
      <c r="W151" s="280"/>
      <c r="X151" s="280"/>
    </row>
    <row r="152" spans="1:24" s="22" customFormat="1" ht="15.95" customHeight="1">
      <c r="B152" s="418"/>
      <c r="C152" s="600">
        <f>IF(B147="","",VLOOKUP(B147,Espesor!$C$8:$E$41,2))</f>
        <v>0</v>
      </c>
      <c r="D152" s="168"/>
      <c r="E152" s="185" t="s">
        <v>114</v>
      </c>
      <c r="F152" s="186">
        <f>IF(B147="","",IF(M150="LY",IF(E148&lt;0.5,IF(H147=0,1/12,IF(H147=1,3/8,IF(H147=2,0,0.5))),IF(H147=4,VLOOKUP(E148,COEFICIENTES!$A$8:$N$58,3),IF(H147=3,VLOOKUP(E148,COEFICIENTES!$A$8:$N$58,6),IF(H147=2,VLOOKUP(E148,COEFICIENTES!$A$8:$N$58,9),IF(H147=1,VLOOKUP(E148,COEFICIENTES!$A$8:$N$58,12),VLOOKUP(E148,COEFICIENTES!$A$8:$N$58,14)))))),IF(H147=4,COEFICIENTES!$C$60,IF(H147=3,COEFICIENTES!$F$60,IF(H147=2,COEFICIENTES!$I$60,IF(H147=1,COEFICIENTES!$L$60,COEFICIENTES!$N$60))))))</f>
        <v>0.5</v>
      </c>
      <c r="G152" s="153"/>
      <c r="H152" s="185" t="s">
        <v>115</v>
      </c>
      <c r="I152" s="606">
        <f>IF(F152="",0,ROUND(F152*LOOKUP(B$147,Espesor!$C$8:$C$41,Espesor!$Z$8:$Z$41)*POWER(MIN(C$152,D$150),2),4))</f>
        <v>0</v>
      </c>
      <c r="J152" s="606"/>
      <c r="K152" s="182"/>
      <c r="L152" s="174"/>
      <c r="M152" s="171"/>
      <c r="N152" s="171"/>
      <c r="O152" s="135"/>
      <c r="P152" s="204"/>
      <c r="Q152" s="193"/>
      <c r="R152" s="193"/>
      <c r="S152" s="26"/>
      <c r="T152" s="26"/>
      <c r="U152" s="280"/>
      <c r="V152" s="280"/>
      <c r="W152" s="280"/>
      <c r="X152" s="280"/>
    </row>
    <row r="153" spans="1:24" s="22" customFormat="1" ht="15.95" customHeight="1">
      <c r="B153" s="418"/>
      <c r="C153" s="601"/>
      <c r="D153" s="168"/>
      <c r="E153" s="185"/>
      <c r="F153" s="147"/>
      <c r="G153" s="153"/>
      <c r="H153" s="153"/>
      <c r="I153" s="188"/>
      <c r="J153" s="185"/>
      <c r="K153" s="178"/>
      <c r="L153" s="178"/>
      <c r="M153" s="171"/>
      <c r="N153" s="171"/>
      <c r="O153" s="135"/>
      <c r="P153" s="204"/>
      <c r="Q153" s="193"/>
      <c r="R153" s="193"/>
      <c r="S153" s="26"/>
      <c r="T153" s="26"/>
      <c r="U153" s="280"/>
      <c r="V153" s="280"/>
      <c r="W153" s="280"/>
      <c r="X153" s="280"/>
    </row>
    <row r="154" spans="1:24" s="22" customFormat="1" ht="15.95" customHeight="1">
      <c r="B154" s="418"/>
      <c r="C154" s="179"/>
      <c r="D154" s="168"/>
      <c r="E154" s="185"/>
      <c r="F154" s="147"/>
      <c r="G154" s="153"/>
      <c r="H154" s="153"/>
      <c r="I154" s="188"/>
      <c r="J154" s="185"/>
      <c r="K154" s="178"/>
      <c r="L154" s="178"/>
      <c r="M154" s="171"/>
      <c r="N154" s="171"/>
      <c r="O154" s="135"/>
      <c r="P154" s="204"/>
      <c r="Q154" s="193"/>
      <c r="R154" s="193"/>
      <c r="S154" s="26"/>
      <c r="T154" s="26"/>
      <c r="U154" s="280"/>
      <c r="V154" s="280"/>
      <c r="W154" s="280"/>
      <c r="X154" s="280"/>
    </row>
    <row r="155" spans="1:24" s="22" customFormat="1" ht="15.95" customHeight="1">
      <c r="A155" s="347" t="str">
        <f>+Espesor!B27</f>
        <v>Lt-</v>
      </c>
      <c r="B155" s="347">
        <f>IF(B147="","",IF(Espesor!$D$4&gt;=(B147+1),B147+1,""))</f>
        <v>20</v>
      </c>
      <c r="C155" s="604" t="str">
        <f>IF(B155&lt;=Espesor!$D$4,Espesor!$G$5,"")</f>
        <v>Losa armada en</v>
      </c>
      <c r="D155" s="604"/>
      <c r="E155" s="602" t="str">
        <f>IF(C155="","",LOOKUP(B155,Espesor!$C$8:$C$41,Espesor!$G$8:$G$41))</f>
        <v/>
      </c>
      <c r="F155" s="602"/>
      <c r="G155" s="602"/>
      <c r="H155" s="167" t="str">
        <f>IF(B155="","",LOOKUP(B155,Espesor!$C$8:$C$41,Espesor!$J$8:$J$41))</f>
        <v/>
      </c>
      <c r="I155" s="603" t="str">
        <f>IF(B155="","",IF(H155&gt;1,Espesor!$H$5,"Borde Discontinuo"))</f>
        <v>Bordes Discontinuos</v>
      </c>
      <c r="J155" s="603"/>
      <c r="K155" s="603"/>
      <c r="P155" s="191"/>
      <c r="Q155" s="193"/>
      <c r="R155" s="193"/>
      <c r="S155" s="26"/>
      <c r="T155" s="26"/>
      <c r="U155" s="280"/>
      <c r="V155" s="280"/>
      <c r="W155" s="280"/>
      <c r="X155" s="280"/>
    </row>
    <row r="156" spans="1:24" s="22" customFormat="1" ht="15.95" customHeight="1" thickBot="1">
      <c r="B156" s="418"/>
      <c r="C156" s="165"/>
      <c r="D156" s="175"/>
      <c r="E156" s="611">
        <f>IF(B155="","",LOOKUP(B155,Espesor!$C$8:$C$41,Espesor!$F$8:$F$41))</f>
        <v>0</v>
      </c>
      <c r="F156" s="611"/>
      <c r="G156" s="609" t="str">
        <f>IF(B155="","",LOOKUP(B155,Espesor!$C$8:$C$41,Espesor!$K$8:$K$41))</f>
        <v/>
      </c>
      <c r="H156" s="609"/>
      <c r="I156" s="609"/>
      <c r="J156" s="145" t="str">
        <f>IF(B155="","",IF(E156&lt;0.5,"","alfa ="))</f>
        <v/>
      </c>
      <c r="K156" s="146" t="str">
        <f>IF(B155="","",IF(E156&lt;0.5,"",(3-(E156)^2)/2))</f>
        <v/>
      </c>
      <c r="L156" s="162">
        <f>+IF(E156&lt;0.5,IF(H155=0,0.5,IF(H155=1,5/8,IF(H155=2,0.5,1))),"")</f>
        <v>1</v>
      </c>
      <c r="M156" s="143"/>
      <c r="N156" s="176"/>
      <c r="O156" s="135"/>
      <c r="P156" s="204"/>
      <c r="Q156" s="193"/>
      <c r="R156" s="193"/>
      <c r="S156" s="26"/>
      <c r="T156" s="26"/>
      <c r="U156" s="280"/>
      <c r="V156" s="280"/>
      <c r="W156" s="280"/>
      <c r="X156" s="280"/>
    </row>
    <row r="157" spans="1:24" s="22" customFormat="1" ht="15.95" customHeight="1">
      <c r="B157" s="418"/>
      <c r="C157" s="616"/>
      <c r="D157" s="168"/>
      <c r="E157" s="185" t="s">
        <v>108</v>
      </c>
      <c r="F157" s="186">
        <f>IF(B155="","",IF(M158="LX",IF(E156&lt;0.5,IF(H155=0,1/24,IF(H155=1,9/125,IF(H155=2,1/8,0))),IF(H155=4,VLOOKUP(E156,COEFICIENTES!$A$8:$N$58,2),IF(H155=3,VLOOKUP(E156,COEFICIENTES!$A$8:$N$58,4),IF(H155=2,VLOOKUP(E156,COEFICIENTES!$A$8:$N$58,7),IF(H155=1,VLOOKUP(E156,COEFICIENTES!$A$8:$N$58,10),VLOOKUP(E156,COEFICIENTES!$A$8:$N$58,13)))))),IF(H155=4,COEFICIENTES!$B$60,IF(H155=3,COEFICIENTES!$D$60,IF(H155=2,COEFICIENTES!$G$60,IF(H155=1,COEFICIENTES!$J$60,COEFICIENTES!$M$60))))))</f>
        <v>2.5000000000000001E-2</v>
      </c>
      <c r="G157" s="187"/>
      <c r="H157" s="185" t="s">
        <v>109</v>
      </c>
      <c r="I157" s="606">
        <f>IF(F157="",0,ROUND(F157*LOOKUP(B$155,Espesor!$C$8:$C$41,Espesor!$Z$8:$Z$41)*POWER(MIN(C$160,D$158),2),4))</f>
        <v>0</v>
      </c>
      <c r="J157" s="606"/>
      <c r="K157" s="607">
        <f>IF(M158="LY",LOOKUP(B155,Espesor!$C$8:$C$41,Espesor!$AA$8:$AA$41),LOOKUP(B155,Espesor!$C$8:$C$41,Espesor!$AB$8:$AB$41))</f>
        <v>0</v>
      </c>
      <c r="L157" s="607"/>
      <c r="M157" s="143"/>
      <c r="N157" s="171"/>
      <c r="O157" s="136"/>
      <c r="P157" s="204"/>
      <c r="Q157" s="193"/>
      <c r="R157" s="193"/>
      <c r="S157" s="26"/>
      <c r="T157" s="26"/>
      <c r="U157" s="280"/>
      <c r="V157" s="280"/>
      <c r="W157" s="280"/>
      <c r="X157" s="280"/>
    </row>
    <row r="158" spans="1:24" s="22" customFormat="1" ht="15.95" customHeight="1">
      <c r="B158" s="418"/>
      <c r="C158" s="617"/>
      <c r="D158" s="169">
        <f>IF(B155="","",VLOOKUP(B155,Espesor!$C$8:$E$41,3))</f>
        <v>0</v>
      </c>
      <c r="E158" s="185" t="s">
        <v>110</v>
      </c>
      <c r="F158" s="186">
        <f>IF(B155="","",IF(M158="LX",IF(E156&lt;0.5,IF(H155=0,1/12,IF(H155=1,3/8,IF(H155=2,0,0.5))),IF(H155=4,VLOOKUP(E156,COEFICIENTES!$A$8:$N$58,3),IF(H155=3,VLOOKUP(E156,COEFICIENTES!$A$8:$N$58,6),IF(H155=2,VLOOKUP(E156,COEFICIENTES!$A$8:$N$58,9),IF(H155=1,VLOOKUP(E156,COEFICIENTES!$A$8:$N$58,12),VLOOKUP(E156,COEFICIENTES!$A$8:$N$58,14)))))),IF(H155=4,COEFICIENTES!$C$60,IF(H155=3,COEFICIENTES!$F$60,IF(H155=2,COEFICIENTES!$I$60,IF(H155=1,COEFICIENTES!$L$60,COEFICIENTES!$N$60))))))</f>
        <v>3.3000000000000002E-2</v>
      </c>
      <c r="G158" s="153"/>
      <c r="H158" s="185" t="s">
        <v>111</v>
      </c>
      <c r="I158" s="606">
        <f>IF(F158="",0,ROUND(F158*LOOKUP(B$155,Espesor!$C$8:$C$41,Espesor!$Z$8:$Z$41)*POWER(MIN(C$160,D$158),2),4))</f>
        <v>0</v>
      </c>
      <c r="J158" s="606"/>
      <c r="K158" s="608">
        <f>IF(M158="LX",LOOKUP(B155,Espesor!$C$8:$C$41,Espesor!$AA$8:$AA$41),LOOKUP(B155,Espesor!$C$8:$C$41,Espesor!$AB$8:$AB$41))</f>
        <v>0</v>
      </c>
      <c r="L158" s="608"/>
      <c r="M158" s="170" t="str">
        <f>+IF(MIN(C160,D158)=D158,"LY","LX")</f>
        <v>LY</v>
      </c>
      <c r="N158" s="171" t="str">
        <f>+IF(M158="","",IF(M158="LY","LX","LY"))</f>
        <v>LX</v>
      </c>
      <c r="O158" s="135"/>
      <c r="P158" s="204"/>
      <c r="Q158" s="193"/>
      <c r="R158" s="193"/>
      <c r="S158" s="26"/>
      <c r="T158" s="26"/>
      <c r="U158" s="280"/>
      <c r="V158" s="280"/>
      <c r="W158" s="280"/>
      <c r="X158" s="280"/>
    </row>
    <row r="159" spans="1:24" s="23" customFormat="1" ht="15.95" customHeight="1" thickBot="1">
      <c r="B159" s="418"/>
      <c r="C159" s="618"/>
      <c r="D159" s="168"/>
      <c r="E159" s="185" t="s">
        <v>112</v>
      </c>
      <c r="F159" s="186">
        <f>IF(B155="","",IF(M158="LY",IF(E156&lt;0.5,IF(H155=0,1/24,IF(H155=1,9/125,IF(H155=2,1/8,0))),IF(H155=4,VLOOKUP(E156,COEFICIENTES!$A$8:$N$58,2),IF(H155=3,VLOOKUP(E156,COEFICIENTES!$A$8:$N$58,4),IF(H155=2,VLOOKUP(E156,COEFICIENTES!$A$8:$N$58,7),IF(H155=1,VLOOKUP(E156,COEFICIENTES!$A$8:$N$58,10),VLOOKUP(E156,COEFICIENTES!$A$8:$N$58,13)))))),IF(H155=4,COEFICIENTES!$B$60,IF(H155=3,COEFICIENTES!$D$60,IF(H155=2,COEFICIENTES!$G$60,IF(H155=1,COEFICIENTES!$J$60,COEFICIENTES!$M$60))))))</f>
        <v>0</v>
      </c>
      <c r="G159" s="153"/>
      <c r="H159" s="185" t="s">
        <v>113</v>
      </c>
      <c r="I159" s="606">
        <f>IF(F159="",0,ROUND(F159*LOOKUP(B$155,Espesor!$C$8:$C$41,Espesor!$Z$8:$Z$41)*POWER(MIN(C$160,D$158),2),4))</f>
        <v>0</v>
      </c>
      <c r="J159" s="606"/>
      <c r="K159" s="182"/>
      <c r="L159" s="174"/>
      <c r="M159" s="147"/>
      <c r="N159" s="153"/>
      <c r="O159" s="137"/>
      <c r="P159" s="205"/>
      <c r="Q159" s="193"/>
      <c r="R159" s="193"/>
      <c r="S159" s="26"/>
      <c r="T159" s="26"/>
      <c r="U159" s="281"/>
      <c r="V159" s="281"/>
      <c r="W159" s="281"/>
      <c r="X159" s="281"/>
    </row>
    <row r="160" spans="1:24" s="23" customFormat="1" ht="15.95" customHeight="1">
      <c r="B160" s="418"/>
      <c r="C160" s="600">
        <f>IF(B155="","",VLOOKUP(B155,Espesor!$C$8:$E$41,2))</f>
        <v>0</v>
      </c>
      <c r="D160" s="168"/>
      <c r="E160" s="185" t="s">
        <v>114</v>
      </c>
      <c r="F160" s="186">
        <f>IF(B155="","",IF(M158="LY",IF(E156&lt;0.5,IF(H155=0,1/12,IF(H155=1,3/8,IF(H155=2,0,0.5))),IF(H155=4,VLOOKUP(E156,COEFICIENTES!$A$8:$N$58,3),IF(H155=3,VLOOKUP(E156,COEFICIENTES!$A$8:$N$58,6),IF(H155=2,VLOOKUP(E156,COEFICIENTES!$A$8:$N$58,9),IF(H155=1,VLOOKUP(E156,COEFICIENTES!$A$8:$N$58,12),VLOOKUP(E156,COEFICIENTES!$A$8:$N$58,14)))))),IF(H155=4,COEFICIENTES!$C$60,IF(H155=3,COEFICIENTES!$F$60,IF(H155=2,COEFICIENTES!$I$60,IF(H155=1,COEFICIENTES!$L$60,COEFICIENTES!$N$60))))))</f>
        <v>0.5</v>
      </c>
      <c r="G160" s="153"/>
      <c r="H160" s="185" t="s">
        <v>115</v>
      </c>
      <c r="I160" s="606">
        <f>IF(F160="",0,ROUND(F160*LOOKUP(B$155,Espesor!$C$8:$C$41,Espesor!$Z$8:$Z$41)*POWER(MIN(C$160,D$158),2),4))</f>
        <v>0</v>
      </c>
      <c r="J160" s="606"/>
      <c r="K160" s="182"/>
      <c r="L160" s="174"/>
      <c r="M160" s="153"/>
      <c r="N160" s="153"/>
      <c r="O160" s="137"/>
      <c r="P160" s="205"/>
      <c r="Q160" s="193"/>
      <c r="R160" s="193"/>
      <c r="S160" s="26"/>
      <c r="T160" s="26"/>
      <c r="U160" s="281"/>
      <c r="V160" s="281"/>
      <c r="W160" s="281"/>
      <c r="X160" s="281"/>
    </row>
    <row r="161" spans="1:24" s="23" customFormat="1" ht="15.95" customHeight="1">
      <c r="B161" s="418"/>
      <c r="C161" s="601"/>
      <c r="D161" s="168"/>
      <c r="E161" s="185"/>
      <c r="F161" s="147"/>
      <c r="G161" s="153"/>
      <c r="H161" s="153"/>
      <c r="I161" s="188"/>
      <c r="J161" s="185"/>
      <c r="K161" s="178"/>
      <c r="L161" s="178"/>
      <c r="M161" s="153"/>
      <c r="N161" s="153"/>
      <c r="O161" s="137"/>
      <c r="P161" s="205"/>
      <c r="Q161" s="193"/>
      <c r="R161" s="193"/>
      <c r="S161" s="26"/>
      <c r="T161" s="26"/>
      <c r="U161" s="281"/>
      <c r="V161" s="281"/>
      <c r="W161" s="281"/>
      <c r="X161" s="281"/>
    </row>
    <row r="162" spans="1:24" s="23" customFormat="1" ht="15.95" customHeight="1">
      <c r="B162" s="418"/>
      <c r="C162" s="179"/>
      <c r="D162" s="168"/>
      <c r="E162" s="185"/>
      <c r="F162" s="147"/>
      <c r="G162" s="153"/>
      <c r="H162" s="153"/>
      <c r="I162" s="188"/>
      <c r="J162" s="185"/>
      <c r="K162" s="178"/>
      <c r="L162" s="178"/>
      <c r="M162" s="153"/>
      <c r="N162" s="153"/>
      <c r="O162" s="137"/>
      <c r="P162" s="205"/>
      <c r="Q162" s="193"/>
      <c r="R162" s="193"/>
      <c r="S162" s="26"/>
      <c r="T162" s="26"/>
      <c r="U162" s="281"/>
      <c r="V162" s="281"/>
      <c r="W162" s="281"/>
      <c r="X162" s="281"/>
    </row>
    <row r="163" spans="1:24" s="23" customFormat="1" ht="15.95" customHeight="1">
      <c r="A163" s="347" t="str">
        <f>+Espesor!B28</f>
        <v>Lt-</v>
      </c>
      <c r="B163" s="347">
        <f>IF(B155="","",IF(Espesor!$D$4&gt;=(B155+1),B155+1,""))</f>
        <v>21</v>
      </c>
      <c r="C163" s="604" t="str">
        <f>IF(B163&lt;=Espesor!$D$4,Espesor!$G$5,"")</f>
        <v>Losa armada en</v>
      </c>
      <c r="D163" s="604"/>
      <c r="E163" s="602" t="str">
        <f>IF(C163="","",LOOKUP(B163,Espesor!$C$8:$C$41,Espesor!$G$8:$G$41))</f>
        <v/>
      </c>
      <c r="F163" s="602"/>
      <c r="G163" s="602"/>
      <c r="H163" s="167" t="str">
        <f>IF(B163="","",LOOKUP(B163,Espesor!$C$8:$C$41,Espesor!$J$8:$J$41))</f>
        <v/>
      </c>
      <c r="I163" s="603" t="str">
        <f>IF(B163="","",IF(H163&gt;1,Espesor!$H$5,"Borde Discontinuo"))</f>
        <v>Bordes Discontinuos</v>
      </c>
      <c r="J163" s="603"/>
      <c r="K163" s="603"/>
      <c r="P163" s="191"/>
      <c r="Q163" s="193"/>
      <c r="R163" s="193"/>
      <c r="S163" s="26"/>
      <c r="T163" s="26"/>
      <c r="U163" s="281"/>
      <c r="V163" s="281"/>
      <c r="W163" s="281"/>
      <c r="X163" s="281"/>
    </row>
    <row r="164" spans="1:24" s="23" customFormat="1" ht="15.95" customHeight="1" thickBot="1">
      <c r="A164" s="22"/>
      <c r="B164" s="418"/>
      <c r="C164" s="165"/>
      <c r="D164" s="175"/>
      <c r="E164" s="611">
        <f>IF(B163="","",LOOKUP(B163,Espesor!$C$8:$C$41,Espesor!$F$8:$F$41))</f>
        <v>0</v>
      </c>
      <c r="F164" s="611"/>
      <c r="G164" s="609" t="str">
        <f>IF(B163="","",LOOKUP(B163,Espesor!$C$8:$C$41,Espesor!$K$8:$K$41))</f>
        <v/>
      </c>
      <c r="H164" s="609"/>
      <c r="I164" s="609"/>
      <c r="J164" s="145" t="str">
        <f>IF(B163="","",IF(E164&lt;0.5,"","alfa ="))</f>
        <v/>
      </c>
      <c r="K164" s="146" t="str">
        <f>IF(B163="","",IF(E164&lt;0.5,"",(3-(E164)^2)/2))</f>
        <v/>
      </c>
      <c r="L164" s="162">
        <f>+IF(E164&lt;0.5,IF(H163=0,0.5,IF(H163=1,5/8,IF(H163=2,0.5,1))),"")</f>
        <v>1</v>
      </c>
      <c r="M164" s="147"/>
      <c r="N164" s="183"/>
      <c r="O164" s="137"/>
      <c r="P164" s="205"/>
      <c r="Q164" s="193"/>
      <c r="R164" s="193"/>
      <c r="S164" s="26"/>
      <c r="T164" s="26"/>
      <c r="U164" s="281"/>
      <c r="V164" s="281"/>
      <c r="W164" s="281"/>
      <c r="X164" s="281"/>
    </row>
    <row r="165" spans="1:24" s="23" customFormat="1" ht="15.95" customHeight="1">
      <c r="A165" s="22"/>
      <c r="B165" s="418"/>
      <c r="C165" s="616"/>
      <c r="D165" s="168"/>
      <c r="E165" s="185" t="s">
        <v>108</v>
      </c>
      <c r="F165" s="186">
        <f>IF(B163="","",IF(M166="LX",IF(E164&lt;0.5,IF(H163=0,1/24,IF(H163=1,9/125,IF(H163=2,1/8,0))),IF(H163=4,VLOOKUP(E164,COEFICIENTES!$A$8:$N$58,2),IF(H163=3,VLOOKUP(E164,COEFICIENTES!$A$8:$N$58,4),IF(H163=2,VLOOKUP(E164,COEFICIENTES!$A$8:$N$58,7),IF(H163=1,VLOOKUP(E164,COEFICIENTES!$A$8:$N$58,10),VLOOKUP(E164,COEFICIENTES!$A$8:$N$58,13)))))),IF(H163=4,COEFICIENTES!$B$60,IF(H163=3,COEFICIENTES!$D$60,IF(H163=2,COEFICIENTES!$G$60,IF(H163=1,COEFICIENTES!$J$60,COEFICIENTES!$M$60))))))</f>
        <v>2.5000000000000001E-2</v>
      </c>
      <c r="G165" s="187"/>
      <c r="H165" s="185" t="s">
        <v>109</v>
      </c>
      <c r="I165" s="606">
        <f>IF(F165="",0,ROUND(F165*LOOKUP(B$163,Espesor!$C$8:$C$41,Espesor!$Z$8:$Z$41)*POWER(MIN(C$168,D$166),2),4))</f>
        <v>0</v>
      </c>
      <c r="J165" s="606"/>
      <c r="K165" s="607">
        <f>IF(M166="LY",LOOKUP(B163,Espesor!$C$8:$C$41,Espesor!$AA$8:$AA$41),LOOKUP(B163,Espesor!$C$8:$C$41,Espesor!$AB$8:$AB$41))</f>
        <v>0</v>
      </c>
      <c r="L165" s="607"/>
      <c r="M165" s="147"/>
      <c r="N165" s="153"/>
      <c r="O165" s="137"/>
      <c r="P165" s="205"/>
      <c r="Q165" s="193"/>
      <c r="R165" s="193"/>
      <c r="S165" s="26"/>
      <c r="T165" s="26"/>
      <c r="U165" s="281"/>
      <c r="V165" s="281"/>
      <c r="W165" s="281"/>
      <c r="X165" s="281"/>
    </row>
    <row r="166" spans="1:24" s="23" customFormat="1" ht="15.95" customHeight="1">
      <c r="A166" s="22"/>
      <c r="B166" s="418"/>
      <c r="C166" s="617"/>
      <c r="D166" s="169">
        <f>IF(B163="","",VLOOKUP(B163,Espesor!$C$8:$E$41,3))</f>
        <v>0</v>
      </c>
      <c r="E166" s="185" t="s">
        <v>110</v>
      </c>
      <c r="F166" s="186">
        <f>IF(B163="","",IF(M166="LX",IF(E164&lt;0.5,IF(H163=0,1/12,IF(H163=1,3/8,IF(H163=2,0,0.5))),IF(H163=4,VLOOKUP(E164,COEFICIENTES!$A$8:$N$58,3),IF(H163=3,VLOOKUP(E164,COEFICIENTES!$A$8:$N$58,6),IF(H163=2,VLOOKUP(E164,COEFICIENTES!$A$8:$N$58,9),IF(H163=1,VLOOKUP(E164,COEFICIENTES!$A$8:$N$58,12),VLOOKUP(E164,COEFICIENTES!$A$8:$N$58,14)))))),IF(H163=4,COEFICIENTES!$C$60,IF(H163=3,COEFICIENTES!$F$60,IF(H163=2,COEFICIENTES!$I$60,IF(H163=1,COEFICIENTES!$L$60,COEFICIENTES!$N$60))))))</f>
        <v>3.3000000000000002E-2</v>
      </c>
      <c r="G166" s="153"/>
      <c r="H166" s="185" t="s">
        <v>111</v>
      </c>
      <c r="I166" s="606">
        <f>IF(F166="",0,ROUND(F166*LOOKUP(B$163,Espesor!$C$8:$C$41,Espesor!$Z$8:$Z$41)*POWER(MIN(C$168,D$166),2),4))</f>
        <v>0</v>
      </c>
      <c r="J166" s="606"/>
      <c r="K166" s="608">
        <f>IF(M166="LX",LOOKUP(B163,Espesor!$C$8:$C$41,Espesor!$AA$8:$AA$41),LOOKUP(B163,Espesor!$C$8:$C$41,Espesor!$AB$8:$AB$41))</f>
        <v>0</v>
      </c>
      <c r="L166" s="608"/>
      <c r="M166" s="170" t="str">
        <f>+IF(MIN(C168,D166)=D166,"LY","LX")</f>
        <v>LY</v>
      </c>
      <c r="N166" s="153" t="str">
        <f>+IF(M166="","",IF(M166="LY","LX","LY"))</f>
        <v>LX</v>
      </c>
      <c r="O166" s="137"/>
      <c r="P166" s="205"/>
      <c r="Q166" s="193"/>
      <c r="R166" s="193"/>
      <c r="S166" s="26"/>
      <c r="T166" s="26"/>
      <c r="U166" s="281"/>
      <c r="V166" s="281"/>
      <c r="W166" s="281"/>
      <c r="X166" s="281"/>
    </row>
    <row r="167" spans="1:24" s="23" customFormat="1" ht="15.95" customHeight="1" thickBot="1">
      <c r="A167" s="22"/>
      <c r="B167" s="418"/>
      <c r="C167" s="618"/>
      <c r="D167" s="168"/>
      <c r="E167" s="185" t="s">
        <v>112</v>
      </c>
      <c r="F167" s="186">
        <f>IF(B163="","",IF(M166="LY",IF(E164&lt;0.5,IF(H163=0,1/24,IF(H163=1,9/125,IF(H163=2,1/8,0))),IF(H163=4,VLOOKUP(E164,COEFICIENTES!$A$8:$N$58,2),IF(H163=3,VLOOKUP(E164,COEFICIENTES!$A$8:$N$58,4),IF(H163=2,VLOOKUP(E164,COEFICIENTES!$A$8:$N$58,7),IF(H163=1,VLOOKUP(E164,COEFICIENTES!$A$8:$N$58,10),VLOOKUP(E164,COEFICIENTES!$A$8:$N$58,13)))))),IF(H163=4,COEFICIENTES!$B$60,IF(H163=3,COEFICIENTES!$D$60,IF(H163=2,COEFICIENTES!$G$60,IF(H163=1,COEFICIENTES!$J$60,COEFICIENTES!$M$60))))))</f>
        <v>0</v>
      </c>
      <c r="G167" s="153"/>
      <c r="H167" s="185" t="s">
        <v>113</v>
      </c>
      <c r="I167" s="606">
        <f>IF(F167="",0,ROUND(F167*LOOKUP(B$163,Espesor!$C$8:$C$41,Espesor!$Z$8:$Z$41)*POWER(MIN(C$168,D$166),2),4))</f>
        <v>0</v>
      </c>
      <c r="J167" s="606"/>
      <c r="K167" s="182"/>
      <c r="L167" s="174"/>
      <c r="M167" s="147"/>
      <c r="N167" s="153"/>
      <c r="O167" s="137"/>
      <c r="P167" s="205"/>
      <c r="Q167" s="193"/>
      <c r="R167" s="193"/>
      <c r="S167" s="26"/>
      <c r="T167" s="26"/>
      <c r="U167" s="281"/>
      <c r="V167" s="281"/>
      <c r="W167" s="281"/>
      <c r="X167" s="281"/>
    </row>
    <row r="168" spans="1:24" s="23" customFormat="1" ht="15.95" customHeight="1">
      <c r="A168" s="22"/>
      <c r="B168" s="418"/>
      <c r="C168" s="600">
        <f>IF(B163="","",VLOOKUP(B163,Espesor!$C$8:$E$41,2))</f>
        <v>0</v>
      </c>
      <c r="D168" s="168"/>
      <c r="E168" s="185" t="s">
        <v>114</v>
      </c>
      <c r="F168" s="186">
        <f>IF(B163="","",IF(M166="LY",IF(E164&lt;0.5,IF(H163=0,1/12,IF(H163=1,3/8,IF(H163=2,0,0.5))),IF(H163=4,VLOOKUP(E164,COEFICIENTES!$A$8:$N$58,3),IF(H163=3,VLOOKUP(E164,COEFICIENTES!$A$8:$N$58,6),IF(H163=2,VLOOKUP(E164,COEFICIENTES!$A$8:$N$58,9),IF(H163=1,VLOOKUP(E164,COEFICIENTES!$A$8:$N$58,12),VLOOKUP(E164,COEFICIENTES!$A$8:$N$58,14)))))),IF(H163=4,COEFICIENTES!$C$60,IF(H163=3,COEFICIENTES!$F$60,IF(H163=2,COEFICIENTES!$I$60,IF(H163=1,COEFICIENTES!$L$60,COEFICIENTES!$N$60))))))</f>
        <v>0.5</v>
      </c>
      <c r="G168" s="153"/>
      <c r="H168" s="185" t="s">
        <v>115</v>
      </c>
      <c r="I168" s="606">
        <f>IF(F168="",0,ROUND(F168*LOOKUP(B$163,Espesor!$C$8:$C$41,Espesor!$Z$8:$Z$41)*POWER(MIN(C$168,D$166),2),4))</f>
        <v>0</v>
      </c>
      <c r="J168" s="606"/>
      <c r="K168" s="182"/>
      <c r="L168" s="174"/>
      <c r="M168" s="153"/>
      <c r="N168" s="153"/>
      <c r="O168" s="137"/>
      <c r="P168" s="205"/>
      <c r="Q168" s="193"/>
      <c r="R168" s="193"/>
      <c r="S168" s="26"/>
      <c r="T168" s="26"/>
      <c r="U168" s="281"/>
      <c r="V168" s="281"/>
      <c r="W168" s="281"/>
      <c r="X168" s="281"/>
    </row>
    <row r="169" spans="1:24" s="23" customFormat="1" ht="15.95" customHeight="1">
      <c r="A169" s="22"/>
      <c r="B169" s="418"/>
      <c r="C169" s="601"/>
      <c r="D169" s="168"/>
      <c r="E169" s="185"/>
      <c r="F169" s="147"/>
      <c r="G169" s="153"/>
      <c r="H169" s="153"/>
      <c r="I169" s="188"/>
      <c r="J169" s="185"/>
      <c r="K169" s="178"/>
      <c r="L169" s="178"/>
      <c r="M169" s="153"/>
      <c r="N169" s="153"/>
      <c r="O169" s="137"/>
      <c r="P169" s="205"/>
      <c r="Q169" s="193"/>
      <c r="R169" s="193"/>
      <c r="S169" s="26"/>
      <c r="T169" s="26"/>
      <c r="U169" s="281"/>
      <c r="V169" s="281"/>
      <c r="W169" s="281"/>
      <c r="X169" s="281"/>
    </row>
    <row r="170" spans="1:24" s="23" customFormat="1" ht="15.95" customHeight="1">
      <c r="A170" s="22"/>
      <c r="B170" s="418"/>
      <c r="C170" s="179"/>
      <c r="D170" s="168"/>
      <c r="E170" s="185"/>
      <c r="F170" s="147"/>
      <c r="G170" s="153"/>
      <c r="H170" s="153"/>
      <c r="I170" s="188"/>
      <c r="J170" s="185"/>
      <c r="K170" s="178"/>
      <c r="L170" s="178"/>
      <c r="M170" s="153"/>
      <c r="N170" s="153"/>
      <c r="O170" s="137"/>
      <c r="P170" s="205"/>
      <c r="Q170" s="193"/>
      <c r="R170" s="193"/>
      <c r="S170" s="26"/>
      <c r="T170" s="26"/>
      <c r="U170" s="281"/>
      <c r="V170" s="281"/>
      <c r="W170" s="281"/>
      <c r="X170" s="281"/>
    </row>
    <row r="171" spans="1:24" s="23" customFormat="1" ht="15.95" customHeight="1">
      <c r="A171" s="347" t="str">
        <f>+Espesor!B29</f>
        <v>Lt-</v>
      </c>
      <c r="B171" s="347">
        <f>IF(B163="","",IF(Espesor!$D$4&gt;=(B163+1),B163+1,""))</f>
        <v>22</v>
      </c>
      <c r="C171" s="604" t="str">
        <f>IF(B171&lt;=Espesor!$D$4,Espesor!$G$5,"")</f>
        <v>Losa armada en</v>
      </c>
      <c r="D171" s="604"/>
      <c r="E171" s="602" t="str">
        <f>IF(C171="","",LOOKUP(B171,Espesor!$C$8:$C$41,Espesor!$G$8:$G$41))</f>
        <v/>
      </c>
      <c r="F171" s="602"/>
      <c r="G171" s="602"/>
      <c r="H171" s="167" t="str">
        <f>IF(B171="","",LOOKUP(B171,Espesor!$C$8:$C$41,Espesor!$J$8:$J$41))</f>
        <v/>
      </c>
      <c r="I171" s="603" t="str">
        <f>IF(B171="","",IF(H171&gt;1,Espesor!$H$5,"Borde Discontinuo"))</f>
        <v>Bordes Discontinuos</v>
      </c>
      <c r="J171" s="603"/>
      <c r="K171" s="603"/>
      <c r="P171" s="191"/>
      <c r="Q171" s="193"/>
      <c r="R171" s="193"/>
      <c r="S171" s="26"/>
      <c r="T171" s="26"/>
      <c r="U171" s="281"/>
      <c r="V171" s="281"/>
      <c r="W171" s="281"/>
      <c r="X171" s="281"/>
    </row>
    <row r="172" spans="1:24" s="23" customFormat="1" ht="15.95" customHeight="1" thickBot="1">
      <c r="B172" s="418"/>
      <c r="C172" s="165"/>
      <c r="D172" s="175"/>
      <c r="E172" s="611">
        <f>IF(B171="","",LOOKUP(B171,Espesor!$C$8:$C$41,Espesor!$F$8:$F$41))</f>
        <v>0</v>
      </c>
      <c r="F172" s="611"/>
      <c r="G172" s="609" t="str">
        <f>IF(B171="","",LOOKUP(B171,Espesor!$C$8:$C$41,Espesor!$K$8:$K$41))</f>
        <v/>
      </c>
      <c r="H172" s="609"/>
      <c r="I172" s="609"/>
      <c r="J172" s="145" t="str">
        <f>IF(B171="","",IF(E172&lt;0.5,"","alfa ="))</f>
        <v/>
      </c>
      <c r="K172" s="146" t="str">
        <f>IF(B171="","",IF(E172&lt;0.5,"",(3-(E172)^2)/2))</f>
        <v/>
      </c>
      <c r="L172" s="162">
        <f>+IF(E172&lt;0.5,IF(H171=0,0.5,IF(H171=1,5/8,IF(H171=2,0.5,1))),"")</f>
        <v>1</v>
      </c>
      <c r="M172" s="147"/>
      <c r="N172" s="183"/>
      <c r="O172" s="137"/>
      <c r="P172" s="205"/>
      <c r="Q172" s="193"/>
      <c r="R172" s="193"/>
      <c r="S172" s="26"/>
      <c r="T172" s="26"/>
      <c r="U172" s="281"/>
      <c r="V172" s="281"/>
      <c r="W172" s="281"/>
      <c r="X172" s="281"/>
    </row>
    <row r="173" spans="1:24" s="23" customFormat="1" ht="15.95" customHeight="1">
      <c r="B173" s="418"/>
      <c r="C173" s="616"/>
      <c r="D173" s="168"/>
      <c r="E173" s="185" t="s">
        <v>108</v>
      </c>
      <c r="F173" s="186">
        <f>IF(B171="","",IF(M174="LX",IF(E172&lt;0.5,IF(H171=0,1/24,IF(H171=1,9/125,IF(H171=2,1/8,0))),IF(H171=4,VLOOKUP(E172,COEFICIENTES!$A$8:$N$58,2),IF(H171=3,VLOOKUP(E172,COEFICIENTES!$A$8:$N$58,4),IF(H171=2,VLOOKUP(E172,COEFICIENTES!$A$8:$N$58,7),IF(H171=1,VLOOKUP(E172,COEFICIENTES!$A$8:$N$58,10),VLOOKUP(E172,COEFICIENTES!$A$8:$N$58,13)))))),IF(H171=4,COEFICIENTES!$B$60,IF(H171=3,COEFICIENTES!$D$60,IF(H171=2,COEFICIENTES!$G$60,IF(H171=1,COEFICIENTES!$J$60,COEFICIENTES!$M$60))))))</f>
        <v>2.5000000000000001E-2</v>
      </c>
      <c r="G173" s="187"/>
      <c r="H173" s="185" t="s">
        <v>109</v>
      </c>
      <c r="I173" s="606">
        <f>IF(F173="",0,ROUND(F173*LOOKUP(B$171,Espesor!$C$8:$C$41,Espesor!$Z$8:$Z$41)*POWER(MIN(C$176,D$174),2),4))</f>
        <v>0</v>
      </c>
      <c r="J173" s="606"/>
      <c r="K173" s="607">
        <f>IF(M174="LY",LOOKUP(B171,Espesor!$C$8:$C$41,Espesor!$AA$8:$AA$41),LOOKUP(B171,Espesor!$C$8:$C$41,Espesor!$AB$8:$AB$41))</f>
        <v>0</v>
      </c>
      <c r="L173" s="607"/>
      <c r="M173" s="147"/>
      <c r="N173" s="153"/>
      <c r="O173" s="137"/>
      <c r="P173" s="205"/>
      <c r="Q173" s="193"/>
      <c r="R173" s="193"/>
      <c r="S173" s="26"/>
      <c r="T173" s="26"/>
      <c r="U173" s="281"/>
      <c r="V173" s="281"/>
      <c r="W173" s="281"/>
      <c r="X173" s="281"/>
    </row>
    <row r="174" spans="1:24" s="23" customFormat="1" ht="15.95" customHeight="1">
      <c r="B174" s="418"/>
      <c r="C174" s="617"/>
      <c r="D174" s="169">
        <f>IF(B171="","",VLOOKUP(B171,Espesor!$C$8:$E$41,3))</f>
        <v>0</v>
      </c>
      <c r="E174" s="185" t="s">
        <v>110</v>
      </c>
      <c r="F174" s="186">
        <f>IF(B171="","",IF(M174="LX",IF(E172&lt;0.5,IF(H171=0,1/12,IF(H171=1,3/8,IF(H171=2,0,0.5))),IF(H171=4,VLOOKUP(E172,COEFICIENTES!$A$8:$N$58,3),IF(H171=3,VLOOKUP(E172,COEFICIENTES!$A$8:$N$58,6),IF(H171=2,VLOOKUP(E172,COEFICIENTES!$A$8:$N$58,9),IF(H171=1,VLOOKUP(E172,COEFICIENTES!$A$8:$N$58,12),VLOOKUP(E172,COEFICIENTES!$A$8:$N$58,14)))))),IF(H171=4,COEFICIENTES!$C$60,IF(H171=3,COEFICIENTES!$F$60,IF(H171=2,COEFICIENTES!$I$60,IF(H171=1,COEFICIENTES!$L$60,COEFICIENTES!$N$60))))))</f>
        <v>3.3000000000000002E-2</v>
      </c>
      <c r="G174" s="153"/>
      <c r="H174" s="185" t="s">
        <v>111</v>
      </c>
      <c r="I174" s="606">
        <f>IF(F174="",0,ROUND(F174*LOOKUP(B$171,Espesor!$C$8:$C$41,Espesor!$Z$8:$Z$41)*POWER(MIN(C$176,D$174),2),4))</f>
        <v>0</v>
      </c>
      <c r="J174" s="606"/>
      <c r="K174" s="608">
        <f>IF(M174="LX",LOOKUP(B171,Espesor!$C$8:$C$41,Espesor!$AA$8:$AA$41),LOOKUP(B171,Espesor!$C$8:$C$41,Espesor!$AB$8:$AB$41))</f>
        <v>0</v>
      </c>
      <c r="L174" s="608"/>
      <c r="M174" s="170" t="str">
        <f>+IF(MIN(C176,D174)=D174,"LY","LX")</f>
        <v>LY</v>
      </c>
      <c r="N174" s="153" t="str">
        <f>+IF(M174="","",IF(M174="LY","LX","LY"))</f>
        <v>LX</v>
      </c>
      <c r="O174" s="137"/>
      <c r="P174" s="205"/>
      <c r="Q174" s="193"/>
      <c r="R174" s="193"/>
      <c r="S174" s="26"/>
      <c r="T174" s="26"/>
      <c r="U174" s="281"/>
      <c r="V174" s="281"/>
      <c r="W174" s="281"/>
      <c r="X174" s="281"/>
    </row>
    <row r="175" spans="1:24" s="23" customFormat="1" ht="15.95" customHeight="1" thickBot="1">
      <c r="B175" s="418"/>
      <c r="C175" s="618"/>
      <c r="D175" s="168"/>
      <c r="E175" s="185" t="s">
        <v>112</v>
      </c>
      <c r="F175" s="186">
        <f>IF(B171="","",IF(M174="LY",IF(E172&lt;0.5,IF(H171=0,1/24,IF(H171=1,9/125,IF(H171=2,1/8,0))),IF(H171=4,VLOOKUP(E172,COEFICIENTES!$A$8:$N$58,2),IF(H171=3,VLOOKUP(E172,COEFICIENTES!$A$8:$N$58,4),IF(H171=2,VLOOKUP(E172,COEFICIENTES!$A$8:$N$58,7),IF(H171=1,VLOOKUP(E172,COEFICIENTES!$A$8:$N$58,10),VLOOKUP(E172,COEFICIENTES!$A$8:$N$58,13)))))),IF(H171=4,COEFICIENTES!$B$60,IF(H171=3,COEFICIENTES!$D$60,IF(H171=2,COEFICIENTES!$G$60,IF(H171=1,COEFICIENTES!$J$60,COEFICIENTES!$M$60))))))</f>
        <v>0</v>
      </c>
      <c r="G175" s="153"/>
      <c r="H175" s="185" t="s">
        <v>113</v>
      </c>
      <c r="I175" s="606">
        <f>IF(F175="",0,ROUND(F175*LOOKUP(B$171,Espesor!$C$8:$C$41,Espesor!$Z$8:$Z$41)*POWER(MIN(C$176,D$174),2),4))</f>
        <v>0</v>
      </c>
      <c r="J175" s="606"/>
      <c r="K175" s="182"/>
      <c r="L175" s="174"/>
      <c r="M175" s="147"/>
      <c r="N175" s="153"/>
      <c r="O175" s="137"/>
      <c r="P175" s="205"/>
      <c r="Q175" s="193"/>
      <c r="R175" s="193"/>
      <c r="S175" s="26"/>
      <c r="T175" s="26"/>
      <c r="U175" s="281"/>
      <c r="V175" s="281"/>
      <c r="W175" s="281"/>
      <c r="X175" s="281"/>
    </row>
    <row r="176" spans="1:24" s="23" customFormat="1" ht="15.95" customHeight="1">
      <c r="B176" s="418"/>
      <c r="C176" s="600">
        <f>IF(B171="","",VLOOKUP(B171,Espesor!$C$8:$E$41,2))</f>
        <v>0</v>
      </c>
      <c r="D176" s="168"/>
      <c r="E176" s="185" t="s">
        <v>114</v>
      </c>
      <c r="F176" s="186">
        <f>IF(B171="","",IF(M174="LY",IF(E172&lt;0.5,IF(H171=0,1/12,IF(H171=1,3/8,IF(H171=2,0,0.5))),IF(H171=4,VLOOKUP(E172,COEFICIENTES!$A$8:$N$58,3),IF(H171=3,VLOOKUP(E172,COEFICIENTES!$A$8:$N$58,6),IF(H171=2,VLOOKUP(E172,COEFICIENTES!$A$8:$N$58,9),IF(H171=1,VLOOKUP(E172,COEFICIENTES!$A$8:$N$58,12),VLOOKUP(E172,COEFICIENTES!$A$8:$N$58,14)))))),IF(H171=4,COEFICIENTES!$C$60,IF(H171=3,COEFICIENTES!$F$60,IF(H171=2,COEFICIENTES!$I$60,IF(H171=1,COEFICIENTES!$L$60,COEFICIENTES!$N$60))))))</f>
        <v>0.5</v>
      </c>
      <c r="G176" s="153"/>
      <c r="H176" s="185" t="s">
        <v>115</v>
      </c>
      <c r="I176" s="606">
        <f>IF(F176="",0,ROUND(F176*LOOKUP(B$171,Espesor!$C$8:$C$41,Espesor!$Z$8:$Z$41)*POWER(MIN(C$176,D$174),2),4))</f>
        <v>0</v>
      </c>
      <c r="J176" s="606"/>
      <c r="K176" s="182"/>
      <c r="L176" s="174"/>
      <c r="M176" s="153"/>
      <c r="N176" s="153"/>
      <c r="O176" s="141"/>
      <c r="P176" s="191"/>
      <c r="Q176" s="193"/>
      <c r="R176" s="193"/>
      <c r="S176" s="26"/>
      <c r="T176" s="26"/>
      <c r="U176" s="281"/>
      <c r="V176" s="281"/>
      <c r="W176" s="281"/>
      <c r="X176" s="281"/>
    </row>
    <row r="177" spans="1:24" s="23" customFormat="1" ht="15.95" customHeight="1">
      <c r="B177" s="418"/>
      <c r="C177" s="601"/>
      <c r="D177" s="168"/>
      <c r="E177" s="185"/>
      <c r="F177" s="147"/>
      <c r="G177" s="153"/>
      <c r="H177" s="153"/>
      <c r="I177" s="188"/>
      <c r="J177" s="185"/>
      <c r="K177" s="178"/>
      <c r="L177" s="178"/>
      <c r="M177" s="153"/>
      <c r="N177" s="153"/>
      <c r="O177" s="137"/>
      <c r="P177" s="205"/>
      <c r="Q177" s="193"/>
      <c r="R177" s="193"/>
      <c r="S177" s="26"/>
      <c r="T177" s="26"/>
      <c r="U177" s="281"/>
      <c r="V177" s="281"/>
      <c r="W177" s="281"/>
      <c r="X177" s="281"/>
    </row>
    <row r="178" spans="1:24" s="23" customFormat="1" ht="15.95" customHeight="1">
      <c r="B178" s="418"/>
      <c r="C178" s="179"/>
      <c r="D178" s="168"/>
      <c r="E178" s="185"/>
      <c r="F178" s="147"/>
      <c r="G178" s="153"/>
      <c r="H178" s="153"/>
      <c r="I178" s="188"/>
      <c r="J178" s="185"/>
      <c r="K178" s="178"/>
      <c r="L178" s="178"/>
      <c r="M178" s="153"/>
      <c r="N178" s="153"/>
      <c r="O178" s="137"/>
      <c r="P178" s="205"/>
      <c r="Q178" s="193"/>
      <c r="R178" s="193"/>
      <c r="S178" s="26"/>
      <c r="T178" s="26"/>
      <c r="U178" s="281"/>
      <c r="V178" s="281"/>
      <c r="W178" s="281"/>
      <c r="X178" s="281"/>
    </row>
    <row r="179" spans="1:24" s="23" customFormat="1" ht="15.95" customHeight="1">
      <c r="A179" s="347" t="str">
        <f>+Espesor!B30</f>
        <v>Lt-</v>
      </c>
      <c r="B179" s="347">
        <f>IF(B171="","",IF(Espesor!$D$4&gt;=(B171+1),B171+1,""))</f>
        <v>23</v>
      </c>
      <c r="C179" s="604" t="str">
        <f>IF(B179&lt;=Espesor!$D$4,Espesor!$G$5,"")</f>
        <v>Losa armada en</v>
      </c>
      <c r="D179" s="604"/>
      <c r="E179" s="602" t="str">
        <f>IF(C179="","",LOOKUP(B179,Espesor!$C$8:$C$41,Espesor!$G$8:$G$41))</f>
        <v/>
      </c>
      <c r="F179" s="602"/>
      <c r="G179" s="602"/>
      <c r="H179" s="167" t="str">
        <f>IF(B179="","",LOOKUP(B179,Espesor!$C$8:$C$41,Espesor!$J$8:$J$41))</f>
        <v/>
      </c>
      <c r="I179" s="603" t="str">
        <f>IF(B179="","",IF(H179&gt;1,Espesor!$H$5,"Borde Discontinuo"))</f>
        <v>Bordes Discontinuos</v>
      </c>
      <c r="J179" s="603"/>
      <c r="K179" s="603"/>
      <c r="P179" s="191"/>
      <c r="Q179" s="193"/>
      <c r="R179" s="193"/>
      <c r="S179" s="26"/>
      <c r="T179" s="26"/>
      <c r="U179" s="281"/>
      <c r="V179" s="281"/>
      <c r="W179" s="281"/>
      <c r="X179" s="281"/>
    </row>
    <row r="180" spans="1:24" s="23" customFormat="1" ht="15.95" customHeight="1" thickBot="1">
      <c r="A180" s="22"/>
      <c r="B180" s="418"/>
      <c r="C180" s="165"/>
      <c r="D180" s="175"/>
      <c r="E180" s="611">
        <f>IF(B179="","",LOOKUP(B179,Espesor!$C$8:$C$41,Espesor!$F$8:$F$41))</f>
        <v>0</v>
      </c>
      <c r="F180" s="611"/>
      <c r="G180" s="609" t="str">
        <f>IF(B179="","",LOOKUP(B179,Espesor!$C$8:$C$41,Espesor!$K$8:$K$41))</f>
        <v/>
      </c>
      <c r="H180" s="609"/>
      <c r="I180" s="609"/>
      <c r="J180" s="145" t="str">
        <f>IF(B179="","",IF(E180&lt;0.5,"","alfa ="))</f>
        <v/>
      </c>
      <c r="K180" s="146" t="str">
        <f>IF(B179="","",IF(E180&lt;0.5,"",(3-(E180)^2)/2))</f>
        <v/>
      </c>
      <c r="L180" s="162">
        <f>+IF(E180&lt;0.5,IF(H179=0,0.5,IF(H179=1,5/8,IF(H179=2,0.5,1))),"")</f>
        <v>1</v>
      </c>
      <c r="M180" s="147"/>
      <c r="N180" s="183"/>
      <c r="O180" s="137"/>
      <c r="P180" s="205"/>
      <c r="Q180" s="193"/>
      <c r="R180" s="193"/>
      <c r="S180" s="26"/>
      <c r="T180" s="26"/>
      <c r="U180" s="281"/>
      <c r="V180" s="281"/>
      <c r="W180" s="281"/>
      <c r="X180" s="281"/>
    </row>
    <row r="181" spans="1:24" s="23" customFormat="1" ht="15.95" customHeight="1">
      <c r="A181" s="22"/>
      <c r="B181" s="418"/>
      <c r="C181" s="616"/>
      <c r="D181" s="168"/>
      <c r="E181" s="185" t="s">
        <v>108</v>
      </c>
      <c r="F181" s="186">
        <f>IF(B179="","",IF(M182="LX",IF(E180&lt;0.5,IF(H179=0,1/24,IF(H179=1,9/125,IF(H179=2,1/8,0))),IF(H179=4,VLOOKUP(E180,COEFICIENTES!$A$8:$N$58,2),IF(H179=3,VLOOKUP(E180,COEFICIENTES!$A$8:$N$58,4),IF(H179=2,VLOOKUP(E180,COEFICIENTES!$A$8:$N$58,7),IF(H179=1,VLOOKUP(E180,COEFICIENTES!$A$8:$N$58,10),VLOOKUP(E180,COEFICIENTES!$A$8:$N$58,13)))))),IF(H179=4,COEFICIENTES!$B$60,IF(H179=3,COEFICIENTES!$D$60,IF(H179=2,COEFICIENTES!$G$60,IF(H179=1,COEFICIENTES!$J$60,COEFICIENTES!$M$60))))))</f>
        <v>2.5000000000000001E-2</v>
      </c>
      <c r="G181" s="187"/>
      <c r="H181" s="185" t="s">
        <v>109</v>
      </c>
      <c r="I181" s="606">
        <f>IF(F181="",0,ROUND(F181*LOOKUP(B$179,Espesor!$C$8:$C$41,Espesor!$Z$8:$Z$41)*POWER(MIN(C$184,D$182),2),4))</f>
        <v>0</v>
      </c>
      <c r="J181" s="606"/>
      <c r="K181" s="607">
        <f>IF(M182="LY",LOOKUP(B179,Espesor!$C$8:$C$41,Espesor!$AA$8:$AA$41),LOOKUP(B179,Espesor!$C$8:$C$41,Espesor!$AB$8:$AB$41))</f>
        <v>0</v>
      </c>
      <c r="L181" s="607"/>
      <c r="M181" s="147"/>
      <c r="N181" s="153"/>
      <c r="O181" s="137"/>
      <c r="P181" s="205"/>
      <c r="Q181" s="193"/>
      <c r="R181" s="193"/>
      <c r="S181" s="26"/>
      <c r="T181" s="26"/>
      <c r="U181" s="281"/>
      <c r="V181" s="281"/>
      <c r="W181" s="281"/>
      <c r="X181" s="281"/>
    </row>
    <row r="182" spans="1:24" s="23" customFormat="1" ht="15.95" customHeight="1">
      <c r="A182" s="22"/>
      <c r="B182" s="418"/>
      <c r="C182" s="617"/>
      <c r="D182" s="169">
        <f>IF(B179="","",VLOOKUP(B179,Espesor!$C$8:$E$41,3))</f>
        <v>0</v>
      </c>
      <c r="E182" s="185" t="s">
        <v>110</v>
      </c>
      <c r="F182" s="186">
        <f>IF(B179="","",IF(M182="LX",IF(E180&lt;0.5,IF(H179=0,1/12,IF(H179=1,3/8,IF(H179=2,0,0.5))),IF(H179=4,VLOOKUP(E180,COEFICIENTES!$A$8:$N$58,3),IF(H179=3,VLOOKUP(E180,COEFICIENTES!$A$8:$N$58,6),IF(H179=2,VLOOKUP(E180,COEFICIENTES!$A$8:$N$58,9),IF(H179=1,VLOOKUP(E180,COEFICIENTES!$A$8:$N$58,12),VLOOKUP(E180,COEFICIENTES!$A$8:$N$58,14)))))),IF(H179=4,COEFICIENTES!$C$60,IF(H179=3,COEFICIENTES!$F$60,IF(H179=2,COEFICIENTES!$I$60,IF(H179=1,COEFICIENTES!$L$60,COEFICIENTES!$N$60))))))</f>
        <v>3.3000000000000002E-2</v>
      </c>
      <c r="G182" s="153"/>
      <c r="H182" s="185" t="s">
        <v>111</v>
      </c>
      <c r="I182" s="606">
        <f>IF(F182="",0,ROUND(F182*LOOKUP(B$179,Espesor!$C$8:$C$41,Espesor!$Z$8:$Z$41)*POWER(MIN(C$184,D$182),2),4))</f>
        <v>0</v>
      </c>
      <c r="J182" s="606"/>
      <c r="K182" s="608">
        <f>IF(M182="LX",LOOKUP(B179,Espesor!$C$8:$C$41,Espesor!$AA$8:$AA$41),LOOKUP(B179,Espesor!$C$8:$C$41,Espesor!$AB$8:$AB$41))</f>
        <v>0</v>
      </c>
      <c r="L182" s="608"/>
      <c r="M182" s="170" t="str">
        <f>+IF(MIN(C184,D182)=D182,"LY","LX")</f>
        <v>LY</v>
      </c>
      <c r="N182" s="153" t="str">
        <f>+IF(M182="","",IF(M182="LY","LX","LY"))</f>
        <v>LX</v>
      </c>
      <c r="O182" s="137"/>
      <c r="P182" s="205"/>
      <c r="Q182" s="193"/>
      <c r="R182" s="193"/>
      <c r="S182" s="26"/>
      <c r="T182" s="26"/>
      <c r="U182" s="281"/>
      <c r="V182" s="281"/>
      <c r="W182" s="281"/>
      <c r="X182" s="281"/>
    </row>
    <row r="183" spans="1:24" s="23" customFormat="1" ht="15.95" customHeight="1" thickBot="1">
      <c r="A183" s="22"/>
      <c r="B183" s="418"/>
      <c r="C183" s="618"/>
      <c r="D183" s="168"/>
      <c r="E183" s="185" t="s">
        <v>112</v>
      </c>
      <c r="F183" s="186">
        <f>IF(B179="","",IF(M182="LY",IF(E180&lt;0.5,IF(H179=0,1/24,IF(H179=1,9/125,IF(H179=2,1/8,0))),IF(H179=4,VLOOKUP(E180,COEFICIENTES!$A$8:$N$58,2),IF(H179=3,VLOOKUP(E180,COEFICIENTES!$A$8:$N$58,4),IF(H179=2,VLOOKUP(E180,COEFICIENTES!$A$8:$N$58,7),IF(H179=1,VLOOKUP(E180,COEFICIENTES!$A$8:$N$58,10),VLOOKUP(E180,COEFICIENTES!$A$8:$N$58,13)))))),IF(H179=4,COEFICIENTES!$B$60,IF(H179=3,COEFICIENTES!$D$60,IF(H179=2,COEFICIENTES!$G$60,IF(H179=1,COEFICIENTES!$J$60,COEFICIENTES!$M$60))))))</f>
        <v>0</v>
      </c>
      <c r="G183" s="153"/>
      <c r="H183" s="185" t="s">
        <v>113</v>
      </c>
      <c r="I183" s="606">
        <f>IF(F183="",0,ROUND(F183*LOOKUP(B$179,Espesor!$C$8:$C$41,Espesor!$Z$8:$Z$41)*POWER(MIN(C$184,D$182),2),4))</f>
        <v>0</v>
      </c>
      <c r="J183" s="606"/>
      <c r="K183" s="182"/>
      <c r="L183" s="174"/>
      <c r="M183" s="147"/>
      <c r="N183" s="153"/>
      <c r="O183" s="137"/>
      <c r="P183" s="205"/>
      <c r="Q183" s="193"/>
      <c r="R183" s="193"/>
      <c r="S183" s="26"/>
      <c r="T183" s="26"/>
      <c r="U183" s="281"/>
      <c r="V183" s="281"/>
      <c r="W183" s="281"/>
      <c r="X183" s="281"/>
    </row>
    <row r="184" spans="1:24" s="23" customFormat="1" ht="15.95" customHeight="1">
      <c r="A184" s="22"/>
      <c r="B184" s="418"/>
      <c r="C184" s="600">
        <f>IF(B179="","",VLOOKUP(B179,Espesor!$C$8:$E$41,2))</f>
        <v>0</v>
      </c>
      <c r="D184" s="168"/>
      <c r="E184" s="185" t="s">
        <v>114</v>
      </c>
      <c r="F184" s="186">
        <f>IF(B179="","",IF(M182="LY",IF(E180&lt;0.5,IF(H179=0,1/12,IF(H179=1,3/8,IF(H179=2,0,0.5))),IF(H179=4,VLOOKUP(E180,COEFICIENTES!$A$8:$N$58,3),IF(H179=3,VLOOKUP(E180,COEFICIENTES!$A$8:$N$58,6),IF(H179=2,VLOOKUP(E180,COEFICIENTES!$A$8:$N$58,9),IF(H179=1,VLOOKUP(E180,COEFICIENTES!$A$8:$N$58,12),VLOOKUP(E180,COEFICIENTES!$A$8:$N$58,14)))))),IF(H179=4,COEFICIENTES!$C$60,IF(H179=3,COEFICIENTES!$F$60,IF(H179=2,COEFICIENTES!$I$60,IF(H179=1,COEFICIENTES!$L$60,COEFICIENTES!$N$60))))))</f>
        <v>0.5</v>
      </c>
      <c r="G184" s="153"/>
      <c r="H184" s="185" t="s">
        <v>115</v>
      </c>
      <c r="I184" s="606">
        <f>IF(F184="",0,ROUND(F184*LOOKUP(B$179,Espesor!$C$8:$C$41,Espesor!$Z$8:$Z$41)*POWER(MIN(C$184,D$182),2),4))</f>
        <v>0</v>
      </c>
      <c r="J184" s="606"/>
      <c r="K184" s="182"/>
      <c r="L184" s="174"/>
      <c r="M184" s="153"/>
      <c r="N184" s="153"/>
      <c r="O184" s="137"/>
      <c r="P184" s="205"/>
      <c r="Q184" s="193"/>
      <c r="R184" s="193"/>
      <c r="S184" s="26"/>
      <c r="T184" s="26"/>
      <c r="U184" s="281"/>
      <c r="V184" s="281"/>
      <c r="W184" s="281"/>
      <c r="X184" s="281"/>
    </row>
    <row r="185" spans="1:24" s="23" customFormat="1" ht="15.95" customHeight="1">
      <c r="A185" s="22"/>
      <c r="B185" s="418"/>
      <c r="C185" s="601"/>
      <c r="D185" s="168"/>
      <c r="E185" s="185"/>
      <c r="F185" s="147"/>
      <c r="G185" s="153"/>
      <c r="H185" s="153"/>
      <c r="I185" s="188"/>
      <c r="J185" s="185"/>
      <c r="K185" s="178"/>
      <c r="L185" s="178"/>
      <c r="M185" s="153"/>
      <c r="N185" s="153"/>
      <c r="O185" s="137"/>
      <c r="P185" s="205"/>
      <c r="Q185" s="193"/>
      <c r="R185" s="193"/>
      <c r="S185" s="26"/>
      <c r="T185" s="26"/>
      <c r="U185" s="281"/>
      <c r="V185" s="281"/>
      <c r="W185" s="281"/>
      <c r="X185" s="281"/>
    </row>
    <row r="186" spans="1:24" s="23" customFormat="1" ht="15.95" customHeight="1">
      <c r="A186" s="22"/>
      <c r="B186" s="418"/>
      <c r="C186" s="179"/>
      <c r="D186" s="168"/>
      <c r="E186" s="185"/>
      <c r="F186" s="147"/>
      <c r="G186" s="153"/>
      <c r="H186" s="153"/>
      <c r="I186" s="188"/>
      <c r="J186" s="185"/>
      <c r="K186" s="178"/>
      <c r="L186" s="178"/>
      <c r="M186" s="153"/>
      <c r="N186" s="153"/>
      <c r="O186" s="137"/>
      <c r="P186" s="205"/>
      <c r="Q186" s="193"/>
      <c r="R186" s="193"/>
      <c r="S186" s="26"/>
      <c r="T186" s="26"/>
      <c r="U186" s="281"/>
      <c r="V186" s="281"/>
      <c r="W186" s="281"/>
      <c r="X186" s="281"/>
    </row>
    <row r="187" spans="1:24" s="23" customFormat="1" ht="15.95" customHeight="1">
      <c r="A187" s="347" t="str">
        <f>+Espesor!B31</f>
        <v>Lt-</v>
      </c>
      <c r="B187" s="347">
        <f>IF(B179="","",IF(Espesor!$D$4&gt;=(B179+1),B179+1,""))</f>
        <v>24</v>
      </c>
      <c r="C187" s="604" t="str">
        <f>IF(B187&lt;=Espesor!$D$4,Espesor!$G$5,"")</f>
        <v>Losa armada en</v>
      </c>
      <c r="D187" s="604"/>
      <c r="E187" s="602" t="str">
        <f>IF(C187="","",LOOKUP(B187,Espesor!$C$8:$C$41,Espesor!$G$8:$G$41))</f>
        <v/>
      </c>
      <c r="F187" s="602"/>
      <c r="G187" s="602"/>
      <c r="H187" s="167" t="str">
        <f>IF(B187="","",LOOKUP(B187,Espesor!$C$8:$C$41,Espesor!$J$8:$J$41))</f>
        <v/>
      </c>
      <c r="I187" s="603" t="str">
        <f>IF(B187="","",IF(H187&gt;1,Espesor!$H$5,"Borde Discontinuo"))</f>
        <v>Bordes Discontinuos</v>
      </c>
      <c r="J187" s="603"/>
      <c r="K187" s="603"/>
      <c r="P187" s="191"/>
      <c r="Q187" s="193"/>
      <c r="R187" s="193"/>
      <c r="S187" s="26"/>
      <c r="T187" s="26"/>
      <c r="U187" s="281"/>
      <c r="V187" s="281"/>
      <c r="W187" s="281"/>
      <c r="X187" s="281"/>
    </row>
    <row r="188" spans="1:24" s="23" customFormat="1" ht="15.95" customHeight="1" thickBot="1">
      <c r="B188" s="418"/>
      <c r="C188" s="165"/>
      <c r="D188" s="175"/>
      <c r="E188" s="611">
        <f>IF(B187="","",LOOKUP(B187,Espesor!$C$8:$C$41,Espesor!$F$8:$F$41))</f>
        <v>0</v>
      </c>
      <c r="F188" s="611"/>
      <c r="G188" s="609" t="str">
        <f>IF(B187="","",LOOKUP(B187,Espesor!$C$8:$C$41,Espesor!$K$8:$K$41))</f>
        <v/>
      </c>
      <c r="H188" s="609"/>
      <c r="I188" s="609"/>
      <c r="J188" s="145" t="str">
        <f>IF(B187="","",IF(E188&lt;0.5,"","alfa ="))</f>
        <v/>
      </c>
      <c r="K188" s="146" t="str">
        <f>IF(B187="","",IF(E188&lt;0.5,"",(3-(E188)^2)/2))</f>
        <v/>
      </c>
      <c r="L188" s="162">
        <f>+IF(E188&lt;0.5,IF(H187=0,0.5,IF(H187=1,5/8,IF(H187=2,0.5,1))),"")</f>
        <v>1</v>
      </c>
      <c r="M188" s="147"/>
      <c r="N188" s="183"/>
      <c r="O188" s="137"/>
      <c r="P188" s="205"/>
      <c r="Q188" s="193"/>
      <c r="R188" s="193"/>
      <c r="S188" s="26"/>
      <c r="T188" s="26"/>
      <c r="U188" s="281"/>
      <c r="V188" s="281"/>
      <c r="W188" s="281"/>
      <c r="X188" s="281"/>
    </row>
    <row r="189" spans="1:24" s="23" customFormat="1" ht="15.95" customHeight="1">
      <c r="B189" s="418"/>
      <c r="C189" s="616"/>
      <c r="D189" s="168"/>
      <c r="E189" s="185" t="s">
        <v>108</v>
      </c>
      <c r="F189" s="186">
        <f>IF(B187="","",IF(M190="LX",IF(E188&lt;0.5,IF(H187=0,1/24,IF(H187=1,9/125,IF(H187=2,1/8,0))),IF(H187=4,VLOOKUP(E188,COEFICIENTES!$A$8:$N$58,2),IF(H187=3,VLOOKUP(E188,COEFICIENTES!$A$8:$N$58,4),IF(H187=2,VLOOKUP(E188,COEFICIENTES!$A$8:$N$58,7),IF(H187=1,VLOOKUP(E188,COEFICIENTES!$A$8:$N$58,10),VLOOKUP(E188,COEFICIENTES!$A$8:$N$58,13)))))),IF(H187=4,COEFICIENTES!$B$60,IF(H187=3,COEFICIENTES!$D$60,IF(H187=2,COEFICIENTES!$G$60,IF(H187=1,COEFICIENTES!$J$60,COEFICIENTES!$M$60))))))</f>
        <v>2.5000000000000001E-2</v>
      </c>
      <c r="G189" s="187"/>
      <c r="H189" s="185" t="s">
        <v>109</v>
      </c>
      <c r="I189" s="606">
        <f>IF(F189="",0,ROUND(F189*LOOKUP(B$187,Espesor!$C$8:$C$41,Espesor!$Z$8:$Z$41)*POWER(MIN(C$192,D$190),2),4))</f>
        <v>0</v>
      </c>
      <c r="J189" s="606"/>
      <c r="K189" s="607">
        <f>IF(M190="LY",LOOKUP(B187,Espesor!$C$8:$C$41,Espesor!$AA$8:$AA$41),LOOKUP(B187,Espesor!$C$8:$C$41,Espesor!$AB$8:$AB$41))</f>
        <v>0</v>
      </c>
      <c r="L189" s="607"/>
      <c r="M189" s="147"/>
      <c r="N189" s="153"/>
      <c r="O189" s="138"/>
      <c r="P189" s="205"/>
      <c r="Q189" s="193"/>
      <c r="R189" s="193"/>
      <c r="S189" s="26"/>
      <c r="T189" s="26"/>
      <c r="U189" s="281"/>
      <c r="V189" s="281"/>
      <c r="W189" s="281"/>
      <c r="X189" s="281"/>
    </row>
    <row r="190" spans="1:24" s="23" customFormat="1" ht="15.95" customHeight="1">
      <c r="B190" s="418"/>
      <c r="C190" s="617"/>
      <c r="D190" s="169">
        <f>IF(B187="","",VLOOKUP(B187,Espesor!$C$8:$E$41,3))</f>
        <v>0</v>
      </c>
      <c r="E190" s="185" t="s">
        <v>110</v>
      </c>
      <c r="F190" s="186">
        <f>IF(B187="","",IF(M190="LX",IF(E188&lt;0.5,IF(H187=0,1/12,IF(H187=1,3/8,IF(H187=2,0,0.5))),IF(H187=4,VLOOKUP(E188,COEFICIENTES!$A$8:$N$58,3),IF(H187=3,VLOOKUP(E188,COEFICIENTES!$A$8:$N$58,6),IF(H187=2,VLOOKUP(E188,COEFICIENTES!$A$8:$N$58,9),IF(H187=1,VLOOKUP(E188,COEFICIENTES!$A$8:$N$58,12),VLOOKUP(E188,COEFICIENTES!$A$8:$N$58,14)))))),IF(H187=4,COEFICIENTES!$C$60,IF(H187=3,COEFICIENTES!$F$60,IF(H187=2,COEFICIENTES!$I$60,IF(H187=1,COEFICIENTES!$L$60,COEFICIENTES!$N$60))))))</f>
        <v>3.3000000000000002E-2</v>
      </c>
      <c r="G190" s="153"/>
      <c r="H190" s="185" t="s">
        <v>111</v>
      </c>
      <c r="I190" s="606">
        <f>IF(F190="",0,ROUND(F190*LOOKUP(B$187,Espesor!$C$8:$C$41,Espesor!$Z$8:$Z$41)*POWER(MIN(C$192,D$190),2),4))</f>
        <v>0</v>
      </c>
      <c r="J190" s="606"/>
      <c r="K190" s="608">
        <f>IF(M190="LX",LOOKUP(B187,Espesor!$C$8:$C$41,Espesor!$AA$8:$AA$41),LOOKUP(B187,Espesor!$C$8:$C$41,Espesor!$AB$8:$AB$41))</f>
        <v>0</v>
      </c>
      <c r="L190" s="608"/>
      <c r="M190" s="170" t="str">
        <f>+IF(MIN(C192,D190)=D190,"LY","LX")</f>
        <v>LY</v>
      </c>
      <c r="N190" s="153" t="str">
        <f>+IF(M190="","",IF(M190="LY","LX","LY"))</f>
        <v>LX</v>
      </c>
      <c r="O190" s="137"/>
      <c r="P190" s="205"/>
      <c r="Q190" s="193"/>
      <c r="R190" s="193"/>
      <c r="S190" s="26"/>
      <c r="T190" s="26"/>
      <c r="U190" s="281"/>
      <c r="V190" s="281"/>
      <c r="W190" s="281"/>
      <c r="X190" s="281"/>
    </row>
    <row r="191" spans="1:24" s="23" customFormat="1" ht="15.95" customHeight="1" thickBot="1">
      <c r="B191" s="418"/>
      <c r="C191" s="618"/>
      <c r="D191" s="168"/>
      <c r="E191" s="185" t="s">
        <v>112</v>
      </c>
      <c r="F191" s="186">
        <f>IF(B187="","",IF(M190="LY",IF(E188&lt;0.5,IF(H187=0,1/24,IF(H187=1,9/125,IF(H187=2,1/8,0))),IF(H187=4,VLOOKUP(E188,COEFICIENTES!$A$8:$N$58,2),IF(H187=3,VLOOKUP(E188,COEFICIENTES!$A$8:$N$58,4),IF(H187=2,VLOOKUP(E188,COEFICIENTES!$A$8:$N$58,7),IF(H187=1,VLOOKUP(E188,COEFICIENTES!$A$8:$N$58,10),VLOOKUP(E188,COEFICIENTES!$A$8:$N$58,13)))))),IF(H187=4,COEFICIENTES!$B$60,IF(H187=3,COEFICIENTES!$D$60,IF(H187=2,COEFICIENTES!$G$60,IF(H187=1,COEFICIENTES!$J$60,COEFICIENTES!$M$60))))))</f>
        <v>0</v>
      </c>
      <c r="G191" s="153"/>
      <c r="H191" s="185" t="s">
        <v>113</v>
      </c>
      <c r="I191" s="606">
        <f>IF(F191="",0,ROUND(F191*LOOKUP(B$187,Espesor!$C$8:$C$41,Espesor!$Z$8:$Z$41)*POWER(MIN(C$192,D$190),2),4))</f>
        <v>0</v>
      </c>
      <c r="J191" s="606"/>
      <c r="K191" s="182"/>
      <c r="L191" s="174"/>
      <c r="M191" s="147"/>
      <c r="N191" s="153"/>
      <c r="O191" s="137"/>
      <c r="P191" s="205"/>
      <c r="Q191" s="193"/>
      <c r="R191" s="193"/>
      <c r="S191" s="26"/>
      <c r="T191" s="26"/>
      <c r="U191" s="281"/>
      <c r="V191" s="281"/>
      <c r="W191" s="281"/>
      <c r="X191" s="281"/>
    </row>
    <row r="192" spans="1:24" s="23" customFormat="1" ht="15.95" customHeight="1">
      <c r="B192" s="418"/>
      <c r="C192" s="600">
        <f>IF(B187="","",VLOOKUP(B187,Espesor!$C$8:$E$41,2))</f>
        <v>0</v>
      </c>
      <c r="D192" s="168"/>
      <c r="E192" s="185" t="s">
        <v>114</v>
      </c>
      <c r="F192" s="186">
        <f>IF(B187="","",IF(M190="LY",IF(E188&lt;0.5,IF(H187=0,1/12,IF(H187=1,3/8,IF(H187=2,0,0.5))),IF(H187=4,VLOOKUP(E188,COEFICIENTES!$A$8:$N$58,3),IF(H187=3,VLOOKUP(E188,COEFICIENTES!$A$8:$N$58,6),IF(H187=2,VLOOKUP(E188,COEFICIENTES!$A$8:$N$58,9),IF(H187=1,VLOOKUP(E188,COEFICIENTES!$A$8:$N$58,12),VLOOKUP(E188,COEFICIENTES!$A$8:$N$58,14)))))),IF(H187=4,COEFICIENTES!$C$60,IF(H187=3,COEFICIENTES!$F$60,IF(H187=2,COEFICIENTES!$I$60,IF(H187=1,COEFICIENTES!$L$60,COEFICIENTES!$N$60))))))</f>
        <v>0.5</v>
      </c>
      <c r="G192" s="153"/>
      <c r="H192" s="185" t="s">
        <v>115</v>
      </c>
      <c r="I192" s="606">
        <f>IF(F192="",0,ROUND(F192*LOOKUP(B$187,Espesor!$C$8:$C$41,Espesor!$Z$8:$Z$41)*POWER(MIN(C$192,D$190),2),4))</f>
        <v>0</v>
      </c>
      <c r="J192" s="606"/>
      <c r="K192" s="182"/>
      <c r="L192" s="174"/>
      <c r="M192" s="153"/>
      <c r="N192" s="153"/>
      <c r="O192" s="137"/>
      <c r="P192" s="205"/>
      <c r="Q192" s="193"/>
      <c r="R192" s="193"/>
      <c r="S192" s="26"/>
      <c r="T192" s="26"/>
      <c r="U192" s="281"/>
      <c r="V192" s="281"/>
      <c r="W192" s="281"/>
      <c r="X192" s="281"/>
    </row>
    <row r="193" spans="1:24" s="23" customFormat="1" ht="15.95" customHeight="1">
      <c r="B193" s="418"/>
      <c r="C193" s="601"/>
      <c r="D193" s="168"/>
      <c r="E193" s="185"/>
      <c r="F193" s="147"/>
      <c r="G193" s="153"/>
      <c r="H193" s="153"/>
      <c r="I193" s="188"/>
      <c r="J193" s="185"/>
      <c r="K193" s="178"/>
      <c r="L193" s="178"/>
      <c r="M193" s="153"/>
      <c r="N193" s="153"/>
      <c r="O193" s="137"/>
      <c r="P193" s="205"/>
      <c r="Q193" s="193"/>
      <c r="R193" s="193"/>
      <c r="S193" s="26"/>
      <c r="T193" s="26"/>
      <c r="U193" s="281"/>
      <c r="V193" s="281"/>
      <c r="W193" s="281"/>
      <c r="X193" s="281"/>
    </row>
    <row r="194" spans="1:24" s="23" customFormat="1" ht="15.95" customHeight="1">
      <c r="B194" s="418"/>
      <c r="C194" s="179"/>
      <c r="D194" s="168"/>
      <c r="E194" s="185"/>
      <c r="F194" s="147"/>
      <c r="G194" s="153"/>
      <c r="H194" s="153"/>
      <c r="I194" s="188"/>
      <c r="J194" s="185"/>
      <c r="K194" s="178"/>
      <c r="L194" s="178"/>
      <c r="M194" s="153"/>
      <c r="N194" s="153"/>
      <c r="O194" s="137"/>
      <c r="P194" s="205"/>
      <c r="Q194" s="193"/>
      <c r="R194" s="193"/>
      <c r="S194" s="26"/>
      <c r="T194" s="26"/>
      <c r="U194" s="281"/>
      <c r="V194" s="281"/>
      <c r="W194" s="281"/>
      <c r="X194" s="281"/>
    </row>
    <row r="195" spans="1:24" s="23" customFormat="1" ht="15.95" customHeight="1">
      <c r="A195" s="347" t="str">
        <f>+Espesor!B32</f>
        <v>Lt-</v>
      </c>
      <c r="B195" s="347">
        <f>IF(B187="","",IF(Espesor!$D$4&gt;=(B187+1),B187+1,""))</f>
        <v>25</v>
      </c>
      <c r="C195" s="604" t="str">
        <f>IF(B195&lt;=Espesor!$D$4,Espesor!$G$5,"")</f>
        <v>Losa armada en</v>
      </c>
      <c r="D195" s="604"/>
      <c r="E195" s="602" t="str">
        <f>IF(C195="","",LOOKUP(B195,Espesor!$C$8:$C$41,Espesor!$G$8:$G$41))</f>
        <v/>
      </c>
      <c r="F195" s="602"/>
      <c r="G195" s="602"/>
      <c r="H195" s="167" t="str">
        <f>IF(B195="","",LOOKUP(B195,Espesor!$C$8:$C$41,Espesor!$J$8:$J$41))</f>
        <v/>
      </c>
      <c r="I195" s="603" t="str">
        <f>IF(B195="","",IF(H195&gt;1,Espesor!$H$5,"Borde Discontinuo"))</f>
        <v>Bordes Discontinuos</v>
      </c>
      <c r="J195" s="603"/>
      <c r="K195" s="603"/>
      <c r="P195" s="191"/>
      <c r="Q195" s="193"/>
      <c r="R195" s="193"/>
      <c r="S195" s="26"/>
      <c r="T195" s="26"/>
      <c r="U195" s="281"/>
      <c r="V195" s="281"/>
      <c r="W195" s="281"/>
      <c r="X195" s="281"/>
    </row>
    <row r="196" spans="1:24" s="23" customFormat="1" ht="15.95" customHeight="1" thickBot="1">
      <c r="A196" s="22"/>
      <c r="B196" s="418"/>
      <c r="C196" s="165"/>
      <c r="D196" s="175"/>
      <c r="E196" s="611">
        <f>IF(B195="","",LOOKUP(B195,Espesor!$C$8:$C$41,Espesor!$F$8:$F$41))</f>
        <v>0</v>
      </c>
      <c r="F196" s="611"/>
      <c r="G196" s="609" t="str">
        <f>IF(B195="","",LOOKUP(B195,Espesor!$C$8:$C$41,Espesor!$K$8:$K$41))</f>
        <v/>
      </c>
      <c r="H196" s="609"/>
      <c r="I196" s="609"/>
      <c r="J196" s="145" t="str">
        <f>IF(B195="","",IF(E196&lt;0.5,"","alfa ="))</f>
        <v/>
      </c>
      <c r="K196" s="146" t="str">
        <f>IF(B195="","",IF(E196&lt;0.5,"",(3-(E196)^2)/2))</f>
        <v/>
      </c>
      <c r="L196" s="162">
        <f>+IF(E196&lt;0.5,IF(H195=0,0.5,IF(H195=1,5/8,IF(H195=2,0.5,1))),"")</f>
        <v>1</v>
      </c>
      <c r="M196" s="147"/>
      <c r="N196" s="183"/>
      <c r="O196" s="137"/>
      <c r="P196" s="205"/>
      <c r="Q196" s="193"/>
      <c r="R196" s="193"/>
      <c r="S196" s="26"/>
      <c r="T196" s="26"/>
      <c r="U196" s="281"/>
      <c r="V196" s="281"/>
      <c r="W196" s="281"/>
      <c r="X196" s="281"/>
    </row>
    <row r="197" spans="1:24" s="23" customFormat="1" ht="15.95" customHeight="1">
      <c r="A197" s="22"/>
      <c r="B197" s="418"/>
      <c r="C197" s="616"/>
      <c r="D197" s="168"/>
      <c r="E197" s="185" t="s">
        <v>108</v>
      </c>
      <c r="F197" s="186">
        <f>IF(B195="","",IF(M198="LX",IF(E196&lt;0.5,IF(H195=0,1/24,IF(H195=1,9/125,IF(H195=2,1/8,0))),IF(H195=4,VLOOKUP(E196,COEFICIENTES!$A$8:$N$58,2),IF(H195=3,VLOOKUP(E196,COEFICIENTES!$A$8:$N$58,4),IF(H195=2,VLOOKUP(E196,COEFICIENTES!$A$8:$N$58,7),IF(H195=1,VLOOKUP(E196,COEFICIENTES!$A$8:$N$58,10),VLOOKUP(E196,COEFICIENTES!$A$8:$N$58,13)))))),IF(H195=4,COEFICIENTES!$B$60,IF(H195=3,COEFICIENTES!$D$60,IF(H195=2,COEFICIENTES!$G$60,IF(H195=1,COEFICIENTES!$J$60,COEFICIENTES!$M$60))))))</f>
        <v>2.5000000000000001E-2</v>
      </c>
      <c r="G197" s="187"/>
      <c r="H197" s="185" t="s">
        <v>109</v>
      </c>
      <c r="I197" s="606">
        <f>IF(F197="",0,ROUND(F197*LOOKUP(B$195,Espesor!$C$8:$C$41,Espesor!$Z$8:$Z$41)*POWER(MIN(C$200,D$198),2),4))</f>
        <v>0</v>
      </c>
      <c r="J197" s="606"/>
      <c r="K197" s="607">
        <f>IF(M198="LY",LOOKUP(B195,Espesor!$C$8:$C$41,Espesor!$AA$8:$AA$41),LOOKUP(B195,Espesor!$C$8:$C$41,Espesor!$AB$8:$AB$41))</f>
        <v>0</v>
      </c>
      <c r="L197" s="607"/>
      <c r="M197" s="147"/>
      <c r="N197" s="153"/>
      <c r="O197" s="138"/>
      <c r="P197" s="205"/>
      <c r="Q197" s="193"/>
      <c r="R197" s="193"/>
      <c r="S197" s="26"/>
      <c r="T197" s="26"/>
      <c r="U197" s="281"/>
      <c r="V197" s="281"/>
      <c r="W197" s="281"/>
      <c r="X197" s="281"/>
    </row>
    <row r="198" spans="1:24" s="23" customFormat="1" ht="15.95" customHeight="1">
      <c r="A198" s="22"/>
      <c r="B198" s="418"/>
      <c r="C198" s="617"/>
      <c r="D198" s="169">
        <f>IF(B195="","",VLOOKUP(B195,Espesor!$C$8:$E$41,3))</f>
        <v>0</v>
      </c>
      <c r="E198" s="185" t="s">
        <v>110</v>
      </c>
      <c r="F198" s="186">
        <f>IF(B195="","",IF(M198="LX",IF(E196&lt;0.5,IF(H195=0,1/12,IF(H195=1,3/8,IF(H195=2,0,0.5))),IF(H195=4,VLOOKUP(E196,COEFICIENTES!$A$8:$N$58,3),IF(H195=3,VLOOKUP(E196,COEFICIENTES!$A$8:$N$58,6),IF(H195=2,VLOOKUP(E196,COEFICIENTES!$A$8:$N$58,9),IF(H195=1,VLOOKUP(E196,COEFICIENTES!$A$8:$N$58,12),VLOOKUP(E196,COEFICIENTES!$A$8:$N$58,14)))))),IF(H195=4,COEFICIENTES!$C$60,IF(H195=3,COEFICIENTES!$F$60,IF(H195=2,COEFICIENTES!$I$60,IF(H195=1,COEFICIENTES!$L$60,COEFICIENTES!$N$60))))))</f>
        <v>3.3000000000000002E-2</v>
      </c>
      <c r="G198" s="153"/>
      <c r="H198" s="185" t="s">
        <v>111</v>
      </c>
      <c r="I198" s="606">
        <f>IF(F198="",0,ROUND(F198*LOOKUP(B$195,Espesor!$C$8:$C$41,Espesor!$Z$8:$Z$41)*POWER(MIN(C$200,D$198),2),4))</f>
        <v>0</v>
      </c>
      <c r="J198" s="606"/>
      <c r="K198" s="608">
        <f>IF(M198="LX",LOOKUP(B195,Espesor!$C$8:$C$41,Espesor!$AA$8:$AA$41),LOOKUP(B195,Espesor!$C$8:$C$41,Espesor!$AB$8:$AB$41))</f>
        <v>0</v>
      </c>
      <c r="L198" s="608"/>
      <c r="M198" s="170" t="str">
        <f>+IF(MIN(C200,D198)=D198,"LY","LX")</f>
        <v>LY</v>
      </c>
      <c r="N198" s="153" t="str">
        <f>+IF(M198="","",IF(M198="LY","LX","LY"))</f>
        <v>LX</v>
      </c>
      <c r="O198" s="137"/>
      <c r="P198" s="205"/>
      <c r="Q198" s="193"/>
      <c r="R198" s="193"/>
      <c r="S198" s="26"/>
      <c r="T198" s="26"/>
      <c r="U198" s="281"/>
      <c r="V198" s="281"/>
      <c r="W198" s="281"/>
      <c r="X198" s="281"/>
    </row>
    <row r="199" spans="1:24" s="23" customFormat="1" ht="15.95" customHeight="1" thickBot="1">
      <c r="A199" s="22"/>
      <c r="B199" s="418"/>
      <c r="C199" s="618"/>
      <c r="D199" s="168"/>
      <c r="E199" s="185" t="s">
        <v>112</v>
      </c>
      <c r="F199" s="186">
        <f>IF(B195="","",IF(M198="LY",IF(E196&lt;0.5,IF(H195=0,1/24,IF(H195=1,9/125,IF(H195=2,1/8,0))),IF(H195=4,VLOOKUP(E196,COEFICIENTES!$A$8:$N$58,2),IF(H195=3,VLOOKUP(E196,COEFICIENTES!$A$8:$N$58,4),IF(H195=2,VLOOKUP(E196,COEFICIENTES!$A$8:$N$58,7),IF(H195=1,VLOOKUP(E196,COEFICIENTES!$A$8:$N$58,10),VLOOKUP(E196,COEFICIENTES!$A$8:$N$58,13)))))),IF(H195=4,COEFICIENTES!$B$60,IF(H195=3,COEFICIENTES!$D$60,IF(H195=2,COEFICIENTES!$G$60,IF(H195=1,COEFICIENTES!$J$60,COEFICIENTES!$M$60))))))</f>
        <v>0</v>
      </c>
      <c r="G199" s="153"/>
      <c r="H199" s="185" t="s">
        <v>113</v>
      </c>
      <c r="I199" s="606">
        <f>IF(F199="",0,ROUND(F199*LOOKUP(B$195,Espesor!$C$8:$C$41,Espesor!$Z$8:$Z$41)*POWER(MIN(C$200,D$198),2),4))</f>
        <v>0</v>
      </c>
      <c r="J199" s="606"/>
      <c r="K199" s="182"/>
      <c r="L199" s="174"/>
      <c r="M199" s="147"/>
      <c r="N199" s="153"/>
      <c r="O199" s="137"/>
      <c r="P199" s="205"/>
      <c r="Q199" s="193"/>
      <c r="R199" s="193"/>
      <c r="S199" s="26"/>
      <c r="T199" s="26"/>
      <c r="U199" s="281"/>
      <c r="V199" s="281"/>
      <c r="W199" s="281"/>
      <c r="X199" s="281"/>
    </row>
    <row r="200" spans="1:24" s="23" customFormat="1" ht="15.95" customHeight="1">
      <c r="A200" s="22"/>
      <c r="B200" s="418"/>
      <c r="C200" s="600">
        <f>IF(B195="","",VLOOKUP(B195,Espesor!$C$8:$E$41,2))</f>
        <v>0</v>
      </c>
      <c r="D200" s="168"/>
      <c r="E200" s="185" t="s">
        <v>114</v>
      </c>
      <c r="F200" s="186">
        <f>IF(B195="","",IF(M198="LY",IF(E196&lt;0.5,IF(H195=0,1/12,IF(H195=1,3/8,IF(H195=2,0,0.5))),IF(H195=4,VLOOKUP(E196,COEFICIENTES!$A$8:$N$58,3),IF(H195=3,VLOOKUP(E196,COEFICIENTES!$A$8:$N$58,6),IF(H195=2,VLOOKUP(E196,COEFICIENTES!$A$8:$N$58,9),IF(H195=1,VLOOKUP(E196,COEFICIENTES!$A$8:$N$58,12),VLOOKUP(E196,COEFICIENTES!$A$8:$N$58,14)))))),IF(H195=4,COEFICIENTES!$C$60,IF(H195=3,COEFICIENTES!$F$60,IF(H195=2,COEFICIENTES!$I$60,IF(H195=1,COEFICIENTES!$L$60,COEFICIENTES!$N$60))))))</f>
        <v>0.5</v>
      </c>
      <c r="G200" s="153"/>
      <c r="H200" s="185" t="s">
        <v>115</v>
      </c>
      <c r="I200" s="606">
        <f>IF(F200="",0,ROUND(F200*LOOKUP(B$195,Espesor!$C$8:$C$41,Espesor!$Z$8:$Z$41)*POWER(MIN(C$200,D$198),2),4))</f>
        <v>0</v>
      </c>
      <c r="J200" s="606"/>
      <c r="K200" s="182"/>
      <c r="L200" s="174"/>
      <c r="M200" s="153"/>
      <c r="N200" s="153"/>
      <c r="O200" s="137"/>
      <c r="P200" s="205"/>
      <c r="Q200" s="193"/>
      <c r="R200" s="193"/>
      <c r="S200" s="26"/>
      <c r="T200" s="26"/>
      <c r="U200" s="281"/>
      <c r="V200" s="281"/>
      <c r="W200" s="281"/>
      <c r="X200" s="281"/>
    </row>
    <row r="201" spans="1:24" s="23" customFormat="1" ht="15.95" customHeight="1">
      <c r="A201" s="22"/>
      <c r="B201" s="418"/>
      <c r="C201" s="601"/>
      <c r="D201" s="25"/>
      <c r="E201" s="185"/>
      <c r="F201" s="147"/>
      <c r="G201" s="153"/>
      <c r="H201" s="153"/>
      <c r="I201" s="188"/>
      <c r="J201" s="185"/>
      <c r="K201" s="178"/>
      <c r="L201" s="178"/>
      <c r="M201" s="153"/>
      <c r="N201" s="153"/>
      <c r="O201" s="137"/>
      <c r="P201" s="205"/>
      <c r="Q201" s="193"/>
      <c r="R201" s="193"/>
      <c r="S201" s="26"/>
      <c r="T201" s="26"/>
      <c r="U201" s="281"/>
      <c r="V201" s="281"/>
      <c r="W201" s="281"/>
      <c r="X201" s="281"/>
    </row>
    <row r="202" spans="1:24" s="24" customFormat="1" ht="15.95" customHeight="1">
      <c r="A202" s="22"/>
      <c r="B202" s="419"/>
      <c r="C202" s="25"/>
      <c r="D202" s="25"/>
      <c r="E202" s="153"/>
      <c r="F202" s="153"/>
      <c r="G202" s="153"/>
      <c r="H202" s="153"/>
      <c r="I202" s="188"/>
      <c r="J202" s="185"/>
      <c r="K202" s="25"/>
      <c r="L202" s="151"/>
      <c r="M202" s="153"/>
      <c r="N202" s="153"/>
      <c r="O202" s="142"/>
      <c r="P202" s="153"/>
      <c r="Q202" s="193"/>
      <c r="R202" s="193"/>
      <c r="S202" s="26"/>
      <c r="T202" s="26"/>
      <c r="U202" s="282"/>
      <c r="V202" s="282"/>
      <c r="W202" s="282"/>
      <c r="X202" s="282"/>
    </row>
    <row r="203" spans="1:24" s="23" customFormat="1" ht="15.95" customHeight="1">
      <c r="A203" s="347" t="str">
        <f>+Espesor!B33</f>
        <v>Lt-</v>
      </c>
      <c r="B203" s="347">
        <f>IF(B195="","",IF(Espesor!$D$4&gt;=(B195+1),B195+1,""))</f>
        <v>26</v>
      </c>
      <c r="C203" s="604" t="str">
        <f>IF(B203&lt;=Espesor!$D$4,Espesor!$G$5,"")</f>
        <v>Losa armada en</v>
      </c>
      <c r="D203" s="604"/>
      <c r="E203" s="602" t="str">
        <f>IF(C203="","",LOOKUP(B203,Espesor!$C$8:$C$41,Espesor!$G$8:$G$41))</f>
        <v/>
      </c>
      <c r="F203" s="602"/>
      <c r="G203" s="602"/>
      <c r="H203" s="167" t="str">
        <f>IF(B203="","",LOOKUP(B203,Espesor!$C$8:$C$41,Espesor!$J$8:$J$41))</f>
        <v/>
      </c>
      <c r="I203" s="603" t="str">
        <f>IF(B203="","",IF(H203&gt;1,Espesor!$H$5,"Borde Discontinuo"))</f>
        <v>Bordes Discontinuos</v>
      </c>
      <c r="J203" s="603"/>
      <c r="K203" s="603"/>
      <c r="P203" s="191"/>
      <c r="Q203" s="193"/>
      <c r="R203" s="193"/>
      <c r="S203" s="26"/>
      <c r="T203" s="26"/>
      <c r="U203" s="281"/>
      <c r="V203" s="281"/>
      <c r="W203" s="281"/>
      <c r="X203" s="281"/>
    </row>
    <row r="204" spans="1:24" s="23" customFormat="1" ht="15.95" customHeight="1" thickBot="1">
      <c r="B204" s="418"/>
      <c r="C204" s="165"/>
      <c r="D204" s="175"/>
      <c r="E204" s="611">
        <f>IF(B203="","",LOOKUP(B203,Espesor!$C$8:$C$41,Espesor!$F$8:$F$41))</f>
        <v>0</v>
      </c>
      <c r="F204" s="611"/>
      <c r="G204" s="609" t="str">
        <f>IF(B203="","",LOOKUP(B203,Espesor!$C$8:$C$41,Espesor!$K$8:$K$41))</f>
        <v/>
      </c>
      <c r="H204" s="609"/>
      <c r="I204" s="609"/>
      <c r="J204" s="145" t="str">
        <f>IF(B203="","",IF(E204&lt;0.5,"","alfa ="))</f>
        <v/>
      </c>
      <c r="K204" s="146" t="str">
        <f>IF(B203="","",IF(E204&lt;0.5,"",(3-(E204)^2)/2))</f>
        <v/>
      </c>
      <c r="L204" s="162">
        <f>+IF(E204&lt;0.5,IF(H203=0,0.5,IF(H203=1,5/8,IF(H203=2,0.5,1))),"")</f>
        <v>1</v>
      </c>
      <c r="M204" s="147"/>
      <c r="N204" s="147"/>
      <c r="O204" s="137"/>
      <c r="P204" s="205"/>
      <c r="Q204" s="193"/>
      <c r="R204" s="193"/>
      <c r="S204" s="26"/>
      <c r="T204" s="26"/>
      <c r="U204" s="281"/>
      <c r="V204" s="281"/>
      <c r="W204" s="281"/>
      <c r="X204" s="281"/>
    </row>
    <row r="205" spans="1:24" s="22" customFormat="1" ht="15.95" customHeight="1">
      <c r="B205" s="418"/>
      <c r="C205" s="616"/>
      <c r="D205" s="168"/>
      <c r="E205" s="185" t="s">
        <v>108</v>
      </c>
      <c r="F205" s="186">
        <f>IF(B203="","",IF(M206="LX",IF(E204&lt;0.5,IF(H203=0,1/24,IF(H203=1,9/125,IF(H203=2,1/8,0))),IF(H203=4,VLOOKUP(E204,COEFICIENTES!$A$8:$N$58,2),IF(H203=3,VLOOKUP(E204,COEFICIENTES!$A$8:$N$58,4),IF(H203=2,VLOOKUP(E204,COEFICIENTES!$A$8:$N$58,7),IF(H203=1,VLOOKUP(E204,COEFICIENTES!$A$8:$N$58,10),VLOOKUP(E204,COEFICIENTES!$A$8:$N$58,13)))))),IF(H203=4,COEFICIENTES!$B$60,IF(H203=3,COEFICIENTES!$D$60,IF(H203=2,COEFICIENTES!$G$60,IF(H203=1,COEFICIENTES!$J$60,COEFICIENTES!$M$60))))))</f>
        <v>2.5000000000000001E-2</v>
      </c>
      <c r="G205" s="187"/>
      <c r="H205" s="185" t="s">
        <v>109</v>
      </c>
      <c r="I205" s="606">
        <f>IF(F205="",0,ROUND(F205*LOOKUP(B$203,Espesor!$C$8:$C$41,Espesor!$Z$8:$Z$41)*POWER(MIN(C$208,D$206),2),4))</f>
        <v>0</v>
      </c>
      <c r="J205" s="606"/>
      <c r="K205" s="607">
        <f>IF(M206="LY",LOOKUP(B203,Espesor!$C$8:$C$41,Espesor!$AA$8:$AA$41),LOOKUP(B203,Espesor!$C$8:$C$41,Espesor!$AB$8:$AB$41))</f>
        <v>0</v>
      </c>
      <c r="L205" s="607"/>
      <c r="M205" s="143"/>
      <c r="N205" s="143"/>
      <c r="O205" s="135"/>
      <c r="P205" s="204"/>
      <c r="Q205" s="193"/>
      <c r="R205" s="193"/>
      <c r="S205" s="26"/>
      <c r="T205" s="26"/>
      <c r="U205" s="280"/>
      <c r="V205" s="280"/>
      <c r="W205" s="280"/>
      <c r="X205" s="280"/>
    </row>
    <row r="206" spans="1:24" s="22" customFormat="1" ht="15.95" customHeight="1">
      <c r="B206" s="418"/>
      <c r="C206" s="617"/>
      <c r="D206" s="169">
        <f>IF(B203="","",VLOOKUP(B203,Espesor!$C$8:$E$41,3))</f>
        <v>0</v>
      </c>
      <c r="E206" s="185" t="s">
        <v>110</v>
      </c>
      <c r="F206" s="186">
        <f>IF(B203="","",IF(M206="LX",IF(E204&lt;0.5,IF(H203=0,1/12,IF(H203=1,3/8,IF(H203=2,0,0.5))),IF(H203=4,VLOOKUP(E204,COEFICIENTES!$A$8:$N$58,3),IF(H203=3,VLOOKUP(E204,COEFICIENTES!$A$8:$N$58,6),IF(H203=2,VLOOKUP(E204,COEFICIENTES!$A$8:$N$58,9),IF(H203=1,VLOOKUP(E204,COEFICIENTES!$A$8:$N$58,12),VLOOKUP(E204,COEFICIENTES!$A$8:$N$58,14)))))),IF(H203=4,COEFICIENTES!$C$60,IF(H203=3,COEFICIENTES!$F$60,IF(H203=2,COEFICIENTES!$I$60,IF(H203=1,COEFICIENTES!$L$60,COEFICIENTES!$N$60))))))</f>
        <v>3.3000000000000002E-2</v>
      </c>
      <c r="G206" s="153"/>
      <c r="H206" s="185" t="s">
        <v>111</v>
      </c>
      <c r="I206" s="606">
        <f>IF(F206="",0,ROUND(F206*LOOKUP(B$203,Espesor!$C$8:$C$41,Espesor!$Z$8:$Z$41)*POWER(MIN(C$208,D$206),2),4))</f>
        <v>0</v>
      </c>
      <c r="J206" s="606"/>
      <c r="K206" s="608">
        <f>IF(M206="LX",LOOKUP(B203,Espesor!$C$8:$C$41,Espesor!$AA$8:$AA$41),LOOKUP(B203,Espesor!$C$8:$C$41,Espesor!$AB$8:$AB$41))</f>
        <v>0</v>
      </c>
      <c r="L206" s="608"/>
      <c r="M206" s="170" t="str">
        <f>+IF(MIN(C208,D206)=D206,"LY","LX")</f>
        <v>LY</v>
      </c>
      <c r="N206" s="153" t="str">
        <f>+IF(M206="","",IF(M206="LY","LX","LY"))</f>
        <v>LX</v>
      </c>
      <c r="O206" s="135"/>
      <c r="P206" s="204"/>
      <c r="Q206" s="193"/>
      <c r="R206" s="193"/>
      <c r="S206" s="26"/>
      <c r="T206" s="26"/>
      <c r="U206" s="280"/>
      <c r="V206" s="280"/>
      <c r="W206" s="280"/>
      <c r="X206" s="280"/>
    </row>
    <row r="207" spans="1:24" s="22" customFormat="1" ht="15.95" customHeight="1" thickBot="1">
      <c r="B207" s="418"/>
      <c r="C207" s="618"/>
      <c r="D207" s="168"/>
      <c r="E207" s="185" t="s">
        <v>112</v>
      </c>
      <c r="F207" s="186">
        <f>IF(B203="","",IF(M206="LY",IF(E204&lt;0.5,IF(H203=0,1/24,IF(H203=1,9/125,IF(H203=2,1/8,0))),IF(H203=4,VLOOKUP(E204,COEFICIENTES!$A$8:$N$58,2),IF(H203=3,VLOOKUP(E204,COEFICIENTES!$A$8:$N$58,4),IF(H203=2,VLOOKUP(E204,COEFICIENTES!$A$8:$N$58,7),IF(H203=1,VLOOKUP(E204,COEFICIENTES!$A$8:$N$58,10),VLOOKUP(E204,COEFICIENTES!$A$8:$N$58,13)))))),IF(H203=4,COEFICIENTES!$B$60,IF(H203=3,COEFICIENTES!$D$60,IF(H203=2,COEFICIENTES!$G$60,IF(H203=1,COEFICIENTES!$J$60,COEFICIENTES!$M$60))))))</f>
        <v>0</v>
      </c>
      <c r="G207" s="153"/>
      <c r="H207" s="185" t="s">
        <v>113</v>
      </c>
      <c r="I207" s="606">
        <f>IF(F207="",0,ROUND(F207*LOOKUP(B$203,Espesor!$C$8:$C$41,Espesor!$Z$8:$Z$41)*POWER(MIN(C$208,D$206),2),4))</f>
        <v>0</v>
      </c>
      <c r="J207" s="606"/>
      <c r="K207" s="182"/>
      <c r="L207" s="174"/>
      <c r="M207" s="143"/>
      <c r="N207" s="143"/>
      <c r="O207" s="135"/>
      <c r="P207" s="204"/>
      <c r="Q207" s="193"/>
      <c r="R207" s="193"/>
      <c r="S207" s="26"/>
      <c r="T207" s="26"/>
      <c r="U207" s="280"/>
      <c r="V207" s="280"/>
      <c r="W207" s="280"/>
      <c r="X207" s="280"/>
    </row>
    <row r="208" spans="1:24" s="22" customFormat="1" ht="15.95" customHeight="1">
      <c r="B208" s="418"/>
      <c r="C208" s="600">
        <f>IF(B203="","",VLOOKUP(B203,Espesor!$C$8:$E$41,2))</f>
        <v>0</v>
      </c>
      <c r="D208" s="168"/>
      <c r="E208" s="185" t="s">
        <v>114</v>
      </c>
      <c r="F208" s="186">
        <f>IF(B203="","",IF(M206="LY",IF(E204&lt;0.5,IF(H203=0,1/12,IF(H203=1,3/8,IF(H203=2,0,0.5))),IF(H203=4,VLOOKUP(E204,COEFICIENTES!$A$8:$N$58,3),IF(H203=3,VLOOKUP(E204,COEFICIENTES!$A$8:$N$58,6),IF(H203=2,VLOOKUP(E204,COEFICIENTES!$A$8:$N$58,9),IF(H203=1,VLOOKUP(E204,COEFICIENTES!$A$8:$N$58,12),VLOOKUP(E204,COEFICIENTES!$A$8:$N$58,14)))))),IF(H203=4,COEFICIENTES!$C$60,IF(H203=3,COEFICIENTES!$F$60,IF(H203=2,COEFICIENTES!$I$60,IF(H203=1,COEFICIENTES!$L$60,COEFICIENTES!$N$60))))))</f>
        <v>0.5</v>
      </c>
      <c r="G208" s="153"/>
      <c r="H208" s="185" t="s">
        <v>115</v>
      </c>
      <c r="I208" s="606">
        <f>IF(F208="",0,ROUND(F208*LOOKUP(B$203,Espesor!$C$8:$C$41,Espesor!$Z$8:$Z$41)*POWER(MIN(C$208,D$206),2),4))</f>
        <v>0</v>
      </c>
      <c r="J208" s="606"/>
      <c r="K208" s="182"/>
      <c r="L208" s="174"/>
      <c r="M208" s="143"/>
      <c r="N208" s="143"/>
      <c r="O208" s="135"/>
      <c r="P208" s="204"/>
      <c r="Q208" s="193"/>
      <c r="R208" s="193"/>
      <c r="S208" s="26"/>
      <c r="T208" s="26"/>
      <c r="U208" s="280"/>
      <c r="V208" s="280"/>
      <c r="W208" s="280"/>
      <c r="X208" s="280"/>
    </row>
    <row r="209" spans="1:27" s="22" customFormat="1" ht="15.95" customHeight="1">
      <c r="B209" s="418"/>
      <c r="C209" s="601"/>
      <c r="D209" s="168"/>
      <c r="E209" s="185"/>
      <c r="F209" s="147"/>
      <c r="G209" s="153"/>
      <c r="H209" s="153"/>
      <c r="I209" s="188"/>
      <c r="J209" s="185"/>
      <c r="K209" s="178"/>
      <c r="L209" s="178"/>
      <c r="M209" s="143"/>
      <c r="N209" s="143"/>
      <c r="O209" s="135"/>
      <c r="P209" s="204"/>
      <c r="Q209" s="193"/>
      <c r="R209" s="193"/>
      <c r="S209" s="26"/>
      <c r="T209" s="26"/>
      <c r="U209" s="280"/>
      <c r="V209" s="280"/>
      <c r="W209" s="280"/>
      <c r="X209" s="280"/>
    </row>
    <row r="210" spans="1:27" s="22" customFormat="1" ht="15.95" customHeight="1">
      <c r="B210" s="418"/>
      <c r="C210" s="179"/>
      <c r="D210" s="168"/>
      <c r="E210" s="185"/>
      <c r="F210" s="147"/>
      <c r="G210" s="153"/>
      <c r="H210" s="153"/>
      <c r="I210" s="188"/>
      <c r="J210" s="185"/>
      <c r="K210" s="178"/>
      <c r="L210" s="178"/>
      <c r="M210" s="143"/>
      <c r="N210" s="143"/>
      <c r="O210" s="135"/>
      <c r="P210" s="204"/>
      <c r="Q210" s="193"/>
      <c r="R210" s="193"/>
      <c r="S210" s="26"/>
      <c r="T210" s="26"/>
      <c r="U210" s="280"/>
      <c r="V210" s="280"/>
      <c r="W210" s="280"/>
      <c r="X210" s="280"/>
    </row>
    <row r="211" spans="1:27" s="22" customFormat="1" ht="15.95" customHeight="1">
      <c r="A211" s="347" t="str">
        <f>+Espesor!B34</f>
        <v>Lt-</v>
      </c>
      <c r="B211" s="347">
        <f>IF(B203="","",IF(Espesor!$D$4&gt;=(B203+1),B203+1,""))</f>
        <v>27</v>
      </c>
      <c r="C211" s="604" t="str">
        <f>IF(B211&lt;=Espesor!$D$4,Espesor!$G$5,"")</f>
        <v>Losa armada en</v>
      </c>
      <c r="D211" s="604"/>
      <c r="E211" s="602" t="str">
        <f>IF(C211="","",LOOKUP(B211,Espesor!$C$8:$C$41,Espesor!$G$8:$G$41))</f>
        <v/>
      </c>
      <c r="F211" s="602"/>
      <c r="G211" s="602"/>
      <c r="H211" s="167" t="str">
        <f>IF(B211="","",LOOKUP(B211,Espesor!$C$8:$C$41,Espesor!$J$8:$J$41))</f>
        <v/>
      </c>
      <c r="I211" s="603" t="str">
        <f>IF(B211="","",IF(H211&gt;1,Espesor!$H$5,"Borde Discontinuo"))</f>
        <v>Bordes Discontinuos</v>
      </c>
      <c r="J211" s="603"/>
      <c r="K211" s="603"/>
      <c r="P211" s="191"/>
      <c r="Q211" s="193"/>
      <c r="R211" s="193"/>
      <c r="S211" s="26"/>
      <c r="T211" s="26"/>
      <c r="U211" s="280"/>
      <c r="V211" s="280"/>
      <c r="W211" s="280"/>
      <c r="X211" s="280"/>
    </row>
    <row r="212" spans="1:27" s="22" customFormat="1" ht="15.95" customHeight="1" thickBot="1">
      <c r="B212" s="418"/>
      <c r="C212" s="165"/>
      <c r="D212" s="175"/>
      <c r="E212" s="611">
        <f>IF(B211="","",LOOKUP(B211,Espesor!$C$8:$C$41,Espesor!$F$8:$F$41))</f>
        <v>0</v>
      </c>
      <c r="F212" s="611"/>
      <c r="G212" s="609" t="str">
        <f>IF(B211="","",LOOKUP(B211,Espesor!$C$8:$C$41,Espesor!$K$8:$K$41))</f>
        <v/>
      </c>
      <c r="H212" s="609"/>
      <c r="I212" s="609"/>
      <c r="J212" s="145" t="str">
        <f>IF(B211="","",IF(E212&lt;0.5,"","alfa ="))</f>
        <v/>
      </c>
      <c r="K212" s="146" t="str">
        <f>IF(B211="","",IF(E212&lt;0.5,"",(3-(E212)^2)/2))</f>
        <v/>
      </c>
      <c r="L212" s="162">
        <f>+IF(E212&lt;0.5,IF(H211=0,0.5,IF(H211=1,5/8,IF(H211=2,0.5,1))),"")</f>
        <v>1</v>
      </c>
      <c r="M212" s="143"/>
      <c r="N212" s="143"/>
      <c r="O212" s="135"/>
      <c r="P212" s="204"/>
      <c r="Q212" s="193"/>
      <c r="R212" s="193"/>
      <c r="S212" s="26"/>
      <c r="T212" s="26"/>
      <c r="U212" s="280"/>
      <c r="V212" s="280"/>
      <c r="W212" s="280"/>
      <c r="X212" s="280"/>
    </row>
    <row r="213" spans="1:27" s="22" customFormat="1" ht="15.95" customHeight="1">
      <c r="B213" s="418"/>
      <c r="C213" s="616"/>
      <c r="D213" s="168"/>
      <c r="E213" s="185" t="s">
        <v>108</v>
      </c>
      <c r="F213" s="186">
        <f>IF(B211="","",IF(M214="LX",IF(E212&lt;0.5,IF(H211=0,1/24,IF(H211=1,9/125,IF(H211=2,1/8,0))),IF(H211=4,VLOOKUP(E212,COEFICIENTES!$A$8:$N$58,2),IF(H211=3,VLOOKUP(E212,COEFICIENTES!$A$8:$N$58,4),IF(H211=2,VLOOKUP(E212,COEFICIENTES!$A$8:$N$58,7),IF(H211=1,VLOOKUP(E212,COEFICIENTES!$A$8:$N$58,10),VLOOKUP(E212,COEFICIENTES!$A$8:$N$58,13)))))),IF(H211=4,COEFICIENTES!$B$60,IF(H211=3,COEFICIENTES!$D$60,IF(H211=2,COEFICIENTES!$G$60,IF(H211=1,COEFICIENTES!$J$60,COEFICIENTES!$M$60))))))</f>
        <v>2.5000000000000001E-2</v>
      </c>
      <c r="G213" s="187"/>
      <c r="H213" s="185" t="s">
        <v>109</v>
      </c>
      <c r="I213" s="606">
        <f>IF(F213="",0,ROUND(F213*LOOKUP(B$211,Espesor!$C$8:$C$41,Espesor!$Z$8:$Z$41)*POWER(MIN(C$216,D$214),2),4))</f>
        <v>0</v>
      </c>
      <c r="J213" s="606"/>
      <c r="K213" s="607">
        <f>IF(M214="LY",LOOKUP(B211,Espesor!$C$8:$C$41,Espesor!$AA$8:$AA$41),LOOKUP(B211,Espesor!$C$8:$C$41,Espesor!$AB$8:$AB$41))</f>
        <v>0</v>
      </c>
      <c r="L213" s="607"/>
      <c r="M213" s="143"/>
      <c r="N213" s="143"/>
      <c r="O213" s="135"/>
      <c r="P213" s="204"/>
      <c r="Q213" s="193"/>
      <c r="R213" s="193"/>
      <c r="S213" s="26"/>
      <c r="T213" s="26"/>
      <c r="U213" s="280"/>
      <c r="V213" s="280"/>
      <c r="W213" s="280"/>
      <c r="X213" s="280"/>
    </row>
    <row r="214" spans="1:27" s="22" customFormat="1" ht="15.95" customHeight="1">
      <c r="B214" s="418"/>
      <c r="C214" s="617"/>
      <c r="D214" s="169">
        <f>IF(B211="","",VLOOKUP(B211,Espesor!$C$8:$E$41,3))</f>
        <v>0</v>
      </c>
      <c r="E214" s="185" t="s">
        <v>110</v>
      </c>
      <c r="F214" s="186">
        <f>IF(B211="","",IF(M214="LX",IF(E212&lt;0.5,IF(H211=0,1/12,IF(H211=1,3/8,IF(H211=2,0,0.5))),IF(H211=4,VLOOKUP(E212,COEFICIENTES!$A$8:$N$58,3),IF(H211=3,VLOOKUP(E212,COEFICIENTES!$A$8:$N$58,6),IF(H211=2,VLOOKUP(E212,COEFICIENTES!$A$8:$N$58,9),IF(H211=1,VLOOKUP(E212,COEFICIENTES!$A$8:$N$58,12),VLOOKUP(E212,COEFICIENTES!$A$8:$N$58,14)))))),IF(H211=4,COEFICIENTES!$C$60,IF(H211=3,COEFICIENTES!$F$60,IF(H211=2,COEFICIENTES!$I$60,IF(H211=1,COEFICIENTES!$L$60,COEFICIENTES!$N$60))))))</f>
        <v>3.3000000000000002E-2</v>
      </c>
      <c r="G214" s="153"/>
      <c r="H214" s="185" t="s">
        <v>111</v>
      </c>
      <c r="I214" s="606">
        <f>IF(F214="",0,ROUND(F214*LOOKUP(B$211,Espesor!$C$8:$C$41,Espesor!$Z$8:$Z$41)*POWER(MIN(C$216,D$214),2),4))</f>
        <v>0</v>
      </c>
      <c r="J214" s="606"/>
      <c r="K214" s="608">
        <f>IF(M214="LX",LOOKUP(B211,Espesor!$C$8:$C$41,Espesor!$AA$8:$AA$41),LOOKUP(B211,Espesor!$C$8:$C$41,Espesor!$AB$8:$AB$41))</f>
        <v>0</v>
      </c>
      <c r="L214" s="608"/>
      <c r="M214" s="170" t="str">
        <f>+IF(MIN(C216,D214)=D214,"LY","LX")</f>
        <v>LY</v>
      </c>
      <c r="N214" s="153" t="str">
        <f>+IF(M214="","",IF(M214="LY","LX","LY"))</f>
        <v>LX</v>
      </c>
      <c r="O214" s="135"/>
      <c r="P214" s="204"/>
      <c r="Q214" s="193"/>
      <c r="R214" s="193"/>
      <c r="S214" s="26"/>
      <c r="T214" s="26"/>
      <c r="U214" s="280"/>
      <c r="V214" s="280"/>
      <c r="W214" s="280"/>
      <c r="X214" s="280"/>
    </row>
    <row r="215" spans="1:27" s="22" customFormat="1" ht="15.95" customHeight="1" thickBot="1">
      <c r="B215" s="418"/>
      <c r="C215" s="618"/>
      <c r="D215" s="168"/>
      <c r="E215" s="185" t="s">
        <v>112</v>
      </c>
      <c r="F215" s="186">
        <f>IF(B211="","",IF(M214="LY",IF(E212&lt;0.5,IF(H211=0,1/24,IF(H211=1,9/125,IF(H211=2,1/8,0))),IF(H211=4,VLOOKUP(E212,COEFICIENTES!$A$8:$N$58,2),IF(H211=3,VLOOKUP(E212,COEFICIENTES!$A$8:$N$58,4),IF(H211=2,VLOOKUP(E212,COEFICIENTES!$A$8:$N$58,7),IF(H211=1,VLOOKUP(E212,COEFICIENTES!$A$8:$N$58,10),VLOOKUP(E212,COEFICIENTES!$A$8:$N$58,13)))))),IF(H211=4,COEFICIENTES!$B$60,IF(H211=3,COEFICIENTES!$D$60,IF(H211=2,COEFICIENTES!$G$60,IF(H211=1,COEFICIENTES!$J$60,COEFICIENTES!$M$60))))))</f>
        <v>0</v>
      </c>
      <c r="G215" s="153"/>
      <c r="H215" s="185" t="s">
        <v>113</v>
      </c>
      <c r="I215" s="606">
        <f>IF(F215="",0,ROUND(F215*LOOKUP(B$211,Espesor!$C$8:$C$41,Espesor!$Z$8:$Z$41)*POWER(MIN(C$216,D$214),2),4))</f>
        <v>0</v>
      </c>
      <c r="J215" s="606"/>
      <c r="K215" s="182"/>
      <c r="L215" s="174"/>
      <c r="M215" s="143"/>
      <c r="N215" s="143"/>
      <c r="O215" s="135"/>
      <c r="P215" s="204"/>
      <c r="Q215" s="193"/>
      <c r="R215" s="193"/>
      <c r="S215" s="26"/>
      <c r="T215" s="26"/>
      <c r="U215" s="280"/>
      <c r="V215" s="280"/>
      <c r="W215" s="280"/>
      <c r="X215" s="280"/>
    </row>
    <row r="216" spans="1:27" s="22" customFormat="1" ht="15.95" customHeight="1">
      <c r="B216" s="418"/>
      <c r="C216" s="600">
        <f>IF(B211="","",VLOOKUP(B211,Espesor!$C$8:$E$41,2))</f>
        <v>0</v>
      </c>
      <c r="D216" s="168"/>
      <c r="E216" s="185" t="s">
        <v>114</v>
      </c>
      <c r="F216" s="186">
        <f>IF(B211="","",IF(M214="LY",IF(E212&lt;0.5,IF(H211=0,1/12,IF(H211=1,3/8,IF(H211=2,0,0.5))),IF(H211=4,VLOOKUP(E212,COEFICIENTES!$A$8:$N$58,3),IF(H211=3,VLOOKUP(E212,COEFICIENTES!$A$8:$N$58,6),IF(H211=2,VLOOKUP(E212,COEFICIENTES!$A$8:$N$58,9),IF(H211=1,VLOOKUP(E212,COEFICIENTES!$A$8:$N$58,12),VLOOKUP(E212,COEFICIENTES!$A$8:$N$58,14)))))),IF(H211=4,COEFICIENTES!$C$60,IF(H211=3,COEFICIENTES!$F$60,IF(H211=2,COEFICIENTES!$I$60,IF(H211=1,COEFICIENTES!$L$60,COEFICIENTES!$N$60))))))</f>
        <v>0.5</v>
      </c>
      <c r="G216" s="153"/>
      <c r="H216" s="185" t="s">
        <v>115</v>
      </c>
      <c r="I216" s="606">
        <f>IF(F216="",0,ROUND(F216*LOOKUP(B$211,Espesor!$C$8:$C$41,Espesor!$Z$8:$Z$41)*POWER(MIN(C$216,D$214),2),4))</f>
        <v>0</v>
      </c>
      <c r="J216" s="606"/>
      <c r="K216" s="182"/>
      <c r="L216" s="174"/>
      <c r="M216" s="143"/>
      <c r="N216" s="143"/>
      <c r="O216" s="135"/>
      <c r="P216" s="204"/>
      <c r="Q216" s="193"/>
      <c r="R216" s="193"/>
      <c r="S216" s="26"/>
      <c r="T216" s="26"/>
      <c r="U216" s="281"/>
      <c r="V216" s="281"/>
      <c r="W216" s="281"/>
      <c r="X216" s="281"/>
      <c r="Y216" s="23"/>
      <c r="Z216" s="23"/>
      <c r="AA216" s="23"/>
    </row>
    <row r="217" spans="1:27" s="22" customFormat="1" ht="15.95" customHeight="1">
      <c r="B217" s="418"/>
      <c r="C217" s="601"/>
      <c r="D217" s="168"/>
      <c r="E217" s="185"/>
      <c r="F217" s="147"/>
      <c r="G217" s="153"/>
      <c r="H217" s="153"/>
      <c r="I217" s="188"/>
      <c r="J217" s="185"/>
      <c r="K217" s="178"/>
      <c r="L217" s="178"/>
      <c r="M217" s="143"/>
      <c r="N217" s="143"/>
      <c r="O217" s="135"/>
      <c r="P217" s="204"/>
      <c r="Q217" s="193"/>
      <c r="R217" s="193"/>
      <c r="S217" s="26"/>
      <c r="T217" s="26"/>
      <c r="U217" s="281"/>
      <c r="V217" s="281"/>
      <c r="W217" s="281"/>
      <c r="X217" s="281"/>
      <c r="Y217" s="23"/>
      <c r="Z217" s="23"/>
      <c r="AA217" s="23"/>
    </row>
    <row r="218" spans="1:27" ht="15.95" customHeight="1">
      <c r="A218" s="22"/>
      <c r="B218" s="418"/>
      <c r="C218" s="179"/>
      <c r="D218" s="168"/>
      <c r="E218" s="185"/>
      <c r="F218" s="147"/>
      <c r="G218" s="153"/>
      <c r="H218" s="153"/>
      <c r="I218" s="188"/>
      <c r="J218" s="185"/>
      <c r="K218" s="178"/>
      <c r="L218" s="178"/>
    </row>
    <row r="219" spans="1:27" ht="15.95" customHeight="1">
      <c r="A219" s="347" t="str">
        <f>+Espesor!B35</f>
        <v>Lt-</v>
      </c>
      <c r="B219" s="347">
        <f>IF(B211="","",IF(Espesor!$D$4&gt;=(B211+1),B211+1,""))</f>
        <v>28</v>
      </c>
      <c r="C219" s="604" t="str">
        <f>IF(B219&lt;=Espesor!$D$4,Espesor!$G$5,"")</f>
        <v>Losa armada en</v>
      </c>
      <c r="D219" s="604"/>
      <c r="E219" s="602" t="str">
        <f>IF(C219="","",LOOKUP(B219,Espesor!$C$8:$C$41,Espesor!$G$8:$G$41))</f>
        <v/>
      </c>
      <c r="F219" s="602"/>
      <c r="G219" s="602"/>
      <c r="H219" s="167" t="str">
        <f>IF(B219="","",LOOKUP(B219,Espesor!$C$8:$C$41,Espesor!$J$8:$J$41))</f>
        <v/>
      </c>
      <c r="I219" s="603" t="str">
        <f>IF(B219="","",IF(H219&gt;1,Espesor!$H$5,"Borde Discontinuo"))</f>
        <v>Bordes Discontinuos</v>
      </c>
      <c r="J219" s="603"/>
      <c r="K219" s="603"/>
      <c r="P219" s="191"/>
    </row>
    <row r="220" spans="1:27" ht="15.95" customHeight="1" thickBot="1">
      <c r="B220" s="418"/>
      <c r="C220" s="165"/>
      <c r="D220" s="175"/>
      <c r="E220" s="611">
        <f>IF(B219="","",LOOKUP(B219,Espesor!$C$8:$C$41,Espesor!$F$8:$F$41))</f>
        <v>0</v>
      </c>
      <c r="F220" s="611"/>
      <c r="G220" s="609" t="str">
        <f>IF(B219="","",LOOKUP(B219,Espesor!$C$8:$C$41,Espesor!$K$8:$K$41))</f>
        <v/>
      </c>
      <c r="H220" s="609"/>
      <c r="I220" s="609"/>
      <c r="J220" s="145" t="str">
        <f>IF(B219="","",IF(E220&lt;0.5,"","alfa ="))</f>
        <v/>
      </c>
      <c r="K220" s="146" t="str">
        <f>IF(B219="","",IF(E220&lt;0.5,"",(3-(E220)^2)/2))</f>
        <v/>
      </c>
      <c r="L220" s="162">
        <f>+IF(E220&lt;0.5,IF(H219=0,0.5,IF(H219=1,5/8,IF(H219=2,0.5,1))),"")</f>
        <v>1</v>
      </c>
    </row>
    <row r="221" spans="1:27" ht="15.95" customHeight="1">
      <c r="B221" s="418"/>
      <c r="C221" s="616"/>
      <c r="D221" s="168"/>
      <c r="E221" s="185" t="s">
        <v>108</v>
      </c>
      <c r="F221" s="186">
        <f>IF(B219="","",IF(M222="LX",IF(E220&lt;0.5,IF(H219=0,1/24,IF(H219=1,9/125,IF(H219=2,1/8,0))),IF(H219=4,VLOOKUP(E220,COEFICIENTES!$A$8:$N$58,2),IF(H219=3,VLOOKUP(E220,COEFICIENTES!$A$8:$N$58,4),IF(H219=2,VLOOKUP(E220,COEFICIENTES!$A$8:$N$58,7),IF(H219=1,VLOOKUP(E220,COEFICIENTES!$A$8:$N$58,10),VLOOKUP(E220,COEFICIENTES!$A$8:$N$58,13)))))),IF(H219=4,COEFICIENTES!$B$60,IF(H219=3,COEFICIENTES!$D$60,IF(H219=2,COEFICIENTES!$G$60,IF(H219=1,COEFICIENTES!$J$60,COEFICIENTES!$M$60))))))</f>
        <v>2.5000000000000001E-2</v>
      </c>
      <c r="G221" s="187"/>
      <c r="H221" s="185" t="s">
        <v>109</v>
      </c>
      <c r="I221" s="606">
        <f>IF(F221="",0,ROUND(F221*LOOKUP(B$219,Espesor!$C$8:$C$41,Espesor!$Z$8:$Z$41)*POWER(MIN(C$224,D$222),2),4))</f>
        <v>0</v>
      </c>
      <c r="J221" s="606"/>
      <c r="K221" s="607">
        <f>IF(M222="LY",LOOKUP(B219,Espesor!$C$8:$C$41,Espesor!$AA$8:$AA$41),LOOKUP(B219,Espesor!$C$8:$C$41,Espesor!$AB$8:$AB$41))</f>
        <v>0</v>
      </c>
      <c r="L221" s="607"/>
    </row>
    <row r="222" spans="1:27" ht="15.95" customHeight="1">
      <c r="B222" s="418"/>
      <c r="C222" s="617"/>
      <c r="D222" s="169">
        <f>IF(B219="","",VLOOKUP(B219,Espesor!$C$8:$E$41,3))</f>
        <v>0</v>
      </c>
      <c r="E222" s="185" t="s">
        <v>110</v>
      </c>
      <c r="F222" s="186">
        <f>IF(B219="","",IF(M222="LX",IF(E220&lt;0.5,IF(H219=0,1/12,IF(H219=1,3/8,IF(H219=2,0,0.5))),IF(H219=4,VLOOKUP(E220,COEFICIENTES!$A$8:$N$58,3),IF(H219=3,VLOOKUP(E220,COEFICIENTES!$A$8:$N$58,6),IF(H219=2,VLOOKUP(E220,COEFICIENTES!$A$8:$N$58,9),IF(H219=1,VLOOKUP(E220,COEFICIENTES!$A$8:$N$58,12),VLOOKUP(E220,COEFICIENTES!$A$8:$N$58,14)))))),IF(H219=4,COEFICIENTES!$C$60,IF(H219=3,COEFICIENTES!$F$60,IF(H219=2,COEFICIENTES!$I$60,IF(H219=1,COEFICIENTES!$L$60,COEFICIENTES!$N$60))))))</f>
        <v>3.3000000000000002E-2</v>
      </c>
      <c r="G222" s="153"/>
      <c r="H222" s="185" t="s">
        <v>111</v>
      </c>
      <c r="I222" s="606">
        <f>IF(F222="",0,ROUND(F222*LOOKUP(B$219,Espesor!$C$8:$C$41,Espesor!$Z$8:$Z$41)*POWER(MIN(C$224,D$222),2),4))</f>
        <v>0</v>
      </c>
      <c r="J222" s="606"/>
      <c r="K222" s="608">
        <f>IF(M222="LX",LOOKUP(B219,Espesor!$C$8:$C$41,Espesor!$AA$8:$AA$41),LOOKUP(B219,Espesor!$C$8:$C$41,Espesor!$AB$8:$AB$41))</f>
        <v>0</v>
      </c>
      <c r="L222" s="608"/>
      <c r="M222" s="170" t="str">
        <f>+IF(MIN(C224,D222)=D222,"LY","LX")</f>
        <v>LY</v>
      </c>
      <c r="N222" s="153" t="str">
        <f>+IF(M222="","",IF(M222="LY","LX","LY"))</f>
        <v>LX</v>
      </c>
    </row>
    <row r="223" spans="1:27" ht="15.95" customHeight="1" thickBot="1">
      <c r="B223" s="418"/>
      <c r="C223" s="618"/>
      <c r="D223" s="168"/>
      <c r="E223" s="185" t="s">
        <v>112</v>
      </c>
      <c r="F223" s="186">
        <f>IF(B219="","",IF(M222="LY",IF(E220&lt;0.5,IF(H219=0,1/24,IF(H219=1,9/125,IF(H219=2,1/8,0))),IF(H219=4,VLOOKUP(E220,COEFICIENTES!$A$8:$N$58,2),IF(H219=3,VLOOKUP(E220,COEFICIENTES!$A$8:$N$58,4),IF(H219=2,VLOOKUP(E220,COEFICIENTES!$A$8:$N$58,7),IF(H219=1,VLOOKUP(E220,COEFICIENTES!$A$8:$N$58,10),VLOOKUP(E220,COEFICIENTES!$A$8:$N$58,13)))))),IF(H219=4,COEFICIENTES!$B$60,IF(H219=3,COEFICIENTES!$D$60,IF(H219=2,COEFICIENTES!$G$60,IF(H219=1,COEFICIENTES!$J$60,COEFICIENTES!$M$60))))))</f>
        <v>0</v>
      </c>
      <c r="G223" s="153"/>
      <c r="H223" s="185" t="s">
        <v>113</v>
      </c>
      <c r="I223" s="606">
        <f>IF(F223="",0,ROUND(F223*LOOKUP(B$219,Espesor!$C$8:$C$41,Espesor!$Z$8:$Z$41)*POWER(MIN(C$224,D$222),2),4))</f>
        <v>0</v>
      </c>
      <c r="J223" s="606"/>
      <c r="K223" s="182"/>
      <c r="L223" s="174"/>
    </row>
    <row r="224" spans="1:27" ht="15.95" customHeight="1">
      <c r="B224" s="418"/>
      <c r="C224" s="600">
        <f>IF(B219="","",VLOOKUP(B219,Espesor!$C$8:$E$41,2))</f>
        <v>0</v>
      </c>
      <c r="D224" s="168"/>
      <c r="E224" s="185" t="s">
        <v>114</v>
      </c>
      <c r="F224" s="186">
        <f>IF(B219="","",IF(M222="LY",IF(E220&lt;0.5,IF(H219=0,1/12,IF(H219=1,3/8,IF(H219=2,0,0.5))),IF(H219=4,VLOOKUP(E220,COEFICIENTES!$A$8:$N$58,3),IF(H219=3,VLOOKUP(E220,COEFICIENTES!$A$8:$N$58,6),IF(H219=2,VLOOKUP(E220,COEFICIENTES!$A$8:$N$58,9),IF(H219=1,VLOOKUP(E220,COEFICIENTES!$A$8:$N$58,12),VLOOKUP(E220,COEFICIENTES!$A$8:$N$58,14)))))),IF(H219=4,COEFICIENTES!$C$60,IF(H219=3,COEFICIENTES!$F$60,IF(H219=2,COEFICIENTES!$I$60,IF(H219=1,COEFICIENTES!$L$60,COEFICIENTES!$N$60))))))</f>
        <v>0.5</v>
      </c>
      <c r="G224" s="153"/>
      <c r="H224" s="185" t="s">
        <v>115</v>
      </c>
      <c r="I224" s="606">
        <f>IF(F224="",0,ROUND(F224*LOOKUP(B$219,Espesor!$C$8:$C$41,Espesor!$Z$8:$Z$41)*POWER(MIN(C$224,D$222),2),4))</f>
        <v>0</v>
      </c>
      <c r="J224" s="606"/>
      <c r="K224" s="182"/>
      <c r="L224" s="174"/>
    </row>
    <row r="225" spans="1:16" ht="15.95" customHeight="1">
      <c r="B225" s="418"/>
      <c r="C225" s="601"/>
      <c r="D225" s="168"/>
      <c r="E225" s="185"/>
      <c r="F225" s="147"/>
      <c r="G225" s="153"/>
      <c r="H225" s="153"/>
      <c r="I225" s="188"/>
      <c r="J225" s="185"/>
      <c r="K225" s="178"/>
      <c r="L225" s="178"/>
    </row>
    <row r="226" spans="1:16" ht="15.95" customHeight="1">
      <c r="B226" s="418"/>
      <c r="C226" s="179"/>
      <c r="D226" s="168"/>
      <c r="E226" s="185"/>
      <c r="F226" s="147"/>
      <c r="G226" s="153"/>
      <c r="H226" s="153"/>
      <c r="I226" s="188"/>
      <c r="J226" s="185"/>
      <c r="K226" s="178"/>
      <c r="L226" s="178"/>
    </row>
    <row r="227" spans="1:16" ht="15.95" customHeight="1">
      <c r="A227" s="347" t="str">
        <f>+Espesor!B36</f>
        <v>Lt-</v>
      </c>
      <c r="B227" s="347">
        <f>IF(B219="","",IF(Espesor!$D$4&gt;=(B219+1),B219+1,""))</f>
        <v>29</v>
      </c>
      <c r="C227" s="604" t="str">
        <f>IF(B227&lt;=Espesor!$D$4,Espesor!$G$5,"")</f>
        <v>Losa armada en</v>
      </c>
      <c r="D227" s="604"/>
      <c r="E227" s="602" t="str">
        <f>IF(C227="","",LOOKUP(B227,Espesor!$C$8:$C$41,Espesor!$G$8:$G$41))</f>
        <v/>
      </c>
      <c r="F227" s="602"/>
      <c r="G227" s="602"/>
      <c r="H227" s="167" t="str">
        <f>IF(B227="","",LOOKUP(B227,Espesor!$C$8:$C$41,Espesor!$J$8:$J$41))</f>
        <v/>
      </c>
      <c r="I227" s="603" t="str">
        <f>IF(B227="","",IF(H227&gt;1,Espesor!$H$5,"Borde Discontinuo"))</f>
        <v>Bordes Discontinuos</v>
      </c>
      <c r="J227" s="603"/>
      <c r="K227" s="603"/>
      <c r="P227" s="191"/>
    </row>
    <row r="228" spans="1:16" ht="15.95" customHeight="1" thickBot="1">
      <c r="A228" s="22"/>
      <c r="B228" s="418"/>
      <c r="C228" s="165"/>
      <c r="D228" s="175"/>
      <c r="E228" s="611">
        <f>IF(B227="","",LOOKUP(B227,Espesor!$C$8:$C$41,Espesor!$F$8:$F$41))</f>
        <v>0</v>
      </c>
      <c r="F228" s="611"/>
      <c r="G228" s="609" t="str">
        <f>IF(B227="","",LOOKUP(B227,Espesor!$C$8:$C$41,Espesor!$K$8:$K$41))</f>
        <v/>
      </c>
      <c r="H228" s="609"/>
      <c r="I228" s="609"/>
      <c r="J228" s="145" t="str">
        <f>IF(B227="","",IF(E228&lt;0.5,"","alfa ="))</f>
        <v/>
      </c>
      <c r="K228" s="146" t="str">
        <f>IF(B227="","",IF(E228&lt;0.5,"",(3-(E228)^2)/2))</f>
        <v/>
      </c>
      <c r="L228" s="162">
        <f>+IF(E228&lt;0.5,IF(H227=0,0.5,IF(H227=1,5/8,IF(H227=2,0.5,1))),"")</f>
        <v>1</v>
      </c>
    </row>
    <row r="229" spans="1:16" ht="15.95" customHeight="1">
      <c r="A229" s="22"/>
      <c r="B229" s="418"/>
      <c r="C229" s="616"/>
      <c r="D229" s="168"/>
      <c r="E229" s="185" t="s">
        <v>108</v>
      </c>
      <c r="F229" s="186">
        <f>IF(B227="","",IF(M230="LX",IF(E228&lt;0.5,IF(H227=0,1/24,IF(H227=1,9/125,IF(H227=2,1/8,0))),IF(H227=4,VLOOKUP(E228,COEFICIENTES!$A$8:$N$58,2),IF(H227=3,VLOOKUP(E228,COEFICIENTES!$A$8:$N$58,4),IF(H227=2,VLOOKUP(E228,COEFICIENTES!$A$8:$N$58,7),IF(H227=1,VLOOKUP(E228,COEFICIENTES!$A$8:$N$58,10),VLOOKUP(E228,COEFICIENTES!$A$8:$N$58,13)))))),IF(H227=4,COEFICIENTES!$B$60,IF(H227=3,COEFICIENTES!$D$60,IF(H227=2,COEFICIENTES!$G$60,IF(H227=1,COEFICIENTES!$J$60,COEFICIENTES!$M$60))))))</f>
        <v>2.5000000000000001E-2</v>
      </c>
      <c r="G229" s="187"/>
      <c r="H229" s="185" t="s">
        <v>109</v>
      </c>
      <c r="I229" s="606">
        <f>IF(F229="",0,ROUND(F229*LOOKUP(B$227,Espesor!$C$8:$C$41,Espesor!$Z$8:$Z$41)*POWER(MIN(C$232,D$230),2),4))</f>
        <v>0</v>
      </c>
      <c r="J229" s="606"/>
      <c r="K229" s="607">
        <f>IF(M230="LY",LOOKUP(B227,Espesor!$C$8:$C$41,Espesor!$AA$8:$AA$41),LOOKUP(B227,Espesor!$C$8:$C$41,Espesor!$AB$8:$AB$41))</f>
        <v>0</v>
      </c>
      <c r="L229" s="607"/>
    </row>
    <row r="230" spans="1:16" ht="15.95" customHeight="1">
      <c r="A230" s="22"/>
      <c r="B230" s="418"/>
      <c r="C230" s="617"/>
      <c r="D230" s="169">
        <f>IF(B227="","",VLOOKUP(B227,Espesor!$C$8:$E$41,3))</f>
        <v>0</v>
      </c>
      <c r="E230" s="185" t="s">
        <v>110</v>
      </c>
      <c r="F230" s="186">
        <f>IF(B227="","",IF(M230="LX",IF(E228&lt;0.5,IF(H227=0,1/12,IF(H227=1,3/8,IF(H227=2,0,0.5))),IF(H227=4,VLOOKUP(E228,COEFICIENTES!$A$8:$N$58,3),IF(H227=3,VLOOKUP(E228,COEFICIENTES!$A$8:$N$58,6),IF(H227=2,VLOOKUP(E228,COEFICIENTES!$A$8:$N$58,9),IF(H227=1,VLOOKUP(E228,COEFICIENTES!$A$8:$N$58,12),VLOOKUP(E228,COEFICIENTES!$A$8:$N$58,14)))))),IF(H227=4,COEFICIENTES!$C$60,IF(H227=3,COEFICIENTES!$F$60,IF(H227=2,COEFICIENTES!$I$60,IF(H227=1,COEFICIENTES!$L$60,COEFICIENTES!$N$60))))))</f>
        <v>3.3000000000000002E-2</v>
      </c>
      <c r="G230" s="153"/>
      <c r="H230" s="185" t="s">
        <v>111</v>
      </c>
      <c r="I230" s="606">
        <f>IF(F230="",0,ROUND(F230*LOOKUP(B$227,Espesor!$C$8:$C$41,Espesor!$Z$8:$Z$41)*POWER(MIN(C$232,D$230),2),4))</f>
        <v>0</v>
      </c>
      <c r="J230" s="606"/>
      <c r="K230" s="608">
        <f>IF(M230="LX",LOOKUP(B227,Espesor!$C$8:$C$41,Espesor!$AA$8:$AA$41),LOOKUP(B227,Espesor!$C$8:$C$41,Espesor!$AB$8:$AB$41))</f>
        <v>0</v>
      </c>
      <c r="L230" s="608"/>
      <c r="M230" s="170" t="str">
        <f>+IF(MIN(C232,D230)=D230,"LY","LX")</f>
        <v>LY</v>
      </c>
      <c r="N230" s="153" t="str">
        <f>+IF(M230="","",IF(M230="LY","LX","LY"))</f>
        <v>LX</v>
      </c>
    </row>
    <row r="231" spans="1:16" ht="15.95" customHeight="1" thickBot="1">
      <c r="A231" s="22"/>
      <c r="B231" s="418"/>
      <c r="C231" s="618"/>
      <c r="D231" s="168"/>
      <c r="E231" s="185" t="s">
        <v>112</v>
      </c>
      <c r="F231" s="186">
        <f>IF(B227="","",IF(M230="LY",IF(E228&lt;0.5,IF(H227=0,1/24,IF(H227=1,9/125,IF(H227=2,1/8,0))),IF(H227=4,VLOOKUP(E228,COEFICIENTES!$A$8:$N$58,2),IF(H227=3,VLOOKUP(E228,COEFICIENTES!$A$8:$N$58,4),IF(H227=2,VLOOKUP(E228,COEFICIENTES!$A$8:$N$58,7),IF(H227=1,VLOOKUP(E228,COEFICIENTES!$A$8:$N$58,10),VLOOKUP(E228,COEFICIENTES!$A$8:$N$58,13)))))),IF(H227=4,COEFICIENTES!$B$60,IF(H227=3,COEFICIENTES!$D$60,IF(H227=2,COEFICIENTES!$G$60,IF(H227=1,COEFICIENTES!$J$60,COEFICIENTES!$M$60))))))</f>
        <v>0</v>
      </c>
      <c r="G231" s="153"/>
      <c r="H231" s="185" t="s">
        <v>113</v>
      </c>
      <c r="I231" s="606">
        <f>IF(F231="",0,ROUND(F231*LOOKUP(B$227,Espesor!$C$8:$C$41,Espesor!$Z$8:$Z$41)*POWER(MIN(C$232,D$230),2),4))</f>
        <v>0</v>
      </c>
      <c r="J231" s="606"/>
      <c r="K231" s="182"/>
      <c r="L231" s="174"/>
    </row>
    <row r="232" spans="1:16" ht="15.95" customHeight="1">
      <c r="A232" s="22"/>
      <c r="B232" s="418"/>
      <c r="C232" s="600">
        <f>IF(B227="","",VLOOKUP(B227,Espesor!$C$8:$E$41,2))</f>
        <v>0</v>
      </c>
      <c r="D232" s="168"/>
      <c r="E232" s="185" t="s">
        <v>114</v>
      </c>
      <c r="F232" s="186">
        <f>IF(B227="","",IF(M230="LY",IF(E228&lt;0.5,IF(H227=0,1/12,IF(H227=1,3/8,IF(H227=2,0,0.5))),IF(H227=4,VLOOKUP(E228,COEFICIENTES!$A$8:$N$58,3),IF(H227=3,VLOOKUP(E228,COEFICIENTES!$A$8:$N$58,6),IF(H227=2,VLOOKUP(E228,COEFICIENTES!$A$8:$N$58,9),IF(H227=1,VLOOKUP(E228,COEFICIENTES!$A$8:$N$58,12),VLOOKUP(E228,COEFICIENTES!$A$8:$N$58,14)))))),IF(H227=4,COEFICIENTES!$C$60,IF(H227=3,COEFICIENTES!$F$60,IF(H227=2,COEFICIENTES!$I$60,IF(H227=1,COEFICIENTES!$L$60,COEFICIENTES!$N$60))))))</f>
        <v>0.5</v>
      </c>
      <c r="G232" s="153"/>
      <c r="H232" s="185" t="s">
        <v>115</v>
      </c>
      <c r="I232" s="606">
        <f>IF(F232="",0,ROUND(F232*LOOKUP(B$227,Espesor!$C$8:$C$41,Espesor!$Z$8:$Z$41)*POWER(MIN(C$232,D$230),2),4))</f>
        <v>0</v>
      </c>
      <c r="J232" s="606"/>
      <c r="K232" s="182"/>
      <c r="L232" s="174"/>
    </row>
    <row r="233" spans="1:16" ht="15.95" customHeight="1">
      <c r="A233" s="22"/>
      <c r="B233" s="418"/>
      <c r="C233" s="601"/>
      <c r="D233" s="168"/>
      <c r="E233" s="185"/>
      <c r="F233" s="147"/>
      <c r="G233" s="153"/>
      <c r="H233" s="153"/>
      <c r="I233" s="188"/>
      <c r="J233" s="185"/>
      <c r="K233" s="178"/>
      <c r="L233" s="178"/>
    </row>
    <row r="234" spans="1:16" ht="15.95" customHeight="1">
      <c r="A234" s="22"/>
      <c r="B234" s="418"/>
      <c r="C234" s="179"/>
      <c r="D234" s="168"/>
      <c r="E234" s="185"/>
      <c r="F234" s="147"/>
      <c r="G234" s="153"/>
      <c r="H234" s="153"/>
      <c r="I234" s="188"/>
      <c r="J234" s="185"/>
      <c r="K234" s="178"/>
      <c r="L234" s="178"/>
    </row>
    <row r="235" spans="1:16" ht="15.95" customHeight="1">
      <c r="A235" s="347" t="str">
        <f>+Espesor!B37</f>
        <v>Lt-</v>
      </c>
      <c r="B235" s="347">
        <f>IF(B227="","",IF(Espesor!$D$4&gt;=(B227+1),B227+1,""))</f>
        <v>30</v>
      </c>
      <c r="C235" s="604" t="str">
        <f>IF(B235&lt;=Espesor!$D$4,Espesor!$G$5,"")</f>
        <v>Losa armada en</v>
      </c>
      <c r="D235" s="604"/>
      <c r="E235" s="602" t="str">
        <f>IF(C235="","",LOOKUP(B235,Espesor!$C$8:$C$41,Espesor!$G$8:$G$41))</f>
        <v/>
      </c>
      <c r="F235" s="602"/>
      <c r="G235" s="602"/>
      <c r="H235" s="167" t="str">
        <f>IF(B235="","",LOOKUP(B235,Espesor!$C$8:$C$41,Espesor!$J$8:$J$41))</f>
        <v/>
      </c>
      <c r="I235" s="603" t="str">
        <f>IF(B235="","",IF(H235&gt;1,Espesor!$H$5,"Borde Discontinuo"))</f>
        <v>Bordes Discontinuos</v>
      </c>
      <c r="J235" s="603"/>
      <c r="K235" s="603"/>
      <c r="P235" s="191"/>
    </row>
    <row r="236" spans="1:16" ht="15.95" customHeight="1" thickBot="1">
      <c r="B236" s="418"/>
      <c r="C236" s="165"/>
      <c r="D236" s="175"/>
      <c r="E236" s="611">
        <f>IF(B235="","",LOOKUP(B235,Espesor!$C$8:$C$41,Espesor!$F$8:$F$41))</f>
        <v>0</v>
      </c>
      <c r="F236" s="611"/>
      <c r="G236" s="609" t="str">
        <f>IF(B235="","",LOOKUP(B235,Espesor!$C$8:$C$41,Espesor!$K$8:$K$41))</f>
        <v/>
      </c>
      <c r="H236" s="609"/>
      <c r="I236" s="609"/>
      <c r="J236" s="145" t="str">
        <f>IF(B235="","",IF(E236&lt;0.5,"","alfa ="))</f>
        <v/>
      </c>
      <c r="K236" s="146" t="str">
        <f>IF(B235="","",IF(E236&lt;0.5,"",(3-(E236)^2)/2))</f>
        <v/>
      </c>
      <c r="L236" s="162">
        <f>+IF(E236&lt;0.5,IF(H235=0,0.5,IF(H235=1,5/8,IF(H235=2,0.5,1))),"")</f>
        <v>1</v>
      </c>
    </row>
    <row r="237" spans="1:16" ht="15.95" customHeight="1">
      <c r="B237" s="418"/>
      <c r="C237" s="616"/>
      <c r="D237" s="168"/>
      <c r="E237" s="185" t="s">
        <v>108</v>
      </c>
      <c r="F237" s="186">
        <f>IF(B235="","",IF(M238="LX",IF(E236&lt;0.5,IF(H235=0,1/24,IF(H235=1,9/125,IF(H235=2,1/8,0))),IF(H235=4,VLOOKUP(E236,COEFICIENTES!$A$8:$N$58,2),IF(H235=3,VLOOKUP(E236,COEFICIENTES!$A$8:$N$58,4),IF(H235=2,VLOOKUP(E236,COEFICIENTES!$A$8:$N$58,7),IF(H235=1,VLOOKUP(E236,COEFICIENTES!$A$8:$N$58,10),VLOOKUP(E236,COEFICIENTES!$A$8:$N$58,13)))))),IF(H235=4,COEFICIENTES!$B$60,IF(H235=3,COEFICIENTES!$D$60,IF(H235=2,COEFICIENTES!$G$60,IF(H235=1,COEFICIENTES!$J$60,COEFICIENTES!$M$60))))))</f>
        <v>2.5000000000000001E-2</v>
      </c>
      <c r="G237" s="187"/>
      <c r="H237" s="185" t="s">
        <v>109</v>
      </c>
      <c r="I237" s="606">
        <f>IF(F237="",0,ROUND(F237*LOOKUP(B$235,Espesor!$C$8:$C$41,Espesor!$Z$8:$Z$41)*POWER(MIN(C$240,D$238),2),4))</f>
        <v>0</v>
      </c>
      <c r="J237" s="606"/>
      <c r="K237" s="607">
        <f>IF(M238="LY",LOOKUP(B235,Espesor!$C$8:$C$41,Espesor!$AA$8:$AA$41),LOOKUP(B235,Espesor!$C$8:$C$41,Espesor!$AB$8:$AB$41))</f>
        <v>0</v>
      </c>
      <c r="L237" s="607"/>
    </row>
    <row r="238" spans="1:16" ht="15.95" customHeight="1">
      <c r="B238" s="418"/>
      <c r="C238" s="617"/>
      <c r="D238" s="169">
        <f>IF(B235="","",VLOOKUP(B235,Espesor!$C$8:$E$41,3))</f>
        <v>0</v>
      </c>
      <c r="E238" s="185" t="s">
        <v>110</v>
      </c>
      <c r="F238" s="186">
        <f>IF(B235="","",IF(M238="LX",IF(E236&lt;0.5,IF(H235=0,1/12,IF(H235=1,3/8,IF(H235=2,0,0.5))),IF(H235=4,VLOOKUP(E236,COEFICIENTES!$A$8:$N$58,3),IF(H235=3,VLOOKUP(E236,COEFICIENTES!$A$8:$N$58,6),IF(H235=2,VLOOKUP(E236,COEFICIENTES!$A$8:$N$58,9),IF(H235=1,VLOOKUP(E236,COEFICIENTES!$A$8:$N$58,12),VLOOKUP(E236,COEFICIENTES!$A$8:$N$58,14)))))),IF(H235=4,COEFICIENTES!$C$60,IF(H235=3,COEFICIENTES!$F$60,IF(H235=2,COEFICIENTES!$I$60,IF(H235=1,COEFICIENTES!$L$60,COEFICIENTES!$N$60))))))</f>
        <v>3.3000000000000002E-2</v>
      </c>
      <c r="G238" s="153"/>
      <c r="H238" s="185" t="s">
        <v>111</v>
      </c>
      <c r="I238" s="606">
        <f>IF(F238="",0,ROUND(F238*LOOKUP(B$235,Espesor!$C$8:$C$41,Espesor!$Z$8:$Z$41)*POWER(MIN(C$240,D$238),2),4))</f>
        <v>0</v>
      </c>
      <c r="J238" s="606"/>
      <c r="K238" s="608">
        <f>IF(M238="LX",LOOKUP(B235,Espesor!$C$8:$C$41,Espesor!$AA$8:$AA$41),LOOKUP(B235,Espesor!$C$8:$C$41,Espesor!$AB$8:$AB$41))</f>
        <v>0</v>
      </c>
      <c r="L238" s="608"/>
      <c r="M238" s="170" t="str">
        <f>+IF(MIN(C240,D238)=D238,"LY","LX")</f>
        <v>LY</v>
      </c>
      <c r="N238" s="153" t="str">
        <f>+IF(M238="","",IF(M238="LY","LX","LY"))</f>
        <v>LX</v>
      </c>
    </row>
    <row r="239" spans="1:16" ht="15.95" customHeight="1" thickBot="1">
      <c r="B239" s="418"/>
      <c r="C239" s="618"/>
      <c r="D239" s="168"/>
      <c r="E239" s="185" t="s">
        <v>112</v>
      </c>
      <c r="F239" s="186">
        <f>IF(B235="","",IF(M238="LY",IF(E236&lt;0.5,IF(H235=0,1/24,IF(H235=1,9/125,IF(H235=2,1/8,0))),IF(H235=4,VLOOKUP(E236,COEFICIENTES!$A$8:$N$58,2),IF(H235=3,VLOOKUP(E236,COEFICIENTES!$A$8:$N$58,4),IF(H235=2,VLOOKUP(E236,COEFICIENTES!$A$8:$N$58,7),IF(H235=1,VLOOKUP(E236,COEFICIENTES!$A$8:$N$58,10),VLOOKUP(E236,COEFICIENTES!$A$8:$N$58,13)))))),IF(H235=4,COEFICIENTES!$B$60,IF(H235=3,COEFICIENTES!$D$60,IF(H235=2,COEFICIENTES!$G$60,IF(H235=1,COEFICIENTES!$J$60,COEFICIENTES!$M$60))))))</f>
        <v>0</v>
      </c>
      <c r="G239" s="153"/>
      <c r="H239" s="185" t="s">
        <v>113</v>
      </c>
      <c r="I239" s="606">
        <f>IF(F239="",0,ROUND(F239*LOOKUP(B$235,Espesor!$C$8:$C$41,Espesor!$Z$8:$Z$41)*POWER(MIN(C$240,D$238),2),4))</f>
        <v>0</v>
      </c>
      <c r="J239" s="606"/>
      <c r="K239" s="182"/>
      <c r="L239" s="174"/>
    </row>
    <row r="240" spans="1:16" ht="15.95" customHeight="1">
      <c r="B240" s="418"/>
      <c r="C240" s="600">
        <f>IF(B235="","",VLOOKUP(B235,Espesor!$C$8:$E$41,2))</f>
        <v>0</v>
      </c>
      <c r="D240" s="168"/>
      <c r="E240" s="185" t="s">
        <v>114</v>
      </c>
      <c r="F240" s="186">
        <f>IF(B235="","",IF(M238="LY",IF(E236&lt;0.5,IF(H235=0,1/12,IF(H235=1,3/8,IF(H235=2,0,0.5))),IF(H235=4,VLOOKUP(E236,COEFICIENTES!$A$8:$N$58,3),IF(H235=3,VLOOKUP(E236,COEFICIENTES!$A$8:$N$58,6),IF(H235=2,VLOOKUP(E236,COEFICIENTES!$A$8:$N$58,9),IF(H235=1,VLOOKUP(E236,COEFICIENTES!$A$8:$N$58,12),VLOOKUP(E236,COEFICIENTES!$A$8:$N$58,14)))))),IF(H235=4,COEFICIENTES!$C$60,IF(H235=3,COEFICIENTES!$F$60,IF(H235=2,COEFICIENTES!$I$60,IF(H235=1,COEFICIENTES!$L$60,COEFICIENTES!$N$60))))))</f>
        <v>0.5</v>
      </c>
      <c r="G240" s="153"/>
      <c r="H240" s="185" t="s">
        <v>115</v>
      </c>
      <c r="I240" s="606">
        <f>IF(F240="",0,ROUND(F240*LOOKUP(B$235,Espesor!$C$8:$C$41,Espesor!$Z$8:$Z$41)*POWER(MIN(C$240,D$238),2),4))</f>
        <v>0</v>
      </c>
      <c r="J240" s="606"/>
      <c r="K240" s="182"/>
      <c r="L240" s="174"/>
    </row>
    <row r="241" spans="1:16" ht="15.95" customHeight="1">
      <c r="B241" s="418"/>
      <c r="C241" s="601"/>
      <c r="D241" s="168"/>
      <c r="E241" s="185"/>
      <c r="F241" s="147"/>
      <c r="G241" s="153"/>
      <c r="H241" s="153"/>
      <c r="I241" s="188"/>
      <c r="J241" s="185"/>
      <c r="K241" s="178"/>
      <c r="L241" s="178"/>
    </row>
    <row r="242" spans="1:16" ht="15.95" customHeight="1">
      <c r="B242" s="418"/>
      <c r="C242" s="179"/>
      <c r="D242" s="168"/>
      <c r="E242" s="185"/>
      <c r="F242" s="147"/>
      <c r="G242" s="153"/>
      <c r="H242" s="153"/>
      <c r="I242" s="188"/>
      <c r="J242" s="185"/>
      <c r="K242" s="178"/>
      <c r="L242" s="178"/>
    </row>
    <row r="243" spans="1:16" ht="15.95" customHeight="1">
      <c r="A243" s="347" t="str">
        <f>+Espesor!B38</f>
        <v>Lt-</v>
      </c>
      <c r="B243" s="347">
        <f>IF(B235="","",IF(Espesor!$D$4&gt;=(B235+1),B235+1,""))</f>
        <v>31</v>
      </c>
      <c r="C243" s="604" t="str">
        <f>IF(B243&lt;=Espesor!$D$4,Espesor!$G$5,"")</f>
        <v>Losa armada en</v>
      </c>
      <c r="D243" s="604"/>
      <c r="E243" s="602" t="str">
        <f>IF(C243="","",LOOKUP(B243,Espesor!$C$8:$C$41,Espesor!$G$8:$G$41))</f>
        <v/>
      </c>
      <c r="F243" s="602"/>
      <c r="G243" s="602"/>
      <c r="H243" s="167" t="str">
        <f>IF(B243="","",LOOKUP(B243,Espesor!$C$8:$C$41,Espesor!$J$8:$J$41))</f>
        <v/>
      </c>
      <c r="I243" s="603" t="str">
        <f>IF(B243="","",IF(H243&gt;1,Espesor!$H$5,"Borde Discontinuo"))</f>
        <v>Bordes Discontinuos</v>
      </c>
      <c r="J243" s="603"/>
      <c r="K243" s="603"/>
      <c r="P243" s="191"/>
    </row>
    <row r="244" spans="1:16" ht="15.95" customHeight="1" thickBot="1">
      <c r="A244" s="22"/>
      <c r="B244" s="418"/>
      <c r="C244" s="165"/>
      <c r="D244" s="175"/>
      <c r="E244" s="611">
        <f>IF(B243="","",LOOKUP(B243,Espesor!$C$8:$C$41,Espesor!$F$8:$F$41))</f>
        <v>0</v>
      </c>
      <c r="F244" s="611"/>
      <c r="G244" s="609" t="str">
        <f>IF(B243="","",LOOKUP(B243,Espesor!$C$8:$C$41,Espesor!$K$8:$K$41))</f>
        <v/>
      </c>
      <c r="H244" s="609"/>
      <c r="I244" s="609"/>
      <c r="J244" s="145" t="str">
        <f>IF(B243="","",IF(E244&lt;0.5,"","alfa ="))</f>
        <v/>
      </c>
      <c r="K244" s="146" t="str">
        <f>IF(B243="","",IF(E244&lt;0.5,"",(3-(E244)^2)/2))</f>
        <v/>
      </c>
      <c r="L244" s="162">
        <f>+IF(E244&lt;0.5,IF(H243=0,0.5,IF(H243=1,5/8,IF(H243=2,0.5,1))),"")</f>
        <v>1</v>
      </c>
    </row>
    <row r="245" spans="1:16" ht="15.95" customHeight="1">
      <c r="A245" s="22"/>
      <c r="B245" s="418"/>
      <c r="C245" s="616"/>
      <c r="D245" s="168"/>
      <c r="E245" s="185" t="s">
        <v>108</v>
      </c>
      <c r="F245" s="186">
        <f>IF(B243="","",IF(M246="LX",IF(E244&lt;0.5,IF(H243=0,1/24,IF(H243=1,9/125,IF(H243=2,1/8,0))),IF(H243=4,VLOOKUP(E244,COEFICIENTES!$A$8:$N$58,2),IF(H243=3,VLOOKUP(E244,COEFICIENTES!$A$8:$N$58,4),IF(H243=2,VLOOKUP(E244,COEFICIENTES!$A$8:$N$58,7),IF(H243=1,VLOOKUP(E244,COEFICIENTES!$A$8:$N$58,10),VLOOKUP(E244,COEFICIENTES!$A$8:$N$58,13)))))),IF(H243=4,COEFICIENTES!$B$60,IF(H243=3,COEFICIENTES!$D$60,IF(H243=2,COEFICIENTES!$G$60,IF(H243=1,COEFICIENTES!$J$60,COEFICIENTES!$M$60))))))</f>
        <v>2.5000000000000001E-2</v>
      </c>
      <c r="G245" s="187"/>
      <c r="H245" s="185" t="s">
        <v>109</v>
      </c>
      <c r="I245" s="606">
        <f>IF(F245="",0,ROUND(F245*LOOKUP(B$243,Espesor!$C$8:$C$41,Espesor!$Z$8:$Z$41)*POWER(MIN(C$248,D$246),2),4))</f>
        <v>0</v>
      </c>
      <c r="J245" s="606"/>
      <c r="K245" s="607">
        <f>IF(M246="LY",LOOKUP(B243,Espesor!$C$8:$C$41,Espesor!$AA$8:$AA$41),LOOKUP(B243,Espesor!$C$8:$C$41,Espesor!$AB$8:$AB$41))</f>
        <v>0</v>
      </c>
      <c r="L245" s="607"/>
    </row>
    <row r="246" spans="1:16" ht="15.95" customHeight="1">
      <c r="A246" s="22"/>
      <c r="B246" s="418"/>
      <c r="C246" s="617"/>
      <c r="D246" s="169">
        <f>IF(B243="","",VLOOKUP(B243,Espesor!$C$8:$E$41,3))</f>
        <v>0</v>
      </c>
      <c r="E246" s="185" t="s">
        <v>110</v>
      </c>
      <c r="F246" s="186">
        <f>IF(B243="","",IF(M246="LX",IF(E244&lt;0.5,IF(H243=0,1/12,IF(H243=1,3/8,IF(H243=2,0,0.5))),IF(H243=4,VLOOKUP(E244,COEFICIENTES!$A$8:$N$58,3),IF(H243=3,VLOOKUP(E244,COEFICIENTES!$A$8:$N$58,6),IF(H243=2,VLOOKUP(E244,COEFICIENTES!$A$8:$N$58,9),IF(H243=1,VLOOKUP(E244,COEFICIENTES!$A$8:$N$58,12),VLOOKUP(E244,COEFICIENTES!$A$8:$N$58,14)))))),IF(H243=4,COEFICIENTES!$C$60,IF(H243=3,COEFICIENTES!$F$60,IF(H243=2,COEFICIENTES!$I$60,IF(H243=1,COEFICIENTES!$L$60,COEFICIENTES!$N$60))))))</f>
        <v>3.3000000000000002E-2</v>
      </c>
      <c r="G246" s="153"/>
      <c r="H246" s="185" t="s">
        <v>111</v>
      </c>
      <c r="I246" s="606">
        <f>IF(F246="",0,ROUND(F246*LOOKUP(B$243,Espesor!$C$8:$C$41,Espesor!$Z$8:$Z$41)*POWER(MIN(C$248,D$246),2),4))</f>
        <v>0</v>
      </c>
      <c r="J246" s="606"/>
      <c r="K246" s="608">
        <f>IF(M246="LX",LOOKUP(B243,Espesor!$C$8:$C$41,Espesor!$AA$8:$AA$41),LOOKUP(B243,Espesor!$C$8:$C$41,Espesor!$AB$8:$AB$41))</f>
        <v>0</v>
      </c>
      <c r="L246" s="608"/>
      <c r="M246" s="170" t="str">
        <f>+IF(MIN(C248,D246)=D246,"LY","LX")</f>
        <v>LY</v>
      </c>
      <c r="N246" s="153" t="str">
        <f>+IF(M246="","",IF(M246="LY","LX","LY"))</f>
        <v>LX</v>
      </c>
    </row>
    <row r="247" spans="1:16" ht="15.95" customHeight="1" thickBot="1">
      <c r="A247" s="22"/>
      <c r="B247" s="418"/>
      <c r="C247" s="618"/>
      <c r="D247" s="168"/>
      <c r="E247" s="185" t="s">
        <v>112</v>
      </c>
      <c r="F247" s="186">
        <f>IF(B243="","",IF(M246="LY",IF(E244&lt;0.5,IF(H243=0,1/24,IF(H243=1,9/125,IF(H243=2,1/8,0))),IF(H243=4,VLOOKUP(E244,COEFICIENTES!$A$8:$N$58,2),IF(H243=3,VLOOKUP(E244,COEFICIENTES!$A$8:$N$58,4),IF(H243=2,VLOOKUP(E244,COEFICIENTES!$A$8:$N$58,7),IF(H243=1,VLOOKUP(E244,COEFICIENTES!$A$8:$N$58,10),VLOOKUP(E244,COEFICIENTES!$A$8:$N$58,13)))))),IF(H243=4,COEFICIENTES!$B$60,IF(H243=3,COEFICIENTES!$D$60,IF(H243=2,COEFICIENTES!$G$60,IF(H243=1,COEFICIENTES!$J$60,COEFICIENTES!$M$60))))))</f>
        <v>0</v>
      </c>
      <c r="G247" s="153"/>
      <c r="H247" s="185" t="s">
        <v>113</v>
      </c>
      <c r="I247" s="606">
        <f>IF(F247="",0,ROUND(F247*LOOKUP(B$243,Espesor!$C$8:$C$41,Espesor!$Z$8:$Z$41)*POWER(MIN(C$248,D$246),2),4))</f>
        <v>0</v>
      </c>
      <c r="J247" s="606"/>
      <c r="K247" s="182"/>
      <c r="L247" s="174"/>
    </row>
    <row r="248" spans="1:16" ht="15.95" customHeight="1">
      <c r="A248" s="22"/>
      <c r="B248" s="418"/>
      <c r="C248" s="600">
        <f>IF(B243="","",VLOOKUP(B243,Espesor!$C$8:$E$41,2))</f>
        <v>0</v>
      </c>
      <c r="D248" s="168"/>
      <c r="E248" s="185" t="s">
        <v>114</v>
      </c>
      <c r="F248" s="186">
        <f>IF(B243="","",IF(M246="LY",IF(E244&lt;0.5,IF(H243=0,1/12,IF(H243=1,3/8,IF(H243=2,0,0.5))),IF(H243=4,VLOOKUP(E244,COEFICIENTES!$A$8:$N$58,3),IF(H243=3,VLOOKUP(E244,COEFICIENTES!$A$8:$N$58,6),IF(H243=2,VLOOKUP(E244,COEFICIENTES!$A$8:$N$58,9),IF(H243=1,VLOOKUP(E244,COEFICIENTES!$A$8:$N$58,12),VLOOKUP(E244,COEFICIENTES!$A$8:$N$58,14)))))),IF(H243=4,COEFICIENTES!$C$60,IF(H243=3,COEFICIENTES!$F$60,IF(H243=2,COEFICIENTES!$I$60,IF(H243=1,COEFICIENTES!$L$60,COEFICIENTES!$N$60))))))</f>
        <v>0.5</v>
      </c>
      <c r="G248" s="153"/>
      <c r="H248" s="185" t="s">
        <v>115</v>
      </c>
      <c r="I248" s="606">
        <f>IF(F248="",0,ROUND(F248*LOOKUP(B$243,Espesor!$C$8:$C$41,Espesor!$Z$8:$Z$41)*POWER(MIN(C$248,D$246),2),4))</f>
        <v>0</v>
      </c>
      <c r="J248" s="606"/>
      <c r="K248" s="182"/>
      <c r="L248" s="174"/>
    </row>
    <row r="249" spans="1:16" ht="15.95" customHeight="1">
      <c r="A249" s="22"/>
      <c r="B249" s="418"/>
      <c r="C249" s="601"/>
      <c r="D249" s="168"/>
      <c r="E249" s="185"/>
      <c r="F249" s="147"/>
      <c r="G249" s="153"/>
      <c r="H249" s="153"/>
      <c r="I249" s="606"/>
      <c r="J249" s="606"/>
      <c r="K249" s="182"/>
      <c r="L249" s="178"/>
    </row>
    <row r="250" spans="1:16" ht="15.95" customHeight="1">
      <c r="A250" s="22"/>
      <c r="B250" s="418"/>
      <c r="C250" s="179"/>
      <c r="D250" s="168"/>
      <c r="E250" s="185"/>
      <c r="F250" s="147"/>
      <c r="G250" s="153"/>
      <c r="H250" s="153"/>
      <c r="I250" s="188"/>
      <c r="J250" s="185"/>
      <c r="K250" s="178"/>
      <c r="L250" s="178"/>
    </row>
    <row r="251" spans="1:16" ht="15.95" customHeight="1">
      <c r="A251" s="347" t="str">
        <f>+Espesor!B39</f>
        <v>Lt-</v>
      </c>
      <c r="B251" s="347">
        <f>IF(B243="","",IF(Espesor!$D$4&gt;=(B243+1),B243+1,""))</f>
        <v>32</v>
      </c>
      <c r="C251" s="604" t="str">
        <f>IF(B251&lt;=Espesor!$D$4,Espesor!$G$5,"")</f>
        <v>Losa armada en</v>
      </c>
      <c r="D251" s="604"/>
      <c r="E251" s="602" t="str">
        <f>IF(C251="","",LOOKUP(B251,Espesor!$C$8:$C$41,Espesor!$G$8:$G$41))</f>
        <v/>
      </c>
      <c r="F251" s="602"/>
      <c r="G251" s="602"/>
      <c r="H251" s="167" t="str">
        <f>IF(B251="","",LOOKUP(B251,Espesor!$C$8:$C$41,Espesor!$J$8:$J$41))</f>
        <v/>
      </c>
      <c r="I251" s="603" t="str">
        <f>IF(B251="","",IF(H251&gt;1,Espesor!$H$5,"Borde Discontinuo"))</f>
        <v>Bordes Discontinuos</v>
      </c>
      <c r="J251" s="603"/>
      <c r="K251" s="603"/>
      <c r="P251" s="191"/>
    </row>
    <row r="252" spans="1:16" ht="15.95" customHeight="1" thickBot="1">
      <c r="B252" s="418"/>
      <c r="C252" s="165"/>
      <c r="D252" s="175"/>
      <c r="E252" s="611">
        <f>IF(B251="","",LOOKUP(B251,Espesor!$C$8:$C$41,Espesor!$F$8:$F$41))</f>
        <v>0</v>
      </c>
      <c r="F252" s="611"/>
      <c r="G252" s="609" t="str">
        <f>IF(B251="","",LOOKUP(B251,Espesor!$C$8:$C$41,Espesor!$K$8:$K$41))</f>
        <v/>
      </c>
      <c r="H252" s="609"/>
      <c r="I252" s="609"/>
      <c r="J252" s="145" t="str">
        <f>IF(B251="","",IF(E252&lt;0.5,"","alfa ="))</f>
        <v/>
      </c>
      <c r="K252" s="146" t="str">
        <f>IF(B251="","",IF(E252&lt;0.5,"",(3-(E252)^2)/2))</f>
        <v/>
      </c>
      <c r="L252" s="162">
        <f>+IF(E252&lt;0.5,IF(H251=0,0.5,IF(H251=1,5/8,IF(H251=2,0.5,1))),"")</f>
        <v>1</v>
      </c>
    </row>
    <row r="253" spans="1:16" ht="15.95" customHeight="1">
      <c r="B253" s="418"/>
      <c r="C253" s="616"/>
      <c r="D253" s="168"/>
      <c r="E253" s="185" t="s">
        <v>108</v>
      </c>
      <c r="F253" s="186">
        <f>IF(B251="","",IF(M254="LX",IF(E252&lt;0.5,IF(H251=0,1/24,IF(H251=1,9/125,IF(H251=2,1/8,0))),IF(H251=4,VLOOKUP(E252,COEFICIENTES!$A$8:$N$58,2),IF(H251=3,VLOOKUP(E252,COEFICIENTES!$A$8:$N$58,4),IF(H251=2,VLOOKUP(E252,COEFICIENTES!$A$8:$N$58,7),IF(H251=1,VLOOKUP(E252,COEFICIENTES!$A$8:$N$58,10),VLOOKUP(E252,COEFICIENTES!$A$8:$N$58,13)))))),IF(H251=4,COEFICIENTES!$B$60,IF(H251=3,COEFICIENTES!$D$60,IF(H251=2,COEFICIENTES!$G$60,IF(H251=1,COEFICIENTES!$J$60,COEFICIENTES!$M$60))))))</f>
        <v>2.5000000000000001E-2</v>
      </c>
      <c r="G253" s="187"/>
      <c r="H253" s="185" t="s">
        <v>109</v>
      </c>
      <c r="I253" s="606">
        <f>IF(F253="",0,ROUND(F253*LOOKUP(B$251,Espesor!$C$8:$C$41,Espesor!$Z$8:$Z$41)*POWER(MIN(C$256,D$254),2),4))</f>
        <v>0</v>
      </c>
      <c r="J253" s="606"/>
      <c r="K253" s="607">
        <f>IF(M254="LY",LOOKUP(B251,Espesor!$C$8:$C$41,Espesor!$AA$8:$AA$41),LOOKUP(B251,Espesor!$C$8:$C$41,Espesor!$AB$8:$AB$41))</f>
        <v>0</v>
      </c>
      <c r="L253" s="607"/>
    </row>
    <row r="254" spans="1:16" ht="15.95" customHeight="1">
      <c r="B254" s="418"/>
      <c r="C254" s="617"/>
      <c r="D254" s="169">
        <f>IF(B251="","",VLOOKUP(B251,Espesor!$C$8:$E$41,3))</f>
        <v>0</v>
      </c>
      <c r="E254" s="185" t="s">
        <v>110</v>
      </c>
      <c r="F254" s="186">
        <f>IF(B251="","",IF(M254="LX",IF(E252&lt;0.5,IF(H251=0,1/12,IF(H251=1,3/8,IF(H251=2,0,0.5))),IF(H251=4,VLOOKUP(E252,COEFICIENTES!$A$8:$N$58,3),IF(H251=3,VLOOKUP(E252,COEFICIENTES!$A$8:$N$58,6),IF(H251=2,VLOOKUP(E252,COEFICIENTES!$A$8:$N$58,9),IF(H251=1,VLOOKUP(E252,COEFICIENTES!$A$8:$N$58,12),VLOOKUP(E252,COEFICIENTES!$A$8:$N$58,14)))))),IF(H251=4,COEFICIENTES!$C$60,IF(H251=3,COEFICIENTES!$F$60,IF(H251=2,COEFICIENTES!$I$60,IF(H251=1,COEFICIENTES!$L$60,COEFICIENTES!$N$60))))))</f>
        <v>3.3000000000000002E-2</v>
      </c>
      <c r="G254" s="153"/>
      <c r="H254" s="185" t="s">
        <v>111</v>
      </c>
      <c r="I254" s="606">
        <f>IF(F254="",0,ROUND(F254*LOOKUP(B$251,Espesor!$C$8:$C$41,Espesor!$Z$8:$Z$41)*POWER(MIN(C$256,D$254),2),4))</f>
        <v>0</v>
      </c>
      <c r="J254" s="606"/>
      <c r="K254" s="608">
        <f>IF(M254="LX",LOOKUP(B251,Espesor!$C$8:$C$41,Espesor!$AA$8:$AA$41),LOOKUP(B251,Espesor!$C$8:$C$41,Espesor!$AB$8:$AB$41))</f>
        <v>0</v>
      </c>
      <c r="L254" s="608"/>
      <c r="M254" s="170" t="str">
        <f>+IF(MIN(C256,D254)=D254,"LY","LX")</f>
        <v>LY</v>
      </c>
      <c r="N254" s="153" t="str">
        <f>+IF(M254="","",IF(M254="LY","LX","LY"))</f>
        <v>LX</v>
      </c>
    </row>
    <row r="255" spans="1:16" ht="15.95" customHeight="1" thickBot="1">
      <c r="B255" s="418"/>
      <c r="C255" s="618"/>
      <c r="D255" s="168"/>
      <c r="E255" s="185" t="s">
        <v>112</v>
      </c>
      <c r="F255" s="186">
        <f>IF(B251="","",IF(M254="LY",IF(E252&lt;0.5,IF(H251=0,1/24,IF(H251=1,9/125,IF(H251=2,1/8,0))),IF(H251=4,VLOOKUP(E252,COEFICIENTES!$A$8:$N$58,2),IF(H251=3,VLOOKUP(E252,COEFICIENTES!$A$8:$N$58,4),IF(H251=2,VLOOKUP(E252,COEFICIENTES!$A$8:$N$58,7),IF(H251=1,VLOOKUP(E252,COEFICIENTES!$A$8:$N$58,10),VLOOKUP(E252,COEFICIENTES!$A$8:$N$58,13)))))),IF(H251=4,COEFICIENTES!$B$60,IF(H251=3,COEFICIENTES!$D$60,IF(H251=2,COEFICIENTES!$G$60,IF(H251=1,COEFICIENTES!$J$60,COEFICIENTES!$M$60))))))</f>
        <v>0</v>
      </c>
      <c r="G255" s="153"/>
      <c r="H255" s="185" t="s">
        <v>113</v>
      </c>
      <c r="I255" s="606">
        <f>IF(F255="",0,ROUND(F255*LOOKUP(B$251,Espesor!$C$8:$C$41,Espesor!$Z$8:$Z$41)*POWER(MIN(C$256,D$254),2),4))</f>
        <v>0</v>
      </c>
      <c r="J255" s="606"/>
      <c r="K255" s="182"/>
      <c r="L255" s="174"/>
    </row>
    <row r="256" spans="1:16" ht="15.95" customHeight="1">
      <c r="B256" s="418"/>
      <c r="C256" s="600">
        <f>IF(B251="","",VLOOKUP(B251,Espesor!$C$8:$E$41,2))</f>
        <v>0</v>
      </c>
      <c r="D256" s="168"/>
      <c r="E256" s="185" t="s">
        <v>114</v>
      </c>
      <c r="F256" s="186">
        <f>IF(B251="","",IF(M254="LY",IF(E252&lt;0.5,IF(H251=0,1/12,IF(H251=1,3/8,IF(H251=2,0,0.5))),IF(H251=4,VLOOKUP(E252,COEFICIENTES!$A$8:$N$58,3),IF(H251=3,VLOOKUP(E252,COEFICIENTES!$A$8:$N$58,6),IF(H251=2,VLOOKUP(E252,COEFICIENTES!$A$8:$N$58,9),IF(H251=1,VLOOKUP(E252,COEFICIENTES!$A$8:$N$58,12),VLOOKUP(E252,COEFICIENTES!$A$8:$N$58,14)))))),IF(H251=4,COEFICIENTES!$C$60,IF(H251=3,COEFICIENTES!$F$60,IF(H251=2,COEFICIENTES!$I$60,IF(H251=1,COEFICIENTES!$L$60,COEFICIENTES!$N$60))))))</f>
        <v>0.5</v>
      </c>
      <c r="G256" s="153"/>
      <c r="H256" s="185" t="s">
        <v>115</v>
      </c>
      <c r="I256" s="606">
        <f>IF(F256="",0,ROUND(F256*LOOKUP(B$251,Espesor!$C$8:$C$41,Espesor!$Z$8:$Z$41)*POWER(MIN(C$256,D$254),2),4))</f>
        <v>0</v>
      </c>
      <c r="J256" s="606"/>
      <c r="K256" s="182"/>
      <c r="L256" s="174"/>
    </row>
    <row r="257" spans="1:16" ht="15.95" customHeight="1">
      <c r="B257" s="418"/>
      <c r="C257" s="601"/>
      <c r="D257" s="168"/>
      <c r="E257" s="185"/>
      <c r="F257" s="147"/>
      <c r="G257" s="153"/>
      <c r="H257" s="153"/>
      <c r="I257" s="188"/>
      <c r="J257" s="185"/>
      <c r="K257" s="178"/>
      <c r="L257" s="178"/>
    </row>
    <row r="258" spans="1:16" ht="15.95" customHeight="1">
      <c r="B258" s="418"/>
      <c r="C258" s="184"/>
      <c r="D258" s="168"/>
      <c r="E258" s="185"/>
      <c r="F258" s="147"/>
      <c r="G258" s="153"/>
      <c r="H258" s="153"/>
      <c r="I258" s="188"/>
      <c r="J258" s="185"/>
      <c r="K258" s="178"/>
      <c r="L258" s="178"/>
    </row>
    <row r="259" spans="1:16" ht="15.95" customHeight="1">
      <c r="A259" s="347" t="str">
        <f>+Espesor!B40</f>
        <v>Lt-</v>
      </c>
      <c r="B259" s="347">
        <f>IF(B251="","",IF(Espesor!$D$4&gt;=(B251+1),B251+1,""))</f>
        <v>33</v>
      </c>
      <c r="C259" s="604" t="str">
        <f>IF(B259&lt;=Espesor!$D$4,Espesor!$G$5,"")</f>
        <v>Losa armada en</v>
      </c>
      <c r="D259" s="604"/>
      <c r="E259" s="602" t="str">
        <f>IF(C259="","",LOOKUP(B259,Espesor!$C$8:$C$41,Espesor!$G$8:$G$41))</f>
        <v/>
      </c>
      <c r="F259" s="602"/>
      <c r="G259" s="602"/>
      <c r="H259" s="167" t="str">
        <f>IF(B259="","",LOOKUP(B259,Espesor!$C$8:$C$41,Espesor!$J$8:$J$41))</f>
        <v/>
      </c>
      <c r="I259" s="603" t="str">
        <f>IF(B259="","",IF(H259&gt;1,Espesor!$H$5,"Borde Discontinuo"))</f>
        <v>Bordes Discontinuos</v>
      </c>
      <c r="J259" s="603"/>
      <c r="K259" s="603"/>
      <c r="P259" s="191"/>
    </row>
    <row r="260" spans="1:16" ht="15.95" customHeight="1" thickBot="1">
      <c r="A260" s="22"/>
      <c r="B260" s="418"/>
      <c r="C260" s="165"/>
      <c r="D260" s="175"/>
      <c r="E260" s="611">
        <f>IF(B259="","",LOOKUP(B259,Espesor!$C$8:$C$41,Espesor!$F$8:$F$41))</f>
        <v>0</v>
      </c>
      <c r="F260" s="611"/>
      <c r="G260" s="609" t="str">
        <f>IF(B259="","",LOOKUP(B259,Espesor!$C$8:$C$41,Espesor!$K$8:$K$41))</f>
        <v/>
      </c>
      <c r="H260" s="609"/>
      <c r="I260" s="609"/>
      <c r="J260" s="145" t="str">
        <f>IF(B259="","",IF(E260&lt;0.5,"","alfa ="))</f>
        <v/>
      </c>
      <c r="K260" s="146" t="str">
        <f>IF(B259="","",IF(E260&lt;0.5,"",(3-(E260)^2)/2))</f>
        <v/>
      </c>
      <c r="L260" s="162">
        <f>+IF(E260&lt;0.5,IF(H259=0,0.5,IF(H259=1,5/8,IF(H259=2,0.5,1))),"")</f>
        <v>1</v>
      </c>
    </row>
    <row r="261" spans="1:16" ht="15.95" customHeight="1">
      <c r="A261" s="22"/>
      <c r="B261" s="418"/>
      <c r="C261" s="616"/>
      <c r="D261" s="168"/>
      <c r="E261" s="185" t="s">
        <v>108</v>
      </c>
      <c r="F261" s="186">
        <f>IF(B259="","",IF(M262="LX",IF(E260&lt;0.5,IF(H259=0,1/24,IF(H259=1,9/125,IF(H259=2,1/8,0))),IF(H259=4,VLOOKUP(E260,COEFICIENTES!$A$8:$N$58,2),IF(H259=3,VLOOKUP(E260,COEFICIENTES!$A$8:$N$58,4),IF(H259=2,VLOOKUP(E260,COEFICIENTES!$A$8:$N$58,7),IF(H259=1,VLOOKUP(E260,COEFICIENTES!$A$8:$N$58,10),VLOOKUP(E260,COEFICIENTES!$A$8:$N$58,13)))))),IF(H259=4,COEFICIENTES!$B$60,IF(H259=3,COEFICIENTES!$D$60,IF(H259=2,COEFICIENTES!$G$60,IF(H259=1,COEFICIENTES!$J$60,COEFICIENTES!$M$60))))))</f>
        <v>2.5000000000000001E-2</v>
      </c>
      <c r="G261" s="187"/>
      <c r="H261" s="185" t="s">
        <v>109</v>
      </c>
      <c r="I261" s="606">
        <f>IF(F261="",0,ROUND(F261*LOOKUP(B$243,Espesor!$C$8:$C$41,Espesor!$Z$8:$Z$41)*POWER(MIN(C$248,D$246),2),4))</f>
        <v>0</v>
      </c>
      <c r="J261" s="606"/>
      <c r="K261" s="607">
        <f>IF(M262="LY",LOOKUP(B259,Espesor!$C$8:$C$41,Espesor!$AA$8:$AA$41),LOOKUP(B259,Espesor!$C$8:$C$41,Espesor!$AB$8:$AB$41))</f>
        <v>0</v>
      </c>
      <c r="L261" s="607"/>
    </row>
    <row r="262" spans="1:16" ht="15.95" customHeight="1">
      <c r="A262" s="22"/>
      <c r="B262" s="418"/>
      <c r="C262" s="617"/>
      <c r="D262" s="169">
        <f>IF(B259="","",VLOOKUP(B259,Espesor!$C$8:$E$41,3))</f>
        <v>0</v>
      </c>
      <c r="E262" s="185" t="s">
        <v>110</v>
      </c>
      <c r="F262" s="186">
        <f>IF(B259="","",IF(M262="LX",IF(E260&lt;0.5,IF(H259=0,1/12,IF(H259=1,3/8,IF(H259=2,0,0.5))),IF(H259=4,VLOOKUP(E260,COEFICIENTES!$A$8:$N$58,3),IF(H259=3,VLOOKUP(E260,COEFICIENTES!$A$8:$N$58,6),IF(H259=2,VLOOKUP(E260,COEFICIENTES!$A$8:$N$58,9),IF(H259=1,VLOOKUP(E260,COEFICIENTES!$A$8:$N$58,12),VLOOKUP(E260,COEFICIENTES!$A$8:$N$58,14)))))),IF(H259=4,COEFICIENTES!$C$60,IF(H259=3,COEFICIENTES!$F$60,IF(H259=2,COEFICIENTES!$I$60,IF(H259=1,COEFICIENTES!$L$60,COEFICIENTES!$N$60))))))</f>
        <v>3.3000000000000002E-2</v>
      </c>
      <c r="G262" s="153"/>
      <c r="H262" s="185" t="s">
        <v>111</v>
      </c>
      <c r="I262" s="606">
        <f>IF(F262="",0,ROUND(F262*LOOKUP(B$243,Espesor!$C$8:$C$41,Espesor!$Z$8:$Z$41)*POWER(MIN(C$248,D$246),2),4))</f>
        <v>0</v>
      </c>
      <c r="J262" s="606"/>
      <c r="K262" s="608">
        <f>IF(M262="LX",LOOKUP(B259,Espesor!$C$8:$C$41,Espesor!$AA$8:$AA$41),LOOKUP(B259,Espesor!$C$8:$C$41,Espesor!$AB$8:$AB$41))</f>
        <v>0</v>
      </c>
      <c r="L262" s="608"/>
      <c r="M262" s="170" t="str">
        <f>+IF(MIN(C264,D262)=D262,"LY","LX")</f>
        <v>LY</v>
      </c>
      <c r="N262" s="153" t="str">
        <f>+IF(M262="","",IF(M262="LY","LX","LY"))</f>
        <v>LX</v>
      </c>
    </row>
    <row r="263" spans="1:16" ht="15.95" customHeight="1" thickBot="1">
      <c r="A263" s="22"/>
      <c r="B263" s="418"/>
      <c r="C263" s="618"/>
      <c r="D263" s="168"/>
      <c r="E263" s="185" t="s">
        <v>112</v>
      </c>
      <c r="F263" s="186">
        <f>IF(B259="","",IF(M262="LY",IF(E260&lt;0.5,IF(H259=0,1/24,IF(H259=1,9/125,IF(H259=2,1/8,0))),IF(H259=4,VLOOKUP(E260,COEFICIENTES!$A$8:$N$58,2),IF(H259=3,VLOOKUP(E260,COEFICIENTES!$A$8:$N$58,4),IF(H259=2,VLOOKUP(E260,COEFICIENTES!$A$8:$N$58,7),IF(H259=1,VLOOKUP(E260,COEFICIENTES!$A$8:$N$58,10),VLOOKUP(E260,COEFICIENTES!$A$8:$N$58,13)))))),IF(H259=4,COEFICIENTES!$B$60,IF(H259=3,COEFICIENTES!$D$60,IF(H259=2,COEFICIENTES!$G$60,IF(H259=1,COEFICIENTES!$J$60,COEFICIENTES!$M$60))))))</f>
        <v>0</v>
      </c>
      <c r="G263" s="153"/>
      <c r="H263" s="185" t="s">
        <v>113</v>
      </c>
      <c r="I263" s="606">
        <f>IF(F263="",0,ROUND(F263*LOOKUP(B$243,Espesor!$C$8:$C$41,Espesor!$Z$8:$Z$41)*POWER(MIN(C$248,D$246),2),4))</f>
        <v>0</v>
      </c>
      <c r="J263" s="606"/>
      <c r="K263" s="182"/>
      <c r="L263" s="174"/>
    </row>
    <row r="264" spans="1:16" ht="15.95" customHeight="1">
      <c r="A264" s="22"/>
      <c r="B264" s="418"/>
      <c r="C264" s="600">
        <f>IF(B259="","",VLOOKUP(B259,Espesor!$C$8:$E$41,2))</f>
        <v>0</v>
      </c>
      <c r="D264" s="168"/>
      <c r="E264" s="185" t="s">
        <v>114</v>
      </c>
      <c r="F264" s="186">
        <f>IF(B259="","",IF(M262="LY",IF(E260&lt;0.5,IF(H259=0,1/12,IF(H259=1,3/8,IF(H259=2,0,0.5))),IF(H259=4,VLOOKUP(E260,COEFICIENTES!$A$8:$N$58,3),IF(H259=3,VLOOKUP(E260,COEFICIENTES!$A$8:$N$58,6),IF(H259=2,VLOOKUP(E260,COEFICIENTES!$A$8:$N$58,9),IF(H259=1,VLOOKUP(E260,COEFICIENTES!$A$8:$N$58,12),VLOOKUP(E260,COEFICIENTES!$A$8:$N$58,14)))))),IF(H259=4,COEFICIENTES!$C$60,IF(H259=3,COEFICIENTES!$F$60,IF(H259=2,COEFICIENTES!$I$60,IF(H259=1,COEFICIENTES!$L$60,COEFICIENTES!$N$60))))))</f>
        <v>0.5</v>
      </c>
      <c r="G264" s="153"/>
      <c r="H264" s="185" t="s">
        <v>115</v>
      </c>
      <c r="I264" s="606">
        <f>IF(F264="",0,ROUND(F264*LOOKUP(B$243,Espesor!$C$8:$C$41,Espesor!$Z$8:$Z$41)*POWER(MIN(C$248,D$246),2),4))</f>
        <v>0</v>
      </c>
      <c r="J264" s="606"/>
      <c r="K264" s="182"/>
      <c r="L264" s="174"/>
    </row>
    <row r="265" spans="1:16" ht="15.95" customHeight="1">
      <c r="A265" s="22"/>
      <c r="B265" s="418"/>
      <c r="C265" s="601"/>
      <c r="D265" s="168"/>
      <c r="E265" s="185"/>
      <c r="F265" s="147"/>
      <c r="G265" s="153"/>
      <c r="H265" s="153"/>
      <c r="I265" s="606"/>
      <c r="J265" s="606"/>
      <c r="K265" s="182"/>
      <c r="L265" s="178"/>
    </row>
    <row r="266" spans="1:16" ht="15.95" customHeight="1">
      <c r="A266" s="22"/>
      <c r="B266" s="418"/>
      <c r="G266" s="153"/>
      <c r="H266" s="153"/>
      <c r="I266" s="188"/>
      <c r="J266" s="185"/>
      <c r="K266" s="178"/>
      <c r="L266" s="178"/>
    </row>
    <row r="267" spans="1:16" ht="15.95" customHeight="1">
      <c r="A267" s="347" t="str">
        <f>+Espesor!B41</f>
        <v>Lt-</v>
      </c>
      <c r="B267" s="347">
        <f>IF(B259="","",IF(Espesor!$D$4&gt;=(B259+1),B259+1,""))</f>
        <v>34</v>
      </c>
      <c r="C267" s="604" t="str">
        <f>IF(B267&lt;=Espesor!$D$4,Espesor!$G$5,"")</f>
        <v>Losa armada en</v>
      </c>
      <c r="D267" s="604"/>
      <c r="E267" s="602" t="str">
        <f>IF(C267="","",LOOKUP(B267,Espesor!$C$8:$C$41,Espesor!$G$8:$G$41))</f>
        <v/>
      </c>
      <c r="F267" s="602"/>
      <c r="G267" s="602"/>
      <c r="H267" s="167" t="str">
        <f>IF(B267="","",LOOKUP(B267,Espesor!$C$8:$C$41,Espesor!$J$8:$J$41))</f>
        <v/>
      </c>
      <c r="I267" s="603" t="str">
        <f>IF(B267="","",IF(H267&gt;1,Espesor!$H$5,"Borde Discontinuo"))</f>
        <v>Bordes Discontinuos</v>
      </c>
      <c r="J267" s="603"/>
      <c r="K267" s="603"/>
      <c r="P267" s="191"/>
    </row>
    <row r="268" spans="1:16" ht="15.95" customHeight="1" thickBot="1">
      <c r="B268" s="418"/>
      <c r="C268" s="165"/>
      <c r="D268" s="175"/>
      <c r="E268" s="611">
        <f>IF(B267="","",LOOKUP(B267,Espesor!$C$8:$C$41,Espesor!$F$8:$F$41))</f>
        <v>0</v>
      </c>
      <c r="F268" s="611"/>
      <c r="G268" s="609" t="str">
        <f>IF(B267="","",LOOKUP(B267,Espesor!$C$8:$C$41,Espesor!$K$8:$K$41))</f>
        <v/>
      </c>
      <c r="H268" s="609"/>
      <c r="I268" s="609"/>
      <c r="J268" s="145" t="str">
        <f>IF(B267="","",IF(E268&lt;0.5,"","alfa ="))</f>
        <v/>
      </c>
      <c r="K268" s="146" t="str">
        <f>IF(B267="","",IF(E268&lt;0.5,"",(3-(E268)^2)/2))</f>
        <v/>
      </c>
      <c r="L268" s="162">
        <f>+IF(E268&lt;0.5,IF(H267=0,0.5,IF(H267=1,5/8,IF(H267=2,0.5,1))),"")</f>
        <v>1</v>
      </c>
    </row>
    <row r="269" spans="1:16" ht="15.95" customHeight="1">
      <c r="B269" s="418"/>
      <c r="C269" s="616"/>
      <c r="D269" s="168"/>
      <c r="E269" s="185" t="s">
        <v>108</v>
      </c>
      <c r="F269" s="186">
        <f>IF(B267="","",IF(M270="LX",IF(E268&lt;0.5,IF(H267=0,1/24,IF(H267=1,9/125,IF(H267=2,1/8,0))),IF(H267=4,VLOOKUP(E268,COEFICIENTES!$A$8:$N$58,2),IF(H267=3,VLOOKUP(E268,COEFICIENTES!$A$8:$N$58,4),IF(H267=2,VLOOKUP(E268,COEFICIENTES!$A$8:$N$58,7),IF(H267=1,VLOOKUP(E268,COEFICIENTES!$A$8:$N$58,10),VLOOKUP(E268,COEFICIENTES!$A$8:$N$58,13)))))),IF(H267=4,COEFICIENTES!$B$60,IF(H267=3,COEFICIENTES!$D$60,IF(H267=2,COEFICIENTES!$G$60,IF(H267=1,COEFICIENTES!$J$60,COEFICIENTES!$M$60))))))</f>
        <v>2.5000000000000001E-2</v>
      </c>
      <c r="G269" s="187"/>
      <c r="H269" s="185" t="s">
        <v>109</v>
      </c>
      <c r="I269" s="606">
        <f>IF(F269="",0,ROUND(F269*LOOKUP(B$251,Espesor!$C$8:$C$41,Espesor!$Z$8:$Z$41)*POWER(MIN(C$256,D$254),2),4))</f>
        <v>0</v>
      </c>
      <c r="J269" s="606"/>
      <c r="K269" s="607">
        <f>IF(M270="LY",LOOKUP(B267,Espesor!$C$8:$C$41,Espesor!$AA$8:$AA$41),LOOKUP(B267,Espesor!$C$8:$C$41,Espesor!$AB$8:$AB$41))</f>
        <v>0</v>
      </c>
      <c r="L269" s="607"/>
    </row>
    <row r="270" spans="1:16" ht="15.95" customHeight="1">
      <c r="B270" s="418"/>
      <c r="C270" s="617"/>
      <c r="D270" s="169">
        <f>IF(B267="","",VLOOKUP(B267,Espesor!$C$8:$E$41,3))</f>
        <v>0</v>
      </c>
      <c r="E270" s="185" t="s">
        <v>110</v>
      </c>
      <c r="F270" s="186">
        <f>IF(B267="","",IF(M270="LX",IF(E268&lt;0.5,IF(H267=0,1/12,IF(H267=1,3/8,IF(H267=2,0,0.5))),IF(H267=4,VLOOKUP(E268,COEFICIENTES!$A$8:$N$58,3),IF(H267=3,VLOOKUP(E268,COEFICIENTES!$A$8:$N$58,6),IF(H267=2,VLOOKUP(E268,COEFICIENTES!$A$8:$N$58,9),IF(H267=1,VLOOKUP(E268,COEFICIENTES!$A$8:$N$58,12),VLOOKUP(E268,COEFICIENTES!$A$8:$N$58,14)))))),IF(H267=4,COEFICIENTES!$C$60,IF(H267=3,COEFICIENTES!$F$60,IF(H267=2,COEFICIENTES!$I$60,IF(H267=1,COEFICIENTES!$L$60,COEFICIENTES!$N$60))))))</f>
        <v>3.3000000000000002E-2</v>
      </c>
      <c r="G270" s="153"/>
      <c r="H270" s="185" t="s">
        <v>111</v>
      </c>
      <c r="I270" s="606">
        <f>IF(F270="",0,ROUND(F270*LOOKUP(B$251,Espesor!$C$8:$C$41,Espesor!$Z$8:$Z$41)*POWER(MIN(C$256,D$254),2),4))</f>
        <v>0</v>
      </c>
      <c r="J270" s="606"/>
      <c r="K270" s="608">
        <f>IF(M270="LX",LOOKUP(B267,Espesor!$C$8:$C$41,Espesor!$AA$8:$AA$41),LOOKUP(B267,Espesor!$C$8:$C$41,Espesor!$AB$8:$AB$41))</f>
        <v>0</v>
      </c>
      <c r="L270" s="608"/>
      <c r="M270" s="170" t="str">
        <f>+IF(MIN(C272,D270)=D270,"LY","LX")</f>
        <v>LY</v>
      </c>
      <c r="N270" s="153" t="str">
        <f>+IF(M270="","",IF(M270="LY","LX","LY"))</f>
        <v>LX</v>
      </c>
    </row>
    <row r="271" spans="1:16" ht="15.95" customHeight="1" thickBot="1">
      <c r="B271" s="418"/>
      <c r="C271" s="618"/>
      <c r="D271" s="168"/>
      <c r="E271" s="185" t="s">
        <v>112</v>
      </c>
      <c r="F271" s="186">
        <f>IF(B267="","",IF(M270="LY",IF(E268&lt;0.5,IF(H267=0,1/24,IF(H267=1,9/125,IF(H267=2,1/8,0))),IF(H267=4,VLOOKUP(E268,COEFICIENTES!$A$8:$N$58,2),IF(H267=3,VLOOKUP(E268,COEFICIENTES!$A$8:$N$58,4),IF(H267=2,VLOOKUP(E268,COEFICIENTES!$A$8:$N$58,7),IF(H267=1,VLOOKUP(E268,COEFICIENTES!$A$8:$N$58,10),VLOOKUP(E268,COEFICIENTES!$A$8:$N$58,13)))))),IF(H267=4,COEFICIENTES!$B$60,IF(H267=3,COEFICIENTES!$D$60,IF(H267=2,COEFICIENTES!$G$60,IF(H267=1,COEFICIENTES!$J$60,COEFICIENTES!$M$60))))))</f>
        <v>0</v>
      </c>
      <c r="G271" s="153"/>
      <c r="H271" s="185" t="s">
        <v>113</v>
      </c>
      <c r="I271" s="606">
        <f>IF(F271="",0,ROUND(F271*LOOKUP(B$251,Espesor!$C$8:$C$41,Espesor!$Z$8:$Z$41)*POWER(MIN(C$256,D$254),2),4))</f>
        <v>0</v>
      </c>
      <c r="J271" s="606"/>
      <c r="K271" s="182"/>
      <c r="L271" s="174"/>
    </row>
    <row r="272" spans="1:16" ht="15.95" customHeight="1">
      <c r="B272" s="348"/>
      <c r="C272" s="600">
        <f>IF(B267="","",VLOOKUP(B267,Espesor!$C$8:$E$41,2))</f>
        <v>0</v>
      </c>
      <c r="D272" s="168"/>
      <c r="E272" s="185" t="s">
        <v>114</v>
      </c>
      <c r="F272" s="186">
        <f>IF(B267="","",IF(M270="LY",IF(E268&lt;0.5,IF(H267=0,1/12,IF(H267=1,3/8,IF(H267=2,0,0.5))),IF(H267=4,VLOOKUP(E268,COEFICIENTES!$A$8:$N$58,3),IF(H267=3,VLOOKUP(E268,COEFICIENTES!$A$8:$N$58,6),IF(H267=2,VLOOKUP(E268,COEFICIENTES!$A$8:$N$58,9),IF(H267=1,VLOOKUP(E268,COEFICIENTES!$A$8:$N$58,12),VLOOKUP(E268,COEFICIENTES!$A$8:$N$58,14)))))),IF(H267=4,COEFICIENTES!$C$60,IF(H267=3,COEFICIENTES!$F$60,IF(H267=2,COEFICIENTES!$I$60,IF(H267=1,COEFICIENTES!$L$60,COEFICIENTES!$N$60))))))</f>
        <v>0.5</v>
      </c>
      <c r="G272" s="153"/>
      <c r="H272" s="185" t="s">
        <v>115</v>
      </c>
      <c r="I272" s="606">
        <f>IF(F272="",0,ROUND(F272*LOOKUP(B$251,Espesor!$C$8:$C$41,Espesor!$Z$8:$Z$41)*POWER(MIN(C$256,D$254),2),4))</f>
        <v>0</v>
      </c>
      <c r="J272" s="606"/>
      <c r="K272" s="182"/>
      <c r="L272" s="174"/>
    </row>
    <row r="273" spans="2:12" ht="15.95" customHeight="1">
      <c r="B273" s="348"/>
      <c r="C273" s="601"/>
      <c r="D273" s="168"/>
      <c r="E273" s="185"/>
      <c r="F273" s="147"/>
      <c r="G273" s="153"/>
      <c r="H273" s="153"/>
      <c r="I273" s="188"/>
      <c r="J273" s="185"/>
      <c r="K273" s="178"/>
      <c r="L273" s="178"/>
    </row>
  </sheetData>
  <mergeCells count="458">
    <mergeCell ref="W1:W2"/>
    <mergeCell ref="X1:X2"/>
    <mergeCell ref="E20:F20"/>
    <mergeCell ref="C21:C23"/>
    <mergeCell ref="I19:K19"/>
    <mergeCell ref="C19:D19"/>
    <mergeCell ref="I22:J22"/>
    <mergeCell ref="C37:C39"/>
    <mergeCell ref="I35:K35"/>
    <mergeCell ref="C35:D35"/>
    <mergeCell ref="K22:L22"/>
    <mergeCell ref="I23:J23"/>
    <mergeCell ref="E19:G19"/>
    <mergeCell ref="M1:M5"/>
    <mergeCell ref="E4:F4"/>
    <mergeCell ref="E12:F12"/>
    <mergeCell ref="C13:C15"/>
    <mergeCell ref="C5:C7"/>
    <mergeCell ref="I11:K11"/>
    <mergeCell ref="C11:D11"/>
    <mergeCell ref="I5:J5"/>
    <mergeCell ref="I6:J6"/>
    <mergeCell ref="I7:J7"/>
    <mergeCell ref="I8:J8"/>
    <mergeCell ref="C27:D27"/>
    <mergeCell ref="C40:C41"/>
    <mergeCell ref="I41:K41"/>
    <mergeCell ref="G36:I36"/>
    <mergeCell ref="G28:I28"/>
    <mergeCell ref="C29:C31"/>
    <mergeCell ref="C32:C33"/>
    <mergeCell ref="I29:J29"/>
    <mergeCell ref="K29:L29"/>
    <mergeCell ref="I31:J31"/>
    <mergeCell ref="I30:J30"/>
    <mergeCell ref="K30:L30"/>
    <mergeCell ref="E27:G27"/>
    <mergeCell ref="E35:G35"/>
    <mergeCell ref="C61:C63"/>
    <mergeCell ref="C64:C65"/>
    <mergeCell ref="E60:F60"/>
    <mergeCell ref="I59:K59"/>
    <mergeCell ref="C59:D59"/>
    <mergeCell ref="G60:I60"/>
    <mergeCell ref="C72:C73"/>
    <mergeCell ref="E44:F44"/>
    <mergeCell ref="E36:F36"/>
    <mergeCell ref="E52:F52"/>
    <mergeCell ref="C53:C55"/>
    <mergeCell ref="C45:C47"/>
    <mergeCell ref="C48:C49"/>
    <mergeCell ref="I51:K51"/>
    <mergeCell ref="C51:D51"/>
    <mergeCell ref="G52:I52"/>
    <mergeCell ref="I46:J46"/>
    <mergeCell ref="I37:J37"/>
    <mergeCell ref="I38:J38"/>
    <mergeCell ref="I39:J39"/>
    <mergeCell ref="I40:J40"/>
    <mergeCell ref="I45:J45"/>
    <mergeCell ref="I55:J55"/>
    <mergeCell ref="I56:J56"/>
    <mergeCell ref="C69:C71"/>
    <mergeCell ref="I67:K67"/>
    <mergeCell ref="C67:D67"/>
    <mergeCell ref="I75:K75"/>
    <mergeCell ref="C75:D75"/>
    <mergeCell ref="G76:I76"/>
    <mergeCell ref="G68:I68"/>
    <mergeCell ref="I70:J70"/>
    <mergeCell ref="K70:L70"/>
    <mergeCell ref="I71:J71"/>
    <mergeCell ref="I72:J72"/>
    <mergeCell ref="I69:J69"/>
    <mergeCell ref="K69:L69"/>
    <mergeCell ref="E67:G67"/>
    <mergeCell ref="E74:F74"/>
    <mergeCell ref="E75:G75"/>
    <mergeCell ref="E76:F76"/>
    <mergeCell ref="E68:F68"/>
    <mergeCell ref="C85:C87"/>
    <mergeCell ref="C77:C79"/>
    <mergeCell ref="C80:C81"/>
    <mergeCell ref="I83:K83"/>
    <mergeCell ref="C83:D83"/>
    <mergeCell ref="G84:I84"/>
    <mergeCell ref="I77:J77"/>
    <mergeCell ref="I78:J78"/>
    <mergeCell ref="I79:J79"/>
    <mergeCell ref="I80:J80"/>
    <mergeCell ref="I85:J85"/>
    <mergeCell ref="I86:J86"/>
    <mergeCell ref="I87:J87"/>
    <mergeCell ref="E83:G83"/>
    <mergeCell ref="K78:L78"/>
    <mergeCell ref="K85:L85"/>
    <mergeCell ref="K86:L86"/>
    <mergeCell ref="K77:L77"/>
    <mergeCell ref="E84:F84"/>
    <mergeCell ref="C93:C95"/>
    <mergeCell ref="C96:C97"/>
    <mergeCell ref="C88:C89"/>
    <mergeCell ref="E92:F92"/>
    <mergeCell ref="I91:K91"/>
    <mergeCell ref="C91:D91"/>
    <mergeCell ref="G92:I92"/>
    <mergeCell ref="I88:J88"/>
    <mergeCell ref="I93:J93"/>
    <mergeCell ref="I94:J94"/>
    <mergeCell ref="I95:J95"/>
    <mergeCell ref="I96:J96"/>
    <mergeCell ref="E91:G91"/>
    <mergeCell ref="K93:L93"/>
    <mergeCell ref="K94:L94"/>
    <mergeCell ref="C104:C105"/>
    <mergeCell ref="E108:F108"/>
    <mergeCell ref="E100:F100"/>
    <mergeCell ref="C101:C103"/>
    <mergeCell ref="I99:K99"/>
    <mergeCell ref="C99:D99"/>
    <mergeCell ref="I107:K107"/>
    <mergeCell ref="C107:D107"/>
    <mergeCell ref="G108:I108"/>
    <mergeCell ref="G100:I100"/>
    <mergeCell ref="I101:J101"/>
    <mergeCell ref="I102:J102"/>
    <mergeCell ref="I103:J103"/>
    <mergeCell ref="I104:J104"/>
    <mergeCell ref="E99:G99"/>
    <mergeCell ref="E107:G107"/>
    <mergeCell ref="K101:L101"/>
    <mergeCell ref="K102:L102"/>
    <mergeCell ref="C117:C119"/>
    <mergeCell ref="C109:C111"/>
    <mergeCell ref="C112:C113"/>
    <mergeCell ref="I115:K115"/>
    <mergeCell ref="C115:D115"/>
    <mergeCell ref="G116:I116"/>
    <mergeCell ref="I109:J109"/>
    <mergeCell ref="I110:J110"/>
    <mergeCell ref="I111:J111"/>
    <mergeCell ref="I112:J112"/>
    <mergeCell ref="I117:J117"/>
    <mergeCell ref="I118:J118"/>
    <mergeCell ref="I119:J119"/>
    <mergeCell ref="E115:G115"/>
    <mergeCell ref="K109:L109"/>
    <mergeCell ref="K110:L110"/>
    <mergeCell ref="K117:L117"/>
    <mergeCell ref="K118:L118"/>
    <mergeCell ref="E116:F116"/>
    <mergeCell ref="C125:C127"/>
    <mergeCell ref="C128:C129"/>
    <mergeCell ref="C120:C121"/>
    <mergeCell ref="E124:F124"/>
    <mergeCell ref="I123:K123"/>
    <mergeCell ref="C123:D123"/>
    <mergeCell ref="G124:I124"/>
    <mergeCell ref="I120:J120"/>
    <mergeCell ref="I125:J125"/>
    <mergeCell ref="I126:J126"/>
    <mergeCell ref="I127:J127"/>
    <mergeCell ref="I128:J128"/>
    <mergeCell ref="E123:G123"/>
    <mergeCell ref="K125:L125"/>
    <mergeCell ref="K126:L126"/>
    <mergeCell ref="C136:C137"/>
    <mergeCell ref="E140:F140"/>
    <mergeCell ref="E132:F132"/>
    <mergeCell ref="C133:C135"/>
    <mergeCell ref="I131:K131"/>
    <mergeCell ref="C131:D131"/>
    <mergeCell ref="I139:K139"/>
    <mergeCell ref="C139:D139"/>
    <mergeCell ref="G132:I132"/>
    <mergeCell ref="G140:I140"/>
    <mergeCell ref="I133:J133"/>
    <mergeCell ref="I134:J134"/>
    <mergeCell ref="I135:J135"/>
    <mergeCell ref="I136:J136"/>
    <mergeCell ref="E131:G131"/>
    <mergeCell ref="E139:G139"/>
    <mergeCell ref="K133:L133"/>
    <mergeCell ref="K134:L134"/>
    <mergeCell ref="C149:C151"/>
    <mergeCell ref="C141:C143"/>
    <mergeCell ref="C144:C145"/>
    <mergeCell ref="G148:I148"/>
    <mergeCell ref="I141:J141"/>
    <mergeCell ref="I142:J142"/>
    <mergeCell ref="I143:J143"/>
    <mergeCell ref="I144:J144"/>
    <mergeCell ref="I149:J149"/>
    <mergeCell ref="I150:J150"/>
    <mergeCell ref="I151:J151"/>
    <mergeCell ref="I147:K147"/>
    <mergeCell ref="C147:D147"/>
    <mergeCell ref="E148:F148"/>
    <mergeCell ref="E147:G147"/>
    <mergeCell ref="K141:L141"/>
    <mergeCell ref="K142:L142"/>
    <mergeCell ref="K149:L149"/>
    <mergeCell ref="K150:L150"/>
    <mergeCell ref="C157:C159"/>
    <mergeCell ref="C160:C161"/>
    <mergeCell ref="C152:C153"/>
    <mergeCell ref="E156:F156"/>
    <mergeCell ref="G156:I156"/>
    <mergeCell ref="I152:J152"/>
    <mergeCell ref="I157:J157"/>
    <mergeCell ref="I158:J158"/>
    <mergeCell ref="I159:J159"/>
    <mergeCell ref="I160:J160"/>
    <mergeCell ref="I155:K155"/>
    <mergeCell ref="C155:D155"/>
    <mergeCell ref="E155:G155"/>
    <mergeCell ref="K157:L157"/>
    <mergeCell ref="K158:L158"/>
    <mergeCell ref="C165:C167"/>
    <mergeCell ref="G164:I164"/>
    <mergeCell ref="G172:I172"/>
    <mergeCell ref="I165:J165"/>
    <mergeCell ref="I166:J166"/>
    <mergeCell ref="I167:J167"/>
    <mergeCell ref="I168:J168"/>
    <mergeCell ref="C163:D163"/>
    <mergeCell ref="I171:K171"/>
    <mergeCell ref="C171:D171"/>
    <mergeCell ref="E163:G163"/>
    <mergeCell ref="E171:G171"/>
    <mergeCell ref="C168:C169"/>
    <mergeCell ref="K165:L165"/>
    <mergeCell ref="K166:L166"/>
    <mergeCell ref="I163:K163"/>
    <mergeCell ref="E164:F164"/>
    <mergeCell ref="C181:C183"/>
    <mergeCell ref="C173:C175"/>
    <mergeCell ref="C176:C177"/>
    <mergeCell ref="G180:I180"/>
    <mergeCell ref="I173:J173"/>
    <mergeCell ref="I174:J174"/>
    <mergeCell ref="I175:J175"/>
    <mergeCell ref="I176:J176"/>
    <mergeCell ref="I181:J181"/>
    <mergeCell ref="I182:J182"/>
    <mergeCell ref="I183:J183"/>
    <mergeCell ref="I179:K179"/>
    <mergeCell ref="C179:D179"/>
    <mergeCell ref="E179:G179"/>
    <mergeCell ref="K173:L173"/>
    <mergeCell ref="K174:L174"/>
    <mergeCell ref="K181:L181"/>
    <mergeCell ref="K182:L182"/>
    <mergeCell ref="C200:C201"/>
    <mergeCell ref="E196:F196"/>
    <mergeCell ref="C197:C199"/>
    <mergeCell ref="C184:C185"/>
    <mergeCell ref="E188:F188"/>
    <mergeCell ref="G188:I188"/>
    <mergeCell ref="I184:J184"/>
    <mergeCell ref="I189:J189"/>
    <mergeCell ref="I190:J190"/>
    <mergeCell ref="I191:J191"/>
    <mergeCell ref="I192:J192"/>
    <mergeCell ref="I187:K187"/>
    <mergeCell ref="C187:D187"/>
    <mergeCell ref="E187:G187"/>
    <mergeCell ref="K189:L189"/>
    <mergeCell ref="K190:L190"/>
    <mergeCell ref="I232:J232"/>
    <mergeCell ref="I235:K235"/>
    <mergeCell ref="C208:C209"/>
    <mergeCell ref="I211:K211"/>
    <mergeCell ref="C211:D211"/>
    <mergeCell ref="E212:F212"/>
    <mergeCell ref="G212:I212"/>
    <mergeCell ref="C213:C215"/>
    <mergeCell ref="I208:J208"/>
    <mergeCell ref="I213:J213"/>
    <mergeCell ref="I214:J214"/>
    <mergeCell ref="I215:J215"/>
    <mergeCell ref="K213:L213"/>
    <mergeCell ref="K214:L214"/>
    <mergeCell ref="E227:G227"/>
    <mergeCell ref="E235:G235"/>
    <mergeCell ref="C232:C233"/>
    <mergeCell ref="C216:C217"/>
    <mergeCell ref="E220:F220"/>
    <mergeCell ref="G220:I220"/>
    <mergeCell ref="C221:C223"/>
    <mergeCell ref="I216:J216"/>
    <mergeCell ref="C224:C225"/>
    <mergeCell ref="E228:F228"/>
    <mergeCell ref="G228:I228"/>
    <mergeCell ref="C229:C231"/>
    <mergeCell ref="I224:J224"/>
    <mergeCell ref="K38:L38"/>
    <mergeCell ref="K45:L45"/>
    <mergeCell ref="I43:K43"/>
    <mergeCell ref="E59:G59"/>
    <mergeCell ref="I219:K219"/>
    <mergeCell ref="C219:D219"/>
    <mergeCell ref="C203:D203"/>
    <mergeCell ref="E204:F204"/>
    <mergeCell ref="G204:I204"/>
    <mergeCell ref="K197:L197"/>
    <mergeCell ref="K198:L198"/>
    <mergeCell ref="K205:L205"/>
    <mergeCell ref="K206:L206"/>
    <mergeCell ref="C189:C191"/>
    <mergeCell ref="C192:C193"/>
    <mergeCell ref="C195:D195"/>
    <mergeCell ref="C205:C207"/>
    <mergeCell ref="I205:J205"/>
    <mergeCell ref="I206:J206"/>
    <mergeCell ref="E180:F180"/>
    <mergeCell ref="E172:F172"/>
    <mergeCell ref="I61:J61"/>
    <mergeCell ref="I221:J221"/>
    <mergeCell ref="I207:J207"/>
    <mergeCell ref="E195:G195"/>
    <mergeCell ref="E203:G203"/>
    <mergeCell ref="E211:G211"/>
    <mergeCell ref="E219:G219"/>
    <mergeCell ref="I195:K195"/>
    <mergeCell ref="G196:I196"/>
    <mergeCell ref="I197:J197"/>
    <mergeCell ref="I198:J198"/>
    <mergeCell ref="I199:J199"/>
    <mergeCell ref="I200:J200"/>
    <mergeCell ref="I203:K203"/>
    <mergeCell ref="K61:L61"/>
    <mergeCell ref="I62:J62"/>
    <mergeCell ref="K62:L62"/>
    <mergeCell ref="I63:J63"/>
    <mergeCell ref="I64:J64"/>
    <mergeCell ref="K6:L6"/>
    <mergeCell ref="K46:L46"/>
    <mergeCell ref="I47:J47"/>
    <mergeCell ref="I48:J48"/>
    <mergeCell ref="I53:J53"/>
    <mergeCell ref="K53:L53"/>
    <mergeCell ref="I54:J54"/>
    <mergeCell ref="K54:L54"/>
    <mergeCell ref="I32:J32"/>
    <mergeCell ref="K37:L37"/>
    <mergeCell ref="G20:I20"/>
    <mergeCell ref="G44:I44"/>
    <mergeCell ref="I24:J24"/>
    <mergeCell ref="E43:G43"/>
    <mergeCell ref="E28:F28"/>
    <mergeCell ref="I27:K27"/>
    <mergeCell ref="I265:J265"/>
    <mergeCell ref="K245:L245"/>
    <mergeCell ref="K246:L246"/>
    <mergeCell ref="I222:J222"/>
    <mergeCell ref="I223:J223"/>
    <mergeCell ref="C248:C249"/>
    <mergeCell ref="C251:D251"/>
    <mergeCell ref="C240:C241"/>
    <mergeCell ref="C245:C247"/>
    <mergeCell ref="C243:D243"/>
    <mergeCell ref="I227:K227"/>
    <mergeCell ref="C227:D227"/>
    <mergeCell ref="I247:J247"/>
    <mergeCell ref="E243:G243"/>
    <mergeCell ref="E236:F236"/>
    <mergeCell ref="G236:I236"/>
    <mergeCell ref="C237:C239"/>
    <mergeCell ref="I237:J237"/>
    <mergeCell ref="I238:J238"/>
    <mergeCell ref="I239:J239"/>
    <mergeCell ref="C235:D235"/>
    <mergeCell ref="I229:J229"/>
    <mergeCell ref="I230:J230"/>
    <mergeCell ref="I231:J231"/>
    <mergeCell ref="I267:K267"/>
    <mergeCell ref="C267:D267"/>
    <mergeCell ref="K254:L254"/>
    <mergeCell ref="I259:K259"/>
    <mergeCell ref="C259:D259"/>
    <mergeCell ref="E260:F260"/>
    <mergeCell ref="C256:C257"/>
    <mergeCell ref="I256:J256"/>
    <mergeCell ref="C253:C255"/>
    <mergeCell ref="I253:J253"/>
    <mergeCell ref="I254:J254"/>
    <mergeCell ref="I255:J255"/>
    <mergeCell ref="E267:G267"/>
    <mergeCell ref="G260:I260"/>
    <mergeCell ref="C261:C263"/>
    <mergeCell ref="I261:J261"/>
    <mergeCell ref="K261:L261"/>
    <mergeCell ref="I262:J262"/>
    <mergeCell ref="K262:L262"/>
    <mergeCell ref="I263:J263"/>
    <mergeCell ref="E259:G259"/>
    <mergeCell ref="K253:L253"/>
    <mergeCell ref="C264:C265"/>
    <mergeCell ref="I264:J264"/>
    <mergeCell ref="K269:L269"/>
    <mergeCell ref="I270:J270"/>
    <mergeCell ref="K270:L270"/>
    <mergeCell ref="I271:J271"/>
    <mergeCell ref="C272:C273"/>
    <mergeCell ref="I272:J272"/>
    <mergeCell ref="E268:F268"/>
    <mergeCell ref="G268:I268"/>
    <mergeCell ref="C269:C271"/>
    <mergeCell ref="I269:J269"/>
    <mergeCell ref="E252:F252"/>
    <mergeCell ref="G252:I252"/>
    <mergeCell ref="I251:K251"/>
    <mergeCell ref="I248:J248"/>
    <mergeCell ref="Q1:Q2"/>
    <mergeCell ref="R1:R2"/>
    <mergeCell ref="S1:S2"/>
    <mergeCell ref="T1:T2"/>
    <mergeCell ref="U1:U2"/>
    <mergeCell ref="I240:J240"/>
    <mergeCell ref="I245:J245"/>
    <mergeCell ref="I246:J246"/>
    <mergeCell ref="K221:L221"/>
    <mergeCell ref="K222:L222"/>
    <mergeCell ref="K229:L229"/>
    <mergeCell ref="K230:L230"/>
    <mergeCell ref="K237:L237"/>
    <mergeCell ref="K238:L238"/>
    <mergeCell ref="I249:J249"/>
    <mergeCell ref="E251:G251"/>
    <mergeCell ref="E244:F244"/>
    <mergeCell ref="G244:I244"/>
    <mergeCell ref="I243:K243"/>
    <mergeCell ref="G12:I12"/>
    <mergeCell ref="V1:V2"/>
    <mergeCell ref="P1:P2"/>
    <mergeCell ref="C56:C57"/>
    <mergeCell ref="C16:C17"/>
    <mergeCell ref="C8:C9"/>
    <mergeCell ref="E3:G3"/>
    <mergeCell ref="I3:K3"/>
    <mergeCell ref="C3:D3"/>
    <mergeCell ref="N1:N5"/>
    <mergeCell ref="I13:J13"/>
    <mergeCell ref="K13:L13"/>
    <mergeCell ref="I14:J14"/>
    <mergeCell ref="K14:L14"/>
    <mergeCell ref="I15:J15"/>
    <mergeCell ref="I16:J16"/>
    <mergeCell ref="I21:J21"/>
    <mergeCell ref="K21:L21"/>
    <mergeCell ref="K5:L5"/>
    <mergeCell ref="E51:G51"/>
    <mergeCell ref="G4:I4"/>
    <mergeCell ref="E11:G11"/>
    <mergeCell ref="A1:L1"/>
    <mergeCell ref="C43:D43"/>
    <mergeCell ref="C24:C25"/>
  </mergeCells>
  <pageMargins left="0.77" right="0.37" top="0.71" bottom="0.55000000000000004" header="0.34" footer="0"/>
  <pageSetup scale="90" orientation="portrait" horizontalDpi="120" verticalDpi="144" r:id="rId1"/>
  <headerFooter alignWithMargins="0">
    <oddHeader>&amp;R&amp;11Pedro M. Rosario E. MIS
          CODIA  11505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DF810"/>
  <sheetViews>
    <sheetView topLeftCell="A43" zoomScaleNormal="100" workbookViewId="0">
      <selection activeCell="F70" sqref="F70"/>
    </sheetView>
  </sheetViews>
  <sheetFormatPr defaultColWidth="4.5546875" defaultRowHeight="21.75" customHeight="1"/>
  <cols>
    <col min="1" max="1" width="8.21875" style="291" customWidth="1"/>
    <col min="2" max="2" width="6.88671875" style="291" customWidth="1"/>
    <col min="3" max="4" width="6.33203125" style="291" customWidth="1"/>
    <col min="5" max="5" width="5.88671875" style="291" customWidth="1"/>
    <col min="6" max="28" width="5.5546875" style="291" customWidth="1"/>
    <col min="29" max="29" width="7.77734375" style="291" customWidth="1"/>
    <col min="30" max="30" width="7.44140625" style="27" hidden="1" customWidth="1"/>
    <col min="31" max="31" width="8.21875" style="27" hidden="1" customWidth="1"/>
    <col min="32" max="46" width="7.44140625" style="27" hidden="1" customWidth="1"/>
    <col min="47" max="53" width="7.5546875" style="27" hidden="1" customWidth="1"/>
    <col min="54" max="54" width="7.5546875" style="27" customWidth="1"/>
    <col min="55" max="55" width="18.88671875" style="28" customWidth="1"/>
    <col min="56" max="56" width="6.21875" style="28" customWidth="1"/>
    <col min="57" max="90" width="12.77734375" style="396" customWidth="1"/>
    <col min="91" max="91" width="4.5546875" style="431" customWidth="1"/>
    <col min="92" max="95" width="4.5546875" style="27" customWidth="1"/>
    <col min="96" max="267" width="4.5546875" style="27"/>
    <col min="268" max="268" width="8.21875" style="27" customWidth="1"/>
    <col min="269" max="303" width="5.5546875" style="27" customWidth="1"/>
    <col min="304" max="351" width="4.5546875" style="27" customWidth="1"/>
    <col min="352" max="523" width="4.5546875" style="27"/>
    <col min="524" max="524" width="8.21875" style="27" customWidth="1"/>
    <col min="525" max="559" width="5.5546875" style="27" customWidth="1"/>
    <col min="560" max="607" width="4.5546875" style="27" customWidth="1"/>
    <col min="608" max="779" width="4.5546875" style="27"/>
    <col min="780" max="780" width="8.21875" style="27" customWidth="1"/>
    <col min="781" max="815" width="5.5546875" style="27" customWidth="1"/>
    <col min="816" max="863" width="4.5546875" style="27" customWidth="1"/>
    <col min="864" max="1035" width="4.5546875" style="27"/>
    <col min="1036" max="1036" width="8.21875" style="27" customWidth="1"/>
    <col min="1037" max="1071" width="5.5546875" style="27" customWidth="1"/>
    <col min="1072" max="1119" width="4.5546875" style="27" customWidth="1"/>
    <col min="1120" max="1291" width="4.5546875" style="27"/>
    <col min="1292" max="1292" width="8.21875" style="27" customWidth="1"/>
    <col min="1293" max="1327" width="5.5546875" style="27" customWidth="1"/>
    <col min="1328" max="1375" width="4.5546875" style="27" customWidth="1"/>
    <col min="1376" max="1547" width="4.5546875" style="27"/>
    <col min="1548" max="1548" width="8.21875" style="27" customWidth="1"/>
    <col min="1549" max="1583" width="5.5546875" style="27" customWidth="1"/>
    <col min="1584" max="1631" width="4.5546875" style="27" customWidth="1"/>
    <col min="1632" max="1803" width="4.5546875" style="27"/>
    <col min="1804" max="1804" width="8.21875" style="27" customWidth="1"/>
    <col min="1805" max="1839" width="5.5546875" style="27" customWidth="1"/>
    <col min="1840" max="1887" width="4.5546875" style="27" customWidth="1"/>
    <col min="1888" max="2059" width="4.5546875" style="27"/>
    <col min="2060" max="2060" width="8.21875" style="27" customWidth="1"/>
    <col min="2061" max="2095" width="5.5546875" style="27" customWidth="1"/>
    <col min="2096" max="2143" width="4.5546875" style="27" customWidth="1"/>
    <col min="2144" max="2315" width="4.5546875" style="27"/>
    <col min="2316" max="2316" width="8.21875" style="27" customWidth="1"/>
    <col min="2317" max="2351" width="5.5546875" style="27" customWidth="1"/>
    <col min="2352" max="2399" width="4.5546875" style="27" customWidth="1"/>
    <col min="2400" max="2571" width="4.5546875" style="27"/>
    <col min="2572" max="2572" width="8.21875" style="27" customWidth="1"/>
    <col min="2573" max="2607" width="5.5546875" style="27" customWidth="1"/>
    <col min="2608" max="2655" width="4.5546875" style="27" customWidth="1"/>
    <col min="2656" max="2827" width="4.5546875" style="27"/>
    <col min="2828" max="2828" width="8.21875" style="27" customWidth="1"/>
    <col min="2829" max="2863" width="5.5546875" style="27" customWidth="1"/>
    <col min="2864" max="2911" width="4.5546875" style="27" customWidth="1"/>
    <col min="2912" max="3083" width="4.5546875" style="27"/>
    <col min="3084" max="3084" width="8.21875" style="27" customWidth="1"/>
    <col min="3085" max="3119" width="5.5546875" style="27" customWidth="1"/>
    <col min="3120" max="3167" width="4.5546875" style="27" customWidth="1"/>
    <col min="3168" max="3339" width="4.5546875" style="27"/>
    <col min="3340" max="3340" width="8.21875" style="27" customWidth="1"/>
    <col min="3341" max="3375" width="5.5546875" style="27" customWidth="1"/>
    <col min="3376" max="3423" width="4.5546875" style="27" customWidth="1"/>
    <col min="3424" max="3595" width="4.5546875" style="27"/>
    <col min="3596" max="3596" width="8.21875" style="27" customWidth="1"/>
    <col min="3597" max="3631" width="5.5546875" style="27" customWidth="1"/>
    <col min="3632" max="3679" width="4.5546875" style="27" customWidth="1"/>
    <col min="3680" max="3851" width="4.5546875" style="27"/>
    <col min="3852" max="3852" width="8.21875" style="27" customWidth="1"/>
    <col min="3853" max="3887" width="5.5546875" style="27" customWidth="1"/>
    <col min="3888" max="3935" width="4.5546875" style="27" customWidth="1"/>
    <col min="3936" max="4107" width="4.5546875" style="27"/>
    <col min="4108" max="4108" width="8.21875" style="27" customWidth="1"/>
    <col min="4109" max="4143" width="5.5546875" style="27" customWidth="1"/>
    <col min="4144" max="4191" width="4.5546875" style="27" customWidth="1"/>
    <col min="4192" max="4363" width="4.5546875" style="27"/>
    <col min="4364" max="4364" width="8.21875" style="27" customWidth="1"/>
    <col min="4365" max="4399" width="5.5546875" style="27" customWidth="1"/>
    <col min="4400" max="4447" width="4.5546875" style="27" customWidth="1"/>
    <col min="4448" max="4619" width="4.5546875" style="27"/>
    <col min="4620" max="4620" width="8.21875" style="27" customWidth="1"/>
    <col min="4621" max="4655" width="5.5546875" style="27" customWidth="1"/>
    <col min="4656" max="4703" width="4.5546875" style="27" customWidth="1"/>
    <col min="4704" max="4875" width="4.5546875" style="27"/>
    <col min="4876" max="4876" width="8.21875" style="27" customWidth="1"/>
    <col min="4877" max="4911" width="5.5546875" style="27" customWidth="1"/>
    <col min="4912" max="4959" width="4.5546875" style="27" customWidth="1"/>
    <col min="4960" max="5131" width="4.5546875" style="27"/>
    <col min="5132" max="5132" width="8.21875" style="27" customWidth="1"/>
    <col min="5133" max="5167" width="5.5546875" style="27" customWidth="1"/>
    <col min="5168" max="5215" width="4.5546875" style="27" customWidth="1"/>
    <col min="5216" max="5387" width="4.5546875" style="27"/>
    <col min="5388" max="5388" width="8.21875" style="27" customWidth="1"/>
    <col min="5389" max="5423" width="5.5546875" style="27" customWidth="1"/>
    <col min="5424" max="5471" width="4.5546875" style="27" customWidth="1"/>
    <col min="5472" max="5643" width="4.5546875" style="27"/>
    <col min="5644" max="5644" width="8.21875" style="27" customWidth="1"/>
    <col min="5645" max="5679" width="5.5546875" style="27" customWidth="1"/>
    <col min="5680" max="5727" width="4.5546875" style="27" customWidth="1"/>
    <col min="5728" max="5899" width="4.5546875" style="27"/>
    <col min="5900" max="5900" width="8.21875" style="27" customWidth="1"/>
    <col min="5901" max="5935" width="5.5546875" style="27" customWidth="1"/>
    <col min="5936" max="5983" width="4.5546875" style="27" customWidth="1"/>
    <col min="5984" max="6155" width="4.5546875" style="27"/>
    <col min="6156" max="6156" width="8.21875" style="27" customWidth="1"/>
    <col min="6157" max="6191" width="5.5546875" style="27" customWidth="1"/>
    <col min="6192" max="6239" width="4.5546875" style="27" customWidth="1"/>
    <col min="6240" max="6411" width="4.5546875" style="27"/>
    <col min="6412" max="6412" width="8.21875" style="27" customWidth="1"/>
    <col min="6413" max="6447" width="5.5546875" style="27" customWidth="1"/>
    <col min="6448" max="6495" width="4.5546875" style="27" customWidth="1"/>
    <col min="6496" max="6667" width="4.5546875" style="27"/>
    <col min="6668" max="6668" width="8.21875" style="27" customWidth="1"/>
    <col min="6669" max="6703" width="5.5546875" style="27" customWidth="1"/>
    <col min="6704" max="6751" width="4.5546875" style="27" customWidth="1"/>
    <col min="6752" max="6923" width="4.5546875" style="27"/>
    <col min="6924" max="6924" width="8.21875" style="27" customWidth="1"/>
    <col min="6925" max="6959" width="5.5546875" style="27" customWidth="1"/>
    <col min="6960" max="7007" width="4.5546875" style="27" customWidth="1"/>
    <col min="7008" max="7179" width="4.5546875" style="27"/>
    <col min="7180" max="7180" width="8.21875" style="27" customWidth="1"/>
    <col min="7181" max="7215" width="5.5546875" style="27" customWidth="1"/>
    <col min="7216" max="7263" width="4.5546875" style="27" customWidth="1"/>
    <col min="7264" max="7435" width="4.5546875" style="27"/>
    <col min="7436" max="7436" width="8.21875" style="27" customWidth="1"/>
    <col min="7437" max="7471" width="5.5546875" style="27" customWidth="1"/>
    <col min="7472" max="7519" width="4.5546875" style="27" customWidth="1"/>
    <col min="7520" max="7691" width="4.5546875" style="27"/>
    <col min="7692" max="7692" width="8.21875" style="27" customWidth="1"/>
    <col min="7693" max="7727" width="5.5546875" style="27" customWidth="1"/>
    <col min="7728" max="7775" width="4.5546875" style="27" customWidth="1"/>
    <col min="7776" max="7947" width="4.5546875" style="27"/>
    <col min="7948" max="7948" width="8.21875" style="27" customWidth="1"/>
    <col min="7949" max="7983" width="5.5546875" style="27" customWidth="1"/>
    <col min="7984" max="8031" width="4.5546875" style="27" customWidth="1"/>
    <col min="8032" max="8203" width="4.5546875" style="27"/>
    <col min="8204" max="8204" width="8.21875" style="27" customWidth="1"/>
    <col min="8205" max="8239" width="5.5546875" style="27" customWidth="1"/>
    <col min="8240" max="8287" width="4.5546875" style="27" customWidth="1"/>
    <col min="8288" max="8459" width="4.5546875" style="27"/>
    <col min="8460" max="8460" width="8.21875" style="27" customWidth="1"/>
    <col min="8461" max="8495" width="5.5546875" style="27" customWidth="1"/>
    <col min="8496" max="8543" width="4.5546875" style="27" customWidth="1"/>
    <col min="8544" max="8715" width="4.5546875" style="27"/>
    <col min="8716" max="8716" width="8.21875" style="27" customWidth="1"/>
    <col min="8717" max="8751" width="5.5546875" style="27" customWidth="1"/>
    <col min="8752" max="8799" width="4.5546875" style="27" customWidth="1"/>
    <col min="8800" max="8971" width="4.5546875" style="27"/>
    <col min="8972" max="8972" width="8.21875" style="27" customWidth="1"/>
    <col min="8973" max="9007" width="5.5546875" style="27" customWidth="1"/>
    <col min="9008" max="9055" width="4.5546875" style="27" customWidth="1"/>
    <col min="9056" max="9227" width="4.5546875" style="27"/>
    <col min="9228" max="9228" width="8.21875" style="27" customWidth="1"/>
    <col min="9229" max="9263" width="5.5546875" style="27" customWidth="1"/>
    <col min="9264" max="9311" width="4.5546875" style="27" customWidth="1"/>
    <col min="9312" max="9483" width="4.5546875" style="27"/>
    <col min="9484" max="9484" width="8.21875" style="27" customWidth="1"/>
    <col min="9485" max="9519" width="5.5546875" style="27" customWidth="1"/>
    <col min="9520" max="9567" width="4.5546875" style="27" customWidth="1"/>
    <col min="9568" max="9739" width="4.5546875" style="27"/>
    <col min="9740" max="9740" width="8.21875" style="27" customWidth="1"/>
    <col min="9741" max="9775" width="5.5546875" style="27" customWidth="1"/>
    <col min="9776" max="9823" width="4.5546875" style="27" customWidth="1"/>
    <col min="9824" max="9995" width="4.5546875" style="27"/>
    <col min="9996" max="9996" width="8.21875" style="27" customWidth="1"/>
    <col min="9997" max="10031" width="5.5546875" style="27" customWidth="1"/>
    <col min="10032" max="10079" width="4.5546875" style="27" customWidth="1"/>
    <col min="10080" max="10251" width="4.5546875" style="27"/>
    <col min="10252" max="10252" width="8.21875" style="27" customWidth="1"/>
    <col min="10253" max="10287" width="5.5546875" style="27" customWidth="1"/>
    <col min="10288" max="10335" width="4.5546875" style="27" customWidth="1"/>
    <col min="10336" max="10507" width="4.5546875" style="27"/>
    <col min="10508" max="10508" width="8.21875" style="27" customWidth="1"/>
    <col min="10509" max="10543" width="5.5546875" style="27" customWidth="1"/>
    <col min="10544" max="10591" width="4.5546875" style="27" customWidth="1"/>
    <col min="10592" max="10763" width="4.5546875" style="27"/>
    <col min="10764" max="10764" width="8.21875" style="27" customWidth="1"/>
    <col min="10765" max="10799" width="5.5546875" style="27" customWidth="1"/>
    <col min="10800" max="10847" width="4.5546875" style="27" customWidth="1"/>
    <col min="10848" max="11019" width="4.5546875" style="27"/>
    <col min="11020" max="11020" width="8.21875" style="27" customWidth="1"/>
    <col min="11021" max="11055" width="5.5546875" style="27" customWidth="1"/>
    <col min="11056" max="11103" width="4.5546875" style="27" customWidth="1"/>
    <col min="11104" max="11275" width="4.5546875" style="27"/>
    <col min="11276" max="11276" width="8.21875" style="27" customWidth="1"/>
    <col min="11277" max="11311" width="5.5546875" style="27" customWidth="1"/>
    <col min="11312" max="11359" width="4.5546875" style="27" customWidth="1"/>
    <col min="11360" max="11531" width="4.5546875" style="27"/>
    <col min="11532" max="11532" width="8.21875" style="27" customWidth="1"/>
    <col min="11533" max="11567" width="5.5546875" style="27" customWidth="1"/>
    <col min="11568" max="11615" width="4.5546875" style="27" customWidth="1"/>
    <col min="11616" max="11787" width="4.5546875" style="27"/>
    <col min="11788" max="11788" width="8.21875" style="27" customWidth="1"/>
    <col min="11789" max="11823" width="5.5546875" style="27" customWidth="1"/>
    <col min="11824" max="11871" width="4.5546875" style="27" customWidth="1"/>
    <col min="11872" max="12043" width="4.5546875" style="27"/>
    <col min="12044" max="12044" width="8.21875" style="27" customWidth="1"/>
    <col min="12045" max="12079" width="5.5546875" style="27" customWidth="1"/>
    <col min="12080" max="12127" width="4.5546875" style="27" customWidth="1"/>
    <col min="12128" max="12299" width="4.5546875" style="27"/>
    <col min="12300" max="12300" width="8.21875" style="27" customWidth="1"/>
    <col min="12301" max="12335" width="5.5546875" style="27" customWidth="1"/>
    <col min="12336" max="12383" width="4.5546875" style="27" customWidth="1"/>
    <col min="12384" max="12555" width="4.5546875" style="27"/>
    <col min="12556" max="12556" width="8.21875" style="27" customWidth="1"/>
    <col min="12557" max="12591" width="5.5546875" style="27" customWidth="1"/>
    <col min="12592" max="12639" width="4.5546875" style="27" customWidth="1"/>
    <col min="12640" max="12811" width="4.5546875" style="27"/>
    <col min="12812" max="12812" width="8.21875" style="27" customWidth="1"/>
    <col min="12813" max="12847" width="5.5546875" style="27" customWidth="1"/>
    <col min="12848" max="12895" width="4.5546875" style="27" customWidth="1"/>
    <col min="12896" max="13067" width="4.5546875" style="27"/>
    <col min="13068" max="13068" width="8.21875" style="27" customWidth="1"/>
    <col min="13069" max="13103" width="5.5546875" style="27" customWidth="1"/>
    <col min="13104" max="13151" width="4.5546875" style="27" customWidth="1"/>
    <col min="13152" max="13323" width="4.5546875" style="27"/>
    <col min="13324" max="13324" width="8.21875" style="27" customWidth="1"/>
    <col min="13325" max="13359" width="5.5546875" style="27" customWidth="1"/>
    <col min="13360" max="13407" width="4.5546875" style="27" customWidth="1"/>
    <col min="13408" max="13579" width="4.5546875" style="27"/>
    <col min="13580" max="13580" width="8.21875" style="27" customWidth="1"/>
    <col min="13581" max="13615" width="5.5546875" style="27" customWidth="1"/>
    <col min="13616" max="13663" width="4.5546875" style="27" customWidth="1"/>
    <col min="13664" max="13835" width="4.5546875" style="27"/>
    <col min="13836" max="13836" width="8.21875" style="27" customWidth="1"/>
    <col min="13837" max="13871" width="5.5546875" style="27" customWidth="1"/>
    <col min="13872" max="13919" width="4.5546875" style="27" customWidth="1"/>
    <col min="13920" max="14091" width="4.5546875" style="27"/>
    <col min="14092" max="14092" width="8.21875" style="27" customWidth="1"/>
    <col min="14093" max="14127" width="5.5546875" style="27" customWidth="1"/>
    <col min="14128" max="14175" width="4.5546875" style="27" customWidth="1"/>
    <col min="14176" max="14347" width="4.5546875" style="27"/>
    <col min="14348" max="14348" width="8.21875" style="27" customWidth="1"/>
    <col min="14349" max="14383" width="5.5546875" style="27" customWidth="1"/>
    <col min="14384" max="14431" width="4.5546875" style="27" customWidth="1"/>
    <col min="14432" max="14603" width="4.5546875" style="27"/>
    <col min="14604" max="14604" width="8.21875" style="27" customWidth="1"/>
    <col min="14605" max="14639" width="5.5546875" style="27" customWidth="1"/>
    <col min="14640" max="14687" width="4.5546875" style="27" customWidth="1"/>
    <col min="14688" max="14859" width="4.5546875" style="27"/>
    <col min="14860" max="14860" width="8.21875" style="27" customWidth="1"/>
    <col min="14861" max="14895" width="5.5546875" style="27" customWidth="1"/>
    <col min="14896" max="14943" width="4.5546875" style="27" customWidth="1"/>
    <col min="14944" max="15115" width="4.5546875" style="27"/>
    <col min="15116" max="15116" width="8.21875" style="27" customWidth="1"/>
    <col min="15117" max="15151" width="5.5546875" style="27" customWidth="1"/>
    <col min="15152" max="15199" width="4.5546875" style="27" customWidth="1"/>
    <col min="15200" max="15371" width="4.5546875" style="27"/>
    <col min="15372" max="15372" width="8.21875" style="27" customWidth="1"/>
    <col min="15373" max="15407" width="5.5546875" style="27" customWidth="1"/>
    <col min="15408" max="15455" width="4.5546875" style="27" customWidth="1"/>
    <col min="15456" max="15627" width="4.5546875" style="27"/>
    <col min="15628" max="15628" width="8.21875" style="27" customWidth="1"/>
    <col min="15629" max="15663" width="5.5546875" style="27" customWidth="1"/>
    <col min="15664" max="15711" width="4.5546875" style="27" customWidth="1"/>
    <col min="15712" max="15883" width="4.5546875" style="27"/>
    <col min="15884" max="15884" width="8.21875" style="27" customWidth="1"/>
    <col min="15885" max="15919" width="5.5546875" style="27" customWidth="1"/>
    <col min="15920" max="15967" width="4.5546875" style="27" customWidth="1"/>
    <col min="15968" max="16139" width="4.5546875" style="27"/>
    <col min="16140" max="16140" width="8.21875" style="27" customWidth="1"/>
    <col min="16141" max="16175" width="5.5546875" style="27" customWidth="1"/>
    <col min="16176" max="16223" width="4.5546875" style="27" customWidth="1"/>
    <col min="16224" max="16384" width="4.5546875" style="27"/>
  </cols>
  <sheetData>
    <row r="1" spans="1:11" ht="21.75" customHeight="1">
      <c r="A1" s="624" t="s">
        <v>151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</row>
    <row r="2" spans="1:11" ht="21.75" customHeight="1">
      <c r="A2" s="361">
        <v>1</v>
      </c>
      <c r="B2" s="264">
        <v>3</v>
      </c>
      <c r="C2" s="264">
        <v>4</v>
      </c>
      <c r="D2" s="264"/>
      <c r="E2" s="264"/>
      <c r="F2" s="264"/>
      <c r="G2" s="264"/>
      <c r="H2" s="264"/>
      <c r="I2" s="264"/>
      <c r="J2" s="264"/>
      <c r="K2" s="271" t="s">
        <v>140</v>
      </c>
    </row>
    <row r="3" spans="1:11" ht="21.75" customHeight="1">
      <c r="A3" s="361">
        <v>2</v>
      </c>
      <c r="B3" s="264"/>
      <c r="C3" s="264"/>
      <c r="D3" s="264"/>
      <c r="E3" s="264"/>
      <c r="F3" s="264"/>
      <c r="G3" s="264"/>
      <c r="H3" s="264"/>
      <c r="I3" s="264"/>
      <c r="J3" s="264"/>
      <c r="K3" s="271" t="s">
        <v>140</v>
      </c>
    </row>
    <row r="4" spans="1:11" ht="21.75" customHeight="1">
      <c r="A4" s="361">
        <v>3</v>
      </c>
      <c r="B4" s="264"/>
      <c r="C4" s="264"/>
      <c r="D4" s="264"/>
      <c r="E4" s="264"/>
      <c r="F4" s="264"/>
      <c r="G4" s="264"/>
      <c r="H4" s="264"/>
      <c r="I4" s="264"/>
      <c r="J4" s="264"/>
      <c r="K4" s="271" t="s">
        <v>140</v>
      </c>
    </row>
    <row r="5" spans="1:11" ht="21.75" customHeight="1">
      <c r="A5" s="361">
        <v>4</v>
      </c>
      <c r="B5" s="264"/>
      <c r="C5" s="264"/>
      <c r="D5" s="264"/>
      <c r="E5" s="264"/>
      <c r="F5" s="264"/>
      <c r="G5" s="264"/>
      <c r="H5" s="264"/>
      <c r="I5" s="264"/>
      <c r="J5" s="264"/>
      <c r="K5" s="271" t="s">
        <v>140</v>
      </c>
    </row>
    <row r="6" spans="1:11" ht="21.75" customHeight="1">
      <c r="A6" s="361">
        <v>5</v>
      </c>
      <c r="B6" s="264"/>
      <c r="C6" s="264"/>
      <c r="D6" s="264"/>
      <c r="E6" s="264"/>
      <c r="F6" s="264"/>
      <c r="G6" s="264"/>
      <c r="H6" s="264"/>
      <c r="I6" s="264"/>
      <c r="J6" s="264"/>
      <c r="K6" s="271" t="s">
        <v>140</v>
      </c>
    </row>
    <row r="7" spans="1:11" ht="21.75" customHeight="1">
      <c r="A7" s="361">
        <v>6</v>
      </c>
      <c r="B7" s="264"/>
      <c r="C7" s="264"/>
      <c r="D7" s="264"/>
      <c r="E7" s="264"/>
      <c r="F7" s="264"/>
      <c r="G7" s="264"/>
      <c r="H7" s="264"/>
      <c r="I7" s="264"/>
      <c r="J7" s="264"/>
      <c r="K7" s="271" t="s">
        <v>140</v>
      </c>
    </row>
    <row r="8" spans="1:11" ht="21.75" customHeight="1">
      <c r="A8" s="361">
        <v>7</v>
      </c>
      <c r="B8" s="264"/>
      <c r="C8" s="264"/>
      <c r="D8" s="264"/>
      <c r="E8" s="264"/>
      <c r="F8" s="264"/>
      <c r="G8" s="264"/>
      <c r="H8" s="264"/>
      <c r="I8" s="264"/>
      <c r="J8" s="264"/>
      <c r="K8" s="271" t="s">
        <v>140</v>
      </c>
    </row>
    <row r="9" spans="1:11" ht="21.75" customHeight="1">
      <c r="A9" s="361">
        <v>8</v>
      </c>
      <c r="B9" s="264"/>
      <c r="C9" s="264"/>
      <c r="D9" s="264"/>
      <c r="E9" s="264"/>
      <c r="F9" s="264"/>
      <c r="G9" s="264"/>
      <c r="H9" s="264"/>
      <c r="I9" s="264"/>
      <c r="J9" s="264"/>
      <c r="K9" s="271" t="s">
        <v>140</v>
      </c>
    </row>
    <row r="10" spans="1:11" ht="21.75" customHeight="1">
      <c r="A10" s="361">
        <v>9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71" t="s">
        <v>140</v>
      </c>
    </row>
    <row r="11" spans="1:11" ht="21.75" customHeight="1">
      <c r="A11" s="361">
        <v>10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71" t="s">
        <v>140</v>
      </c>
    </row>
    <row r="12" spans="1:11" ht="21.75" customHeight="1">
      <c r="A12" s="625" t="s">
        <v>152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</row>
    <row r="13" spans="1:11" ht="21.75" customHeight="1">
      <c r="A13" s="361">
        <v>1</v>
      </c>
      <c r="B13" s="264">
        <v>1</v>
      </c>
      <c r="C13" s="264">
        <v>3</v>
      </c>
      <c r="D13" s="264"/>
      <c r="E13" s="264"/>
      <c r="F13" s="264"/>
      <c r="G13" s="264"/>
      <c r="H13" s="264"/>
      <c r="I13" s="264"/>
      <c r="J13" s="264"/>
      <c r="K13" s="271" t="s">
        <v>135</v>
      </c>
    </row>
    <row r="14" spans="1:11" ht="21.75" customHeight="1">
      <c r="A14" s="361">
        <v>2</v>
      </c>
      <c r="B14" s="264">
        <v>2</v>
      </c>
      <c r="C14" s="264">
        <v>4</v>
      </c>
      <c r="D14" s="264">
        <v>6</v>
      </c>
      <c r="E14" s="264">
        <v>7</v>
      </c>
      <c r="F14" s="264"/>
      <c r="G14" s="264"/>
      <c r="H14" s="264"/>
      <c r="I14" s="264"/>
      <c r="J14" s="264"/>
      <c r="K14" s="271" t="s">
        <v>135</v>
      </c>
    </row>
    <row r="15" spans="1:11" ht="21.75" customHeight="1">
      <c r="A15" s="361">
        <v>3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71" t="s">
        <v>135</v>
      </c>
    </row>
    <row r="16" spans="1:11" ht="21.75" customHeight="1">
      <c r="A16" s="361">
        <v>4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71" t="s">
        <v>135</v>
      </c>
    </row>
    <row r="17" spans="1:91" ht="21.75" customHeight="1">
      <c r="A17" s="361">
        <v>5</v>
      </c>
      <c r="B17" s="264"/>
      <c r="C17" s="264"/>
      <c r="D17" s="264"/>
      <c r="E17" s="264"/>
      <c r="F17" s="264"/>
      <c r="G17" s="264"/>
      <c r="H17" s="264"/>
      <c r="I17" s="264"/>
      <c r="J17" s="264"/>
      <c r="K17" s="271" t="s">
        <v>135</v>
      </c>
    </row>
    <row r="18" spans="1:91" ht="21.75" customHeight="1">
      <c r="A18" s="361">
        <v>6</v>
      </c>
      <c r="B18" s="264"/>
      <c r="C18" s="264"/>
      <c r="D18" s="264"/>
      <c r="E18" s="264"/>
      <c r="F18" s="264"/>
      <c r="G18" s="264"/>
      <c r="H18" s="264"/>
      <c r="I18" s="264"/>
      <c r="J18" s="264"/>
      <c r="K18" s="271" t="s">
        <v>135</v>
      </c>
    </row>
    <row r="19" spans="1:91" ht="21.75" customHeight="1">
      <c r="A19" s="361">
        <v>7</v>
      </c>
      <c r="B19" s="264"/>
      <c r="C19" s="264"/>
      <c r="D19" s="264"/>
      <c r="E19" s="264"/>
      <c r="F19" s="264"/>
      <c r="G19" s="264"/>
      <c r="H19" s="264"/>
      <c r="I19" s="264"/>
      <c r="J19" s="264"/>
      <c r="K19" s="271" t="s">
        <v>135</v>
      </c>
    </row>
    <row r="20" spans="1:91" ht="21.75" customHeight="1">
      <c r="A20" s="361">
        <v>8</v>
      </c>
      <c r="B20" s="264"/>
      <c r="C20" s="264"/>
      <c r="D20" s="264"/>
      <c r="E20" s="264"/>
      <c r="F20" s="264"/>
      <c r="G20" s="264"/>
      <c r="H20" s="264"/>
      <c r="I20" s="264"/>
      <c r="J20" s="264"/>
      <c r="K20" s="271" t="s">
        <v>135</v>
      </c>
    </row>
    <row r="21" spans="1:91" ht="21.75" customHeight="1">
      <c r="A21" s="361">
        <v>9</v>
      </c>
      <c r="B21" s="264"/>
      <c r="C21" s="264"/>
      <c r="D21" s="264"/>
      <c r="E21" s="264"/>
      <c r="F21" s="264"/>
      <c r="G21" s="264"/>
      <c r="H21" s="264"/>
      <c r="I21" s="264"/>
      <c r="J21" s="264"/>
      <c r="K21" s="271" t="s">
        <v>135</v>
      </c>
    </row>
    <row r="22" spans="1:91" ht="21.75" customHeight="1">
      <c r="A22" s="361">
        <v>10</v>
      </c>
      <c r="B22" s="264"/>
      <c r="C22" s="264"/>
      <c r="D22" s="264"/>
      <c r="E22" s="264"/>
      <c r="F22" s="264"/>
      <c r="G22" s="264"/>
      <c r="H22" s="264"/>
      <c r="I22" s="264"/>
      <c r="J22" s="264"/>
      <c r="K22" s="271" t="s">
        <v>135</v>
      </c>
    </row>
    <row r="23" spans="1:91" ht="21.75" customHeight="1">
      <c r="BO23" s="427"/>
      <c r="BP23" s="427"/>
      <c r="BQ23" s="427"/>
      <c r="BR23" s="427"/>
    </row>
    <row r="24" spans="1:91" s="263" customFormat="1" ht="21.75" customHeight="1" thickBot="1">
      <c r="A24" s="626">
        <f>A2</f>
        <v>1</v>
      </c>
      <c r="B24" s="626"/>
      <c r="C24" s="626"/>
      <c r="D24" s="626"/>
      <c r="E24" s="626"/>
      <c r="F24" s="627"/>
      <c r="G24" s="627"/>
      <c r="H24" s="627"/>
      <c r="I24" s="627"/>
      <c r="J24" s="628" t="s">
        <v>134</v>
      </c>
      <c r="K24" s="628"/>
      <c r="L24" s="400" t="str">
        <f>+K2</f>
        <v>X - X</v>
      </c>
      <c r="BC24" s="28"/>
      <c r="BD24" s="28"/>
      <c r="BE24" s="396"/>
      <c r="BF24" s="397"/>
      <c r="BG24" s="396"/>
      <c r="BH24" s="396"/>
      <c r="BI24" s="396"/>
      <c r="BJ24" s="396"/>
      <c r="BK24" s="396"/>
      <c r="BL24" s="396"/>
      <c r="BM24" s="396"/>
      <c r="BN24" s="396"/>
      <c r="BO24" s="397"/>
      <c r="BP24" s="397"/>
      <c r="BQ24" s="397"/>
      <c r="BR24" s="397"/>
      <c r="BS24" s="397"/>
      <c r="BT24" s="397"/>
      <c r="BU24" s="397"/>
      <c r="BV24" s="397"/>
      <c r="BW24" s="397"/>
      <c r="BX24" s="397"/>
      <c r="BY24" s="397"/>
      <c r="BZ24" s="397"/>
      <c r="CA24" s="397"/>
      <c r="CB24" s="397"/>
      <c r="CC24" s="397"/>
      <c r="CD24" s="397"/>
      <c r="CE24" s="397"/>
      <c r="CF24" s="397"/>
      <c r="CG24" s="397"/>
      <c r="CH24" s="397"/>
      <c r="CI24" s="397"/>
      <c r="CJ24" s="397"/>
      <c r="CK24" s="397"/>
      <c r="CL24" s="397"/>
      <c r="CM24" s="472"/>
    </row>
    <row r="25" spans="1:91" s="263" customFormat="1" ht="21.75" customHeight="1" thickTop="1">
      <c r="A25" s="686" t="str">
        <f>+Espesor!$J$3</f>
        <v>Techo</v>
      </c>
      <c r="B25" s="686"/>
      <c r="C25" s="688" t="s">
        <v>136</v>
      </c>
      <c r="D25" s="688"/>
      <c r="E25" s="264">
        <f>IF(B2="","",B2)</f>
        <v>3</v>
      </c>
      <c r="F25" s="264">
        <f t="shared" ref="F25:H25" si="0">IF(C2="","",C2)</f>
        <v>4</v>
      </c>
      <c r="G25" s="264" t="str">
        <f t="shared" si="0"/>
        <v/>
      </c>
      <c r="H25" s="264" t="str">
        <f t="shared" si="0"/>
        <v/>
      </c>
      <c r="I25" s="264" t="str">
        <f t="shared" ref="I25" si="1">IF(F2="","",F2)</f>
        <v/>
      </c>
      <c r="J25" s="264" t="str">
        <f t="shared" ref="J25" si="2">IF(G2="","",G2)</f>
        <v/>
      </c>
      <c r="K25" s="264" t="str">
        <f t="shared" ref="K25" si="3">IF(H2="","",H2)</f>
        <v/>
      </c>
      <c r="L25" s="264" t="str">
        <f t="shared" ref="L25" si="4">IF(I2="","",I2)</f>
        <v/>
      </c>
      <c r="M25" s="264" t="str">
        <f t="shared" ref="M25" si="5">IF(J2="","",J2)</f>
        <v/>
      </c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BC25" s="28"/>
      <c r="BD25" s="28"/>
      <c r="BE25" s="28"/>
      <c r="BF25" s="28"/>
      <c r="BG25" s="28"/>
      <c r="BH25" s="396"/>
      <c r="BI25" s="396"/>
      <c r="BJ25" s="396"/>
      <c r="BK25" s="396"/>
      <c r="BL25" s="396"/>
      <c r="BM25" s="396"/>
      <c r="BN25" s="396"/>
      <c r="BO25" s="397"/>
      <c r="BP25" s="397"/>
      <c r="BQ25" s="397"/>
      <c r="BR25" s="397"/>
      <c r="BS25" s="397"/>
      <c r="BT25" s="397"/>
      <c r="BU25" s="397"/>
      <c r="BV25" s="397"/>
      <c r="BW25" s="397"/>
      <c r="BX25" s="397"/>
      <c r="BY25" s="397"/>
      <c r="BZ25" s="397"/>
      <c r="CA25" s="397"/>
      <c r="CB25" s="397"/>
      <c r="CC25" s="397"/>
      <c r="CD25" s="397"/>
      <c r="CE25" s="397"/>
      <c r="CF25" s="397"/>
      <c r="CG25" s="397"/>
      <c r="CH25" s="397"/>
      <c r="CI25" s="397"/>
      <c r="CJ25" s="397"/>
      <c r="CK25" s="397"/>
      <c r="CL25" s="397"/>
      <c r="CM25" s="472"/>
    </row>
    <row r="26" spans="1:91" ht="21.75" customHeight="1"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D26" s="624" t="s">
        <v>64</v>
      </c>
      <c r="AE26" s="624"/>
      <c r="AF26" s="624"/>
      <c r="AG26" s="624"/>
      <c r="AH26" s="624"/>
      <c r="AI26" s="624"/>
      <c r="AJ26" s="624"/>
      <c r="AK26" s="624"/>
      <c r="AL26" s="624"/>
      <c r="BE26" s="28"/>
      <c r="BF26" s="28"/>
      <c r="BG26" s="28"/>
    </row>
    <row r="27" spans="1:91" s="242" customFormat="1" ht="21.75" customHeight="1" thickBot="1">
      <c r="A27" s="360"/>
      <c r="B27" s="682">
        <f>IF($E25="","",$E25)</f>
        <v>3</v>
      </c>
      <c r="C27" s="682"/>
      <c r="D27" s="682"/>
      <c r="E27" s="682">
        <f>IF($F25="","",$F25)</f>
        <v>4</v>
      </c>
      <c r="F27" s="682"/>
      <c r="G27" s="682"/>
      <c r="H27" s="682" t="str">
        <f>IF($G25="","",$G25)</f>
        <v/>
      </c>
      <c r="I27" s="682"/>
      <c r="J27" s="682"/>
      <c r="K27" s="682" t="str">
        <f>IF($H25="","",$H25)</f>
        <v/>
      </c>
      <c r="L27" s="682"/>
      <c r="M27" s="682"/>
      <c r="N27" s="682" t="str">
        <f>IF($I25="","",$I25)</f>
        <v/>
      </c>
      <c r="O27" s="682"/>
      <c r="P27" s="682"/>
      <c r="Q27" s="682" t="str">
        <f>IF($J25="","",$J25)</f>
        <v/>
      </c>
      <c r="R27" s="682"/>
      <c r="S27" s="682"/>
      <c r="T27" s="682" t="str">
        <f>IF($K25="","",$K25)</f>
        <v/>
      </c>
      <c r="U27" s="682"/>
      <c r="V27" s="682"/>
      <c r="W27" s="682" t="str">
        <f>IF($L25="","",$L25)</f>
        <v/>
      </c>
      <c r="X27" s="682"/>
      <c r="Y27" s="682"/>
      <c r="Z27" s="682" t="str">
        <f>IF($M25="","",$M25)</f>
        <v/>
      </c>
      <c r="AA27" s="682"/>
      <c r="AB27" s="682"/>
      <c r="AC27" s="420"/>
      <c r="AD27" s="287">
        <f>+A2</f>
        <v>1</v>
      </c>
      <c r="AE27" s="325">
        <f>+IF(B2="","",B2)</f>
        <v>3</v>
      </c>
      <c r="AF27" s="325">
        <f>+IF(C2="","",C2)</f>
        <v>4</v>
      </c>
      <c r="AG27" s="325" t="str">
        <f t="shared" ref="AG27:AM27" si="6">+IF(D2="","",D2)</f>
        <v/>
      </c>
      <c r="AH27" s="325" t="str">
        <f t="shared" si="6"/>
        <v/>
      </c>
      <c r="AI27" s="325" t="str">
        <f t="shared" si="6"/>
        <v/>
      </c>
      <c r="AJ27" s="325" t="str">
        <f t="shared" si="6"/>
        <v/>
      </c>
      <c r="AK27" s="325" t="str">
        <f t="shared" si="6"/>
        <v/>
      </c>
      <c r="AL27" s="325" t="str">
        <f t="shared" si="6"/>
        <v/>
      </c>
      <c r="AM27" s="325" t="str">
        <f t="shared" si="6"/>
        <v/>
      </c>
      <c r="BC27" s="420"/>
      <c r="BD27" s="428" t="s">
        <v>163</v>
      </c>
      <c r="BE27" s="428">
        <f>+'Moms de Empt'!P3</f>
        <v>1</v>
      </c>
      <c r="BF27" s="428">
        <f>+'Moms de Empt'!P4</f>
        <v>2</v>
      </c>
      <c r="BG27" s="428">
        <f>+'Moms de Empt'!P5</f>
        <v>3</v>
      </c>
      <c r="BH27" s="428">
        <f>+'Moms de Empt'!P6</f>
        <v>4</v>
      </c>
      <c r="BI27" s="428">
        <f>+'Moms de Empt'!P7</f>
        <v>5</v>
      </c>
      <c r="BJ27" s="428">
        <f>+'Moms de Empt'!P8</f>
        <v>6</v>
      </c>
      <c r="BK27" s="428">
        <f>+'Moms de Empt'!P9</f>
        <v>7</v>
      </c>
      <c r="BL27" s="428">
        <f>+'Moms de Empt'!P10</f>
        <v>8</v>
      </c>
      <c r="BM27" s="428">
        <f>+'Moms de Empt'!P11</f>
        <v>9</v>
      </c>
      <c r="BN27" s="390">
        <f>+'Moms de Empt'!P12</f>
        <v>10</v>
      </c>
      <c r="BO27" s="390">
        <f>+'Moms de Empt'!P13</f>
        <v>11</v>
      </c>
      <c r="BP27" s="390">
        <f>+'Moms de Empt'!P14</f>
        <v>12</v>
      </c>
      <c r="BQ27" s="390">
        <f>+'Moms de Empt'!P15</f>
        <v>13</v>
      </c>
      <c r="BR27" s="390">
        <f>+'Moms de Empt'!P16</f>
        <v>14</v>
      </c>
      <c r="BS27" s="390">
        <f>+'Moms de Empt'!P17</f>
        <v>15</v>
      </c>
      <c r="BT27" s="390">
        <f>+'Moms de Empt'!P18</f>
        <v>16</v>
      </c>
      <c r="BU27" s="390">
        <f>+'Moms de Empt'!P19</f>
        <v>17</v>
      </c>
      <c r="BV27" s="390">
        <f>+'Moms de Empt'!P20</f>
        <v>18</v>
      </c>
      <c r="BW27" s="390">
        <f>+'Moms de Empt'!P21</f>
        <v>19</v>
      </c>
      <c r="BX27" s="390">
        <f>+'Moms de Empt'!P22</f>
        <v>20</v>
      </c>
      <c r="BY27" s="390">
        <f>+'Moms de Empt'!P23</f>
        <v>21</v>
      </c>
      <c r="BZ27" s="390">
        <f>+'Moms de Empt'!P24</f>
        <v>22</v>
      </c>
      <c r="CA27" s="390">
        <f>+'Moms de Empt'!P25</f>
        <v>23</v>
      </c>
      <c r="CB27" s="390">
        <f>+'Moms de Empt'!P26</f>
        <v>24</v>
      </c>
      <c r="CC27" s="390">
        <f>+'Moms de Empt'!P27</f>
        <v>25</v>
      </c>
      <c r="CD27" s="390">
        <f>+'Moms de Empt'!P28</f>
        <v>26</v>
      </c>
      <c r="CE27" s="390">
        <f>+'Moms de Empt'!P29</f>
        <v>27</v>
      </c>
      <c r="CF27" s="390">
        <f>+'Moms de Empt'!P30</f>
        <v>28</v>
      </c>
      <c r="CG27" s="390">
        <f>+'Moms de Empt'!P31</f>
        <v>29</v>
      </c>
      <c r="CH27" s="390">
        <f>+'Moms de Empt'!P32</f>
        <v>30</v>
      </c>
      <c r="CI27" s="390">
        <f>+'Moms de Empt'!P33</f>
        <v>31</v>
      </c>
      <c r="CJ27" s="390">
        <f>+'Moms de Empt'!P34</f>
        <v>32</v>
      </c>
      <c r="CK27" s="390">
        <f>+'Moms de Empt'!P35</f>
        <v>33</v>
      </c>
      <c r="CL27" s="390">
        <f>+'Moms de Empt'!P36</f>
        <v>34</v>
      </c>
      <c r="CM27" s="473"/>
    </row>
    <row r="28" spans="1:91" s="245" customFormat="1" ht="21.75" customHeight="1" thickBot="1">
      <c r="A28" s="413" t="s">
        <v>3</v>
      </c>
      <c r="B28" s="683">
        <f>IF(B27="","",IF(K2="X - X",VLOOKUP(B27,Espesor!$C$8:$E$41,2,0),VLOOKUP(B27,Espesor!$C$8:$E$41,3,0)))</f>
        <v>7.55</v>
      </c>
      <c r="C28" s="684"/>
      <c r="D28" s="685"/>
      <c r="E28" s="683">
        <f>IF(E27="","",IF(K2="X - X",VLOOKUP(E27,Espesor!$C$8:$E$41,2,0),VLOOKUP(E27,Espesor!$C$8:$E$41,3,0)))</f>
        <v>6.1</v>
      </c>
      <c r="F28" s="684"/>
      <c r="G28" s="685"/>
      <c r="H28" s="683" t="str">
        <f>IF(H27="","",IF(K2="X - X",VLOOKUP(H27,Espesor!$C$8:$E$41,2,0),VLOOKUP(H27,Espesor!$C$8:$E$41,3,0)))</f>
        <v/>
      </c>
      <c r="I28" s="684"/>
      <c r="J28" s="685"/>
      <c r="K28" s="683" t="str">
        <f>IF(K27="","",IF(K2="X - X",VLOOKUP(K27,Espesor!$C$8:$E$41,2,0),VLOOKUP(K27,Espesor!$C$8:$E$41,3,0)))</f>
        <v/>
      </c>
      <c r="L28" s="684"/>
      <c r="M28" s="685"/>
      <c r="N28" s="683" t="str">
        <f>IF(N27="","",IF(K2="X - X",VLOOKUP(N27,Espesor!$C$8:$E$41,2,0),VLOOKUP(N27,Espesor!$C$8:$E$41,3,0)))</f>
        <v/>
      </c>
      <c r="O28" s="684"/>
      <c r="P28" s="685"/>
      <c r="Q28" s="683" t="str">
        <f>IF(Q27="","",IF(K2="X - X",VLOOKUP(Q27,Espesor!$C$8:$E$41,2,0),VLOOKUP(Q27,Espesor!$C$8:$E$41,3,0)))</f>
        <v/>
      </c>
      <c r="R28" s="684"/>
      <c r="S28" s="685"/>
      <c r="T28" s="683" t="str">
        <f>IF(T27="","",IF(K2="X - X",VLOOKUP(T27,Espesor!$C$8:$E$41,2,0),VLOOKUP(T27,Espesor!$C$8:$E$41,3,0)))</f>
        <v/>
      </c>
      <c r="U28" s="684"/>
      <c r="V28" s="685"/>
      <c r="W28" s="683" t="str">
        <f>IF(W27="","",IF(K2="X - X",VLOOKUP(W27,Espesor!$C$8:$E$41,2,0),VLOOKUP(W27,Espesor!$C$8:$E$41,3,0)))</f>
        <v/>
      </c>
      <c r="X28" s="684"/>
      <c r="Y28" s="685"/>
      <c r="Z28" s="683" t="str">
        <f>IF(Z27="","",IF(K2="X - X",VLOOKUP(Z27,Espesor!$C$8:$E$41,2,0),VLOOKUP(Z27,Espesor!$C$8:$E$41,3,0)))</f>
        <v/>
      </c>
      <c r="AA28" s="684"/>
      <c r="AB28" s="685"/>
      <c r="AC28" s="380"/>
      <c r="AD28" s="425" t="s">
        <v>4</v>
      </c>
      <c r="AE28" s="322" t="s">
        <v>3</v>
      </c>
      <c r="AF28" s="426" t="s">
        <v>138</v>
      </c>
      <c r="AG28" s="637" t="s">
        <v>139</v>
      </c>
      <c r="AH28" s="638"/>
      <c r="AI28" s="638"/>
      <c r="AJ28" s="639"/>
      <c r="AK28" s="642" t="s">
        <v>142</v>
      </c>
      <c r="AL28" s="644"/>
      <c r="AM28" s="637" t="s">
        <v>143</v>
      </c>
      <c r="AN28" s="639"/>
      <c r="AO28" s="642" t="s">
        <v>144</v>
      </c>
      <c r="AP28" s="643"/>
      <c r="AQ28" s="643"/>
      <c r="AR28" s="644"/>
      <c r="AS28" s="642" t="s">
        <v>145</v>
      </c>
      <c r="AT28" s="643"/>
      <c r="AU28" s="644"/>
      <c r="AV28" s="645" t="s">
        <v>162</v>
      </c>
      <c r="AW28" s="646"/>
      <c r="AX28" s="646"/>
      <c r="AY28" s="646"/>
      <c r="AZ28" s="646"/>
      <c r="BA28" s="647"/>
      <c r="BC28" s="422">
        <f>+A24</f>
        <v>1</v>
      </c>
      <c r="BD28" s="398" t="s">
        <v>153</v>
      </c>
      <c r="BE28" s="391">
        <f>IF(BE27=$B$27,$B$39,IF(BE27=$E$27,$E$39,IF(BE27=$H$27,$H$39,IF(BE27=$K$27,$K$39,IF(BE27=$N$27,$N$39,IF(BE27=$Q$27,$Q$39,IF(BE27=$T$27,$T$39,IF(BE27=$W$27,$W$39,IF(BE27=$Z$27,$Z$39,0)))))))))</f>
        <v>0</v>
      </c>
      <c r="BF28" s="391">
        <f t="shared" ref="BF28:BI28" si="7">IF(BF27=$B$27,$B$39,IF(BF27=$E$27,$E$39,IF(BF27=$H$27,$H$39,IF(BF27=$K$27,$K$39,IF(BF27=$N$27,$N$39,IF(BF27=$Q$27,$Q$39,IF(BF27=$T$27,$T$39,IF(BF27=$W$27,$W$39,IF(BF27=$Z$27,$Z$39,0)))))))))</f>
        <v>0</v>
      </c>
      <c r="BG28" s="391">
        <f t="shared" si="7"/>
        <v>0.89508235000000003</v>
      </c>
      <c r="BH28" s="391">
        <f t="shared" si="7"/>
        <v>0.19253234999999996</v>
      </c>
      <c r="BI28" s="391">
        <f t="shared" si="7"/>
        <v>0</v>
      </c>
      <c r="BJ28" s="391">
        <f t="shared" ref="BJ28" si="8">IF(BJ27=$B$27,$B$39,IF(BJ27=$E$27,$E$39,IF(BJ27=$H$27,$H$39,IF(BJ27=$K$27,$K$39,IF(BJ27=$N$27,$N$39,IF(BJ27=$Q$27,$Q$39,IF(BJ27=$T$27,$T$39,IF(BJ27=$W$27,$W$39,IF(BJ27=$Z$27,$Z$39,0)))))))))</f>
        <v>0</v>
      </c>
      <c r="BK28" s="391">
        <f t="shared" ref="BK28" si="9">IF(BK27=$B$27,$B$39,IF(BK27=$E$27,$E$39,IF(BK27=$H$27,$H$39,IF(BK27=$K$27,$K$39,IF(BK27=$N$27,$N$39,IF(BK27=$Q$27,$Q$39,IF(BK27=$T$27,$T$39,IF(BK27=$W$27,$W$39,IF(BK27=$Z$27,$Z$39,0)))))))))</f>
        <v>0</v>
      </c>
      <c r="BL28" s="391">
        <f t="shared" ref="BL28:BM28" si="10">IF(BL27=$B$27,$B$39,IF(BL27=$E$27,$E$39,IF(BL27=$H$27,$H$39,IF(BL27=$K$27,$K$39,IF(BL27=$N$27,$N$39,IF(BL27=$Q$27,$Q$39,IF(BL27=$T$27,$T$39,IF(BL27=$W$27,$W$39,IF(BL27=$Z$27,$Z$39,0)))))))))</f>
        <v>0</v>
      </c>
      <c r="BM28" s="391">
        <f t="shared" si="10"/>
        <v>0</v>
      </c>
      <c r="BN28" s="391">
        <f t="shared" ref="BN28" si="11">IF(BN27=$B$27,$B$39,IF(BN27=$E$27,$E$39,IF(BN27=$H$27,$H$39,IF(BN27=$K$27,$K$39,IF(BN27=$N$27,$N$39,IF(BN27=$Q$27,$Q$39,IF(BN27=$T$27,$T$39,IF(BN27=$W$27,$W$39,IF(BN27=$Z$27,$Z$39,0)))))))))</f>
        <v>0</v>
      </c>
      <c r="BO28" s="391">
        <f t="shared" ref="BO28" si="12">IF(BO27=$B$27,$B$39,IF(BO27=$E$27,$E$39,IF(BO27=$H$27,$H$39,IF(BO27=$K$27,$K$39,IF(BO27=$N$27,$N$39,IF(BO27=$Q$27,$Q$39,IF(BO27=$T$27,$T$39,IF(BO27=$W$27,$W$39,IF(BO27=$Z$27,$Z$39,0)))))))))</f>
        <v>0</v>
      </c>
      <c r="BP28" s="391">
        <f t="shared" ref="BP28:BQ28" si="13">IF(BP27=$B$27,$B$39,IF(BP27=$E$27,$E$39,IF(BP27=$H$27,$H$39,IF(BP27=$K$27,$K$39,IF(BP27=$N$27,$N$39,IF(BP27=$Q$27,$Q$39,IF(BP27=$T$27,$T$39,IF(BP27=$W$27,$W$39,IF(BP27=$Z$27,$Z$39,0)))))))))</f>
        <v>0</v>
      </c>
      <c r="BQ28" s="391">
        <f t="shared" si="13"/>
        <v>0</v>
      </c>
      <c r="BR28" s="391">
        <f t="shared" ref="BR28" si="14">IF(BR27=$B$27,$B$39,IF(BR27=$E$27,$E$39,IF(BR27=$H$27,$H$39,IF(BR27=$K$27,$K$39,IF(BR27=$N$27,$N$39,IF(BR27=$Q$27,$Q$39,IF(BR27=$T$27,$T$39,IF(BR27=$W$27,$W$39,IF(BR27=$Z$27,$Z$39,0)))))))))</f>
        <v>0</v>
      </c>
      <c r="BS28" s="391">
        <f t="shared" ref="BS28" si="15">IF(BS27=$B$27,$B$39,IF(BS27=$E$27,$E$39,IF(BS27=$H$27,$H$39,IF(BS27=$K$27,$K$39,IF(BS27=$N$27,$N$39,IF(BS27=$Q$27,$Q$39,IF(BS27=$T$27,$T$39,IF(BS27=$W$27,$W$39,IF(BS27=$Z$27,$Z$39,0)))))))))</f>
        <v>0</v>
      </c>
      <c r="BT28" s="391">
        <f t="shared" ref="BT28:BU28" si="16">IF(BT27=$B$27,$B$39,IF(BT27=$E$27,$E$39,IF(BT27=$H$27,$H$39,IF(BT27=$K$27,$K$39,IF(BT27=$N$27,$N$39,IF(BT27=$Q$27,$Q$39,IF(BT27=$T$27,$T$39,IF(BT27=$W$27,$W$39,IF(BT27=$Z$27,$Z$39,0)))))))))</f>
        <v>0</v>
      </c>
      <c r="BU28" s="391">
        <f t="shared" si="16"/>
        <v>0</v>
      </c>
      <c r="BV28" s="391">
        <f t="shared" ref="BV28" si="17">IF(BV27=$B$27,$B$39,IF(BV27=$E$27,$E$39,IF(BV27=$H$27,$H$39,IF(BV27=$K$27,$K$39,IF(BV27=$N$27,$N$39,IF(BV27=$Q$27,$Q$39,IF(BV27=$T$27,$T$39,IF(BV27=$W$27,$W$39,IF(BV27=$Z$27,$Z$39,0)))))))))</f>
        <v>0</v>
      </c>
      <c r="BW28" s="391">
        <f t="shared" ref="BW28" si="18">IF(BW27=$B$27,$B$39,IF(BW27=$E$27,$E$39,IF(BW27=$H$27,$H$39,IF(BW27=$K$27,$K$39,IF(BW27=$N$27,$N$39,IF(BW27=$Q$27,$Q$39,IF(BW27=$T$27,$T$39,IF(BW27=$W$27,$W$39,IF(BW27=$Z$27,$Z$39,0)))))))))</f>
        <v>0</v>
      </c>
      <c r="BX28" s="391">
        <f t="shared" ref="BX28:BY28" si="19">IF(BX27=$B$27,$B$39,IF(BX27=$E$27,$E$39,IF(BX27=$H$27,$H$39,IF(BX27=$K$27,$K$39,IF(BX27=$N$27,$N$39,IF(BX27=$Q$27,$Q$39,IF(BX27=$T$27,$T$39,IF(BX27=$W$27,$W$39,IF(BX27=$Z$27,$Z$39,0)))))))))</f>
        <v>0</v>
      </c>
      <c r="BY28" s="391">
        <f t="shared" si="19"/>
        <v>0</v>
      </c>
      <c r="BZ28" s="391">
        <f t="shared" ref="BZ28" si="20">IF(BZ27=$B$27,$B$39,IF(BZ27=$E$27,$E$39,IF(BZ27=$H$27,$H$39,IF(BZ27=$K$27,$K$39,IF(BZ27=$N$27,$N$39,IF(BZ27=$Q$27,$Q$39,IF(BZ27=$T$27,$T$39,IF(BZ27=$W$27,$W$39,IF(BZ27=$Z$27,$Z$39,0)))))))))</f>
        <v>0</v>
      </c>
      <c r="CA28" s="391">
        <f t="shared" ref="CA28" si="21">IF(CA27=$B$27,$B$39,IF(CA27=$E$27,$E$39,IF(CA27=$H$27,$H$39,IF(CA27=$K$27,$K$39,IF(CA27=$N$27,$N$39,IF(CA27=$Q$27,$Q$39,IF(CA27=$T$27,$T$39,IF(CA27=$W$27,$W$39,IF(CA27=$Z$27,$Z$39,0)))))))))</f>
        <v>0</v>
      </c>
      <c r="CB28" s="391">
        <f t="shared" ref="CB28:CC28" si="22">IF(CB27=$B$27,$B$39,IF(CB27=$E$27,$E$39,IF(CB27=$H$27,$H$39,IF(CB27=$K$27,$K$39,IF(CB27=$N$27,$N$39,IF(CB27=$Q$27,$Q$39,IF(CB27=$T$27,$T$39,IF(CB27=$W$27,$W$39,IF(CB27=$Z$27,$Z$39,0)))))))))</f>
        <v>0</v>
      </c>
      <c r="CC28" s="391">
        <f t="shared" si="22"/>
        <v>0</v>
      </c>
      <c r="CD28" s="391">
        <f t="shared" ref="CD28" si="23">IF(CD27=$B$27,$B$39,IF(CD27=$E$27,$E$39,IF(CD27=$H$27,$H$39,IF(CD27=$K$27,$K$39,IF(CD27=$N$27,$N$39,IF(CD27=$Q$27,$Q$39,IF(CD27=$T$27,$T$39,IF(CD27=$W$27,$W$39,IF(CD27=$Z$27,$Z$39,0)))))))))</f>
        <v>0</v>
      </c>
      <c r="CE28" s="391">
        <f t="shared" ref="CE28" si="24">IF(CE27=$B$27,$B$39,IF(CE27=$E$27,$E$39,IF(CE27=$H$27,$H$39,IF(CE27=$K$27,$K$39,IF(CE27=$N$27,$N$39,IF(CE27=$Q$27,$Q$39,IF(CE27=$T$27,$T$39,IF(CE27=$W$27,$W$39,IF(CE27=$Z$27,$Z$39,0)))))))))</f>
        <v>0</v>
      </c>
      <c r="CF28" s="391">
        <f t="shared" ref="CF28:CG28" si="25">IF(CF27=$B$27,$B$39,IF(CF27=$E$27,$E$39,IF(CF27=$H$27,$H$39,IF(CF27=$K$27,$K$39,IF(CF27=$N$27,$N$39,IF(CF27=$Q$27,$Q$39,IF(CF27=$T$27,$T$39,IF(CF27=$W$27,$W$39,IF(CF27=$Z$27,$Z$39,0)))))))))</f>
        <v>0</v>
      </c>
      <c r="CG28" s="391">
        <f t="shared" si="25"/>
        <v>0</v>
      </c>
      <c r="CH28" s="391">
        <f t="shared" ref="CH28" si="26">IF(CH27=$B$27,$B$39,IF(CH27=$E$27,$E$39,IF(CH27=$H$27,$H$39,IF(CH27=$K$27,$K$39,IF(CH27=$N$27,$N$39,IF(CH27=$Q$27,$Q$39,IF(CH27=$T$27,$T$39,IF(CH27=$W$27,$W$39,IF(CH27=$Z$27,$Z$39,0)))))))))</f>
        <v>0</v>
      </c>
      <c r="CI28" s="391">
        <f t="shared" ref="CI28" si="27">IF(CI27=$B$27,$B$39,IF(CI27=$E$27,$E$39,IF(CI27=$H$27,$H$39,IF(CI27=$K$27,$K$39,IF(CI27=$N$27,$N$39,IF(CI27=$Q$27,$Q$39,IF(CI27=$T$27,$T$39,IF(CI27=$W$27,$W$39,IF(CI27=$Z$27,$Z$39,0)))))))))</f>
        <v>0</v>
      </c>
      <c r="CJ28" s="391">
        <f t="shared" ref="CJ28:CK28" si="28">IF(CJ27=$B$27,$B$39,IF(CJ27=$E$27,$E$39,IF(CJ27=$H$27,$H$39,IF(CJ27=$K$27,$K$39,IF(CJ27=$N$27,$N$39,IF(CJ27=$Q$27,$Q$39,IF(CJ27=$T$27,$T$39,IF(CJ27=$W$27,$W$39,IF(CJ27=$Z$27,$Z$39,0)))))))))</f>
        <v>0</v>
      </c>
      <c r="CK28" s="391">
        <f t="shared" si="28"/>
        <v>0</v>
      </c>
      <c r="CL28" s="391">
        <f t="shared" ref="CL28" si="29">IF(CL27=$B$27,$B$39,IF(CL27=$E$27,$E$39,IF(CL27=$H$27,$H$39,IF(CL27=$K$27,$K$39,IF(CL27=$N$27,$N$39,IF(CL27=$Q$27,$Q$39,IF(CL27=$T$27,$T$39,IF(CL27=$W$27,$W$39,IF(CL27=$Z$27,$Z$39,0)))))))))</f>
        <v>0</v>
      </c>
      <c r="CM28" s="432"/>
    </row>
    <row r="29" spans="1:91" s="246" customFormat="1" ht="23.25" customHeight="1">
      <c r="A29" s="257" t="s">
        <v>65</v>
      </c>
      <c r="B29" s="679">
        <f>+IF(B27="","",IF(LOOKUP(B27,Espesor!$C$8:$C$41,Espesor!$K$8:$K$41)="en voladizo","",0.75/B28))</f>
        <v>9.9337748344370869E-2</v>
      </c>
      <c r="C29" s="680"/>
      <c r="D29" s="681"/>
      <c r="E29" s="679">
        <f>IF(E27="","",IF(LOOKUP(E27,Espesor!$C$8:$C$41,Espesor!$K$8:$K$41)="en voladizo","",IF(H27="",0.75/E28,1/E28)))</f>
        <v>0.12295081967213116</v>
      </c>
      <c r="F29" s="680"/>
      <c r="G29" s="681"/>
      <c r="H29" s="679" t="str">
        <f>IF(H27="","",IF(LOOKUP(H27,Espesor!$C$8:$C$41,Espesor!$K$8:$K$41)="en voladizo","",IF(K27="",0.75/H28,1/H28)))</f>
        <v/>
      </c>
      <c r="I29" s="680"/>
      <c r="J29" s="681"/>
      <c r="K29" s="679" t="str">
        <f>IF(K27="","",IF(LOOKUP(K27,Espesor!$C$8:$C$41,Espesor!$K$8:$K$41)="en voladizo","",IF(N27="",0.75/K28,1/K28)))</f>
        <v/>
      </c>
      <c r="L29" s="680"/>
      <c r="M29" s="681"/>
      <c r="N29" s="679" t="str">
        <f>IF(N27="","",IF(LOOKUP(N27,Espesor!$C$8:$C$41,Espesor!$K$8:$K$41)="en voladizo","",IF(Q27="",0.75/N28,1/N28)))</f>
        <v/>
      </c>
      <c r="O29" s="680"/>
      <c r="P29" s="681"/>
      <c r="Q29" s="679" t="str">
        <f>IF(Q27="","",IF(LOOKUP(Q27,Espesor!$C$8:$C$41,Espesor!$K$8:$K$41)="en voladizo","",IF(T27="",0.75/Q28,1/Q28)))</f>
        <v/>
      </c>
      <c r="R29" s="680"/>
      <c r="S29" s="681"/>
      <c r="T29" s="679" t="str">
        <f>IF(T27="","",IF(LOOKUP(T27,Espesor!$C$8:$C$41,Espesor!$K$8:$K$41)="en voladizo","",IF(W27="",0.75/T28,1/T28)))</f>
        <v/>
      </c>
      <c r="U29" s="680"/>
      <c r="V29" s="681"/>
      <c r="W29" s="679" t="str">
        <f>IF(W27="","",IF(LOOKUP(W27,Espesor!$C$8:$C$41,Espesor!$K$8:$K$41)="en voladizo","",IF(Z27="",0.75/W28,1/W28)))</f>
        <v/>
      </c>
      <c r="X29" s="680"/>
      <c r="Y29" s="681"/>
      <c r="Z29" s="679" t="str">
        <f>IF(Z27="","",IF(LOOKUP(Z27,Espesor!$C$8:$C$41,Espesor!$K$8:$K$41)="en voladizo","",IF(AC27="",0.75/Z28,1/Z28)))</f>
        <v/>
      </c>
      <c r="AA29" s="680"/>
      <c r="AB29" s="681"/>
      <c r="AC29" s="210"/>
      <c r="AD29" s="320">
        <f>+IF(AE27="","",AE27)</f>
        <v>3</v>
      </c>
      <c r="AE29" s="323" t="str">
        <f>IF(B3="","",IF($K$2="X - X",VLOOKUP(B3,Espesor!$C$8:$E$41,2,0),VLOOKUP(B3,Espesor!$C$8:$E$41,3,0)))</f>
        <v/>
      </c>
      <c r="AF29" s="318" t="e">
        <f>+IF(AD29="","",IF(LOOKUP(AD29,Espesor!$C$8:$C$41,Espesor!$K$8:$K$41)="en voladizo","",0.75/AE29))</f>
        <v>#VALUE!</v>
      </c>
      <c r="AG29" s="648" t="e">
        <f>IF(AF29="","",IF(AF30="","",ROUND(AF29/(AF29+AF30),3)))</f>
        <v>#VALUE!</v>
      </c>
      <c r="AH29" s="308"/>
      <c r="AI29" s="648" t="e">
        <f>IF(AF30="","",IF(AF29="","",ROUND(AF30/(AF30+AF29),3)))</f>
        <v>#VALUE!</v>
      </c>
      <c r="AJ29" s="308"/>
      <c r="AK29" s="313">
        <v>0</v>
      </c>
      <c r="AL29" s="316">
        <f>-IF(B2="","",IF($K$2="X - X",VLOOKUP(B2,'Moms de Empt'!$P$3:$T$36,3,0),VLOOKUP(B2,'Moms de Empt'!$P$3:$T$36,5,0)))</f>
        <v>-1.0196000000000001</v>
      </c>
      <c r="AM29" s="649">
        <f>IF(AD30="",0,IF(LOOKUP(AD30,Espesor!$C$8:$C$41,Espesor!$K$8:$K$41)="en voladizo",MAX(ABS(AL29),ABS(AK30)),-(AK30+AL29)))</f>
        <v>0.56010000000000004</v>
      </c>
      <c r="AN29" s="310"/>
      <c r="AO29" s="650" t="e">
        <f>IF(AG29="","",AM29*AG29)</f>
        <v>#VALUE!</v>
      </c>
      <c r="AP29" s="313"/>
      <c r="AQ29" s="650" t="e">
        <f>IF(AI29="","",AM29*AI29)</f>
        <v>#VALUE!</v>
      </c>
      <c r="AR29" s="313"/>
      <c r="AS29" s="651" t="e">
        <f>-IF(AM29="","",IF(AL29="",IF(AO29="",0,AO29),IF(AO29="",AL29,AL29+AO29)))</f>
        <v>#VALUE!</v>
      </c>
      <c r="AT29" s="311"/>
      <c r="AU29" s="311" t="e">
        <f>+AS29</f>
        <v>#VALUE!</v>
      </c>
      <c r="AV29" s="329">
        <f>IF(B2="","",IF(K2="X - X",VLOOKUP(B27,'Moms de Empt'!$P$3:$T$36,2,0),VLOOKUP(B27,'Moms de Empt'!$P$3:$T$36,4,0)))</f>
        <v>0.76990000000000003</v>
      </c>
      <c r="AW29" s="653">
        <f>IF(B29="","",IF(D31="","",IF(ABS(D35)&gt;ABS(D31),-0.5*ABS(D33),0.5*ABS(D33))))</f>
        <v>0.12518235000000003</v>
      </c>
      <c r="AX29" s="330"/>
      <c r="AY29" s="653">
        <f>IF(AV30="","",IF(AV29="","",ROUND(AV30/(AV30+AV29),3)))</f>
        <v>0.311</v>
      </c>
      <c r="AZ29" s="330"/>
      <c r="BA29" s="331">
        <f>+AV29</f>
        <v>0.76990000000000003</v>
      </c>
      <c r="BC29" s="422"/>
      <c r="BD29" s="398"/>
      <c r="BE29" s="429"/>
      <c r="BF29" s="429"/>
      <c r="BG29" s="429"/>
      <c r="BH29" s="429"/>
      <c r="BI29" s="429"/>
      <c r="BJ29" s="481"/>
      <c r="BK29" s="481"/>
      <c r="BL29" s="481"/>
      <c r="BM29" s="481"/>
      <c r="BN29" s="481"/>
      <c r="BO29" s="481"/>
      <c r="BP29" s="481"/>
      <c r="BQ29" s="429"/>
      <c r="BR29" s="429"/>
      <c r="BS29" s="429"/>
      <c r="BT29" s="429"/>
      <c r="BU29" s="429"/>
      <c r="BV29" s="429"/>
      <c r="BW29" s="429"/>
      <c r="BX29" s="429"/>
      <c r="BY29" s="429"/>
      <c r="BZ29" s="429"/>
      <c r="CA29" s="429"/>
      <c r="CB29" s="429"/>
      <c r="CC29" s="429"/>
      <c r="CD29" s="429"/>
      <c r="CE29" s="391" t="str">
        <f t="shared" ref="CE29:CL29" si="30">IF(CE27=$B$27,$B$39,IF(CE27=$E$27,$E$39,IF(CE27=$H$27,$H$39,IF(CE27=$K$27,$K$39,IF(CE27=$N$27,$N$39,IF(CE27=$Q$27,$Q$39,IF(CE27=$T$27,$T$39,IF(CE27=$W$27,$W$39,IF(CE27=$Z$27,$Z$39,"")))))))))</f>
        <v/>
      </c>
      <c r="CF29" s="391" t="str">
        <f t="shared" si="30"/>
        <v/>
      </c>
      <c r="CG29" s="391" t="str">
        <f t="shared" si="30"/>
        <v/>
      </c>
      <c r="CH29" s="391" t="str">
        <f t="shared" si="30"/>
        <v/>
      </c>
      <c r="CI29" s="391" t="str">
        <f t="shared" si="30"/>
        <v/>
      </c>
      <c r="CJ29" s="391" t="str">
        <f t="shared" si="30"/>
        <v/>
      </c>
      <c r="CK29" s="391" t="str">
        <f t="shared" si="30"/>
        <v/>
      </c>
      <c r="CL29" s="391" t="str">
        <f t="shared" si="30"/>
        <v/>
      </c>
      <c r="CM29" s="474"/>
    </row>
    <row r="30" spans="1:91" s="32" customFormat="1" ht="21.75" customHeight="1">
      <c r="A30" s="247" t="s">
        <v>123</v>
      </c>
      <c r="B30" s="29"/>
      <c r="C30" s="30"/>
      <c r="D30" s="31">
        <f>IF(B29="",0,IF(E29="",0,ROUND(B29/(B29+E29),3)))</f>
        <v>0.44700000000000001</v>
      </c>
      <c r="E30" s="29">
        <f>IF(E29="",0,IF(B29="",0,ROUND(E29/(E29+B29),3)))</f>
        <v>0.55300000000000005</v>
      </c>
      <c r="F30" s="30"/>
      <c r="G30" s="31">
        <f>IF(E29="",0,IF(H29="",0,ROUND(E29/(E29+H29),3)))</f>
        <v>0</v>
      </c>
      <c r="H30" s="29">
        <f>IF(H29="",0,IF(E29="",0,ROUND(H29/(H29+E29),3)))</f>
        <v>0</v>
      </c>
      <c r="I30" s="30"/>
      <c r="J30" s="31">
        <f>IF(H29="",0,IF(K29="",0,ROUND(H29/(H29+K29),3)))</f>
        <v>0</v>
      </c>
      <c r="K30" s="29">
        <f>IF(K29="",0,IF(H29="",0,ROUND(K29/(K29+H29),3)))</f>
        <v>0</v>
      </c>
      <c r="L30" s="30"/>
      <c r="M30" s="31">
        <f>IF(K29="",0,IF(N29="",0,ROUND(K29/(K29+N29),3)))</f>
        <v>0</v>
      </c>
      <c r="N30" s="29">
        <f>IF(N29="",0,IF(K29="",0,ROUND(N29/(N29+K29),3)))</f>
        <v>0</v>
      </c>
      <c r="O30" s="30"/>
      <c r="P30" s="31">
        <f>IF(N29="",0,IF(Q29="",0,ROUND(N29/(N29+Q29),3)))</f>
        <v>0</v>
      </c>
      <c r="Q30" s="29">
        <f>IF(Q29="",0,IF(N29="",0,ROUND(Q29/(Q29+N29),3)))</f>
        <v>0</v>
      </c>
      <c r="R30" s="30"/>
      <c r="S30" s="31">
        <f>IF(Q29="",0,IF(T29="",0,ROUND(Q29/(Q29+T29),3)))</f>
        <v>0</v>
      </c>
      <c r="T30" s="29">
        <f>IF(T29="",0,IF(Q29="",0,ROUND(T29/(T29+Q29),3)))</f>
        <v>0</v>
      </c>
      <c r="U30" s="30"/>
      <c r="V30" s="31">
        <f>IF(T29="",0,IF(W29="",0,ROUND(T29/(T29+W29),3)))</f>
        <v>0</v>
      </c>
      <c r="W30" s="29">
        <f>IF(W29="",0,IF(T29="",0,ROUND(W29/(W29+T29),3)))</f>
        <v>0</v>
      </c>
      <c r="X30" s="30"/>
      <c r="Y30" s="31">
        <f>IF(W29="",0,IF(Z29="",0,ROUND(W29/(W29+Z29),3)))</f>
        <v>0</v>
      </c>
      <c r="Z30" s="29">
        <f>IF(Z29="",0,IF(W29="",0,ROUND(Z29/(Z29+W29),3)))</f>
        <v>0</v>
      </c>
      <c r="AA30" s="30"/>
      <c r="AB30" s="31">
        <f>IF(Z29="",0,IF(AC29="",0,ROUND(Z29/(Z29+AC29),3)))</f>
        <v>0</v>
      </c>
      <c r="AC30" s="29"/>
      <c r="AD30" s="321">
        <f>+IF(AF27="","",AF27)</f>
        <v>4</v>
      </c>
      <c r="AE30" s="324">
        <f>IF(C2="","",IF($K$2="X - X",VLOOKUP(C2,Espesor!$C$8:$E$41,2,0),VLOOKUP(C2,Espesor!$C$8:$E$41,3,0)))</f>
        <v>6.1</v>
      </c>
      <c r="AF30" s="319">
        <f>IF(AD30="","",IF(LOOKUP(AD30,Espesor!$C$8:$C$41,Espesor!$K$8:$K$41)="en voladizo","",IF(AD31="",0.75/AE30,1/AE30)))</f>
        <v>0.12295081967213116</v>
      </c>
      <c r="AG30" s="634"/>
      <c r="AH30" s="634" t="str">
        <f>IF(AF30="","",IF(AF31="","",ROUND(AF30/(AF30+AF31),3)))</f>
        <v/>
      </c>
      <c r="AI30" s="634"/>
      <c r="AJ30" s="634" t="str">
        <f>IF(AF30="","",IF(AF31="","",ROUND(AF31/(AF30+AF31),3)))</f>
        <v/>
      </c>
      <c r="AK30" s="317">
        <f>IF(C2="",0,IF($K$2="X - X",VLOOKUP(C2,'Moms de Empt'!$P$3:$T$36,3,0),VLOOKUP(C2,'Moms de Empt'!$P$3:$T$36,5,0)))</f>
        <v>0.45950000000000002</v>
      </c>
      <c r="AL30" s="317">
        <f>+IF(AD31="",0,-AK30)</f>
        <v>0</v>
      </c>
      <c r="AM30" s="629"/>
      <c r="AN30" s="629">
        <f>IF(AD31="",0,IF(LOOKUP(AD31,Espesor!$C$8:$C$41,Espesor!$K$8:$K$41)="en voladizo",MAX(ABS(AL30),ABS(AK31)),-(AK31+AL30)))</f>
        <v>0</v>
      </c>
      <c r="AO30" s="630"/>
      <c r="AP30" s="630" t="str">
        <f>IF(AH30="","",AN30*AH30)</f>
        <v/>
      </c>
      <c r="AQ30" s="630"/>
      <c r="AR30" s="630" t="str">
        <f>IF(AJ30="","",AN30*AJ30)</f>
        <v/>
      </c>
      <c r="AS30" s="652"/>
      <c r="AT30" s="631">
        <f>-IF(AN30="","",IF(AL30="",IF(AP30="",0,AP30),IF(AP30="",AL30,AL30+AP30)))</f>
        <v>0</v>
      </c>
      <c r="AU30" s="311">
        <f>+AT30</f>
        <v>0</v>
      </c>
      <c r="AV30" s="332">
        <f>IF(E27="","",IF(K2="X - X",VLOOKUP(E27,'Moms de Empt'!$P$3:$T$36,2,0),VLOOKUP(E27,'Moms de Empt'!$P$3:$T$36,4,0)))</f>
        <v>0.34739999999999999</v>
      </c>
      <c r="AW30" s="635"/>
      <c r="AX30" s="633" t="str">
        <f>IF(AV30="","",IF(AV31="","",ROUND(AV30/(AV30+AV31),3)))</f>
        <v/>
      </c>
      <c r="AY30" s="635"/>
      <c r="AZ30" s="633" t="str">
        <f>IF(AV30="","",IF(AV31="","",ROUND(AV31/(AV30+AV31),3)))</f>
        <v/>
      </c>
      <c r="BA30" s="331">
        <f t="shared" ref="BA30:BA36" si="31">+AV30</f>
        <v>0.34739999999999999</v>
      </c>
      <c r="BC30" s="422"/>
      <c r="BD30" s="398"/>
      <c r="BE30" s="429"/>
      <c r="BF30" s="482"/>
      <c r="BG30" s="482"/>
      <c r="BH30" s="420"/>
      <c r="BI30" s="420"/>
      <c r="BJ30" s="420"/>
      <c r="BK30" s="420"/>
      <c r="BL30" s="420"/>
      <c r="BM30" s="420"/>
      <c r="BN30" s="392"/>
      <c r="BO30" s="392"/>
      <c r="BP30" s="392"/>
      <c r="BQ30" s="392"/>
      <c r="BR30" s="392"/>
      <c r="BS30" s="392"/>
      <c r="BT30" s="392"/>
      <c r="BU30" s="392"/>
      <c r="BV30" s="392"/>
      <c r="BW30" s="392"/>
      <c r="BX30" s="392"/>
      <c r="BY30" s="392"/>
      <c r="BZ30" s="392"/>
      <c r="CA30" s="392"/>
      <c r="CB30" s="483"/>
      <c r="CC30" s="392"/>
      <c r="CD30" s="392"/>
      <c r="CE30" s="392"/>
      <c r="CF30" s="390"/>
      <c r="CG30" s="392"/>
      <c r="CH30" s="392"/>
      <c r="CI30" s="392"/>
      <c r="CJ30" s="392"/>
      <c r="CK30" s="392"/>
      <c r="CL30" s="392"/>
      <c r="CM30" s="475"/>
    </row>
    <row r="31" spans="1:91" s="35" customFormat="1" ht="21.75" customHeight="1">
      <c r="A31" s="248" t="s">
        <v>124</v>
      </c>
      <c r="B31" s="249"/>
      <c r="C31" s="34"/>
      <c r="D31" s="33">
        <f>IF(B27="","",-VLOOKUP(B27,'Moms de Empt'!$P$3:$T$36,3,0))</f>
        <v>-1.0196000000000001</v>
      </c>
      <c r="E31" s="34">
        <f>+IF(E27="","",IF($K$2="X - X",VLOOKUP(E27,'Moms de Empt'!$P$3:$T$36,3,0),VLOOKUP(E27,'Moms de Empt'!$P$3:$T$36,5,0)))</f>
        <v>0.45950000000000002</v>
      </c>
      <c r="F31" s="34"/>
      <c r="G31" s="33" t="str">
        <f>+IF(H27="","",-E31)</f>
        <v/>
      </c>
      <c r="H31" s="34" t="str">
        <f>IF(H27="","",IF($K$2="X - X",VLOOKUP(H27,'Moms de Empt'!$P$3:$T$36,3,0),VLOOKUP(H27,'Moms de Empt'!$P$3:$T$36,5,0)))</f>
        <v/>
      </c>
      <c r="I31" s="34"/>
      <c r="J31" s="33" t="str">
        <f>+IF(K27="","",-H31)</f>
        <v/>
      </c>
      <c r="K31" s="34" t="str">
        <f>IF(K27="","",IF($K$2="X - X",VLOOKUP(K27,'Moms de Empt'!$P$3:$T$36,3,0),VLOOKUP(K27,'Moms de Empt'!$P$3:$T$36,5,0)))</f>
        <v/>
      </c>
      <c r="L31" s="34"/>
      <c r="M31" s="33" t="str">
        <f>+IF(N27="","",-K31)</f>
        <v/>
      </c>
      <c r="N31" s="34" t="str">
        <f>IF(N27="","",IF($K$2="X - X",VLOOKUP(N27,'Moms de Empt'!$P$3:$T$36,3,0),VLOOKUP(N27,'Moms de Empt'!$P$3:$T$36,5,0)))</f>
        <v/>
      </c>
      <c r="O31" s="34"/>
      <c r="P31" s="33" t="str">
        <f>+IF(Q27="","",-N31)</f>
        <v/>
      </c>
      <c r="Q31" s="34" t="str">
        <f>IF(Q27="","",IF($K$2="X - X",VLOOKUP(Q27,'Moms de Empt'!$P$3:$T$36,3,0),VLOOKUP(Q27,'Moms de Empt'!$P$3:$T$36,5,0)))</f>
        <v/>
      </c>
      <c r="R31" s="34"/>
      <c r="S31" s="33" t="str">
        <f>+IF(T27="","",-Q31)</f>
        <v/>
      </c>
      <c r="T31" s="34" t="str">
        <f>IF(T27="","",IF($K$2="X - X",VLOOKUP(T27,'Moms de Empt'!$P$3:$T$36,3,0),VLOOKUP(T27,'Moms de Empt'!$P$3:$T$36,5,0)))</f>
        <v/>
      </c>
      <c r="U31" s="34"/>
      <c r="V31" s="33" t="str">
        <f>+IF(W27="","",-T31)</f>
        <v/>
      </c>
      <c r="W31" s="34" t="str">
        <f>IF(W27="","",IF($K$2="X - X",VLOOKUP(W27,'Moms de Empt'!$P$3:$T$36,3,0),VLOOKUP(W27,'Moms de Empt'!$P$3:$T$36,5,0)))</f>
        <v/>
      </c>
      <c r="X31" s="34"/>
      <c r="Y31" s="33" t="str">
        <f>+IF(Z27="","",-W31)</f>
        <v/>
      </c>
      <c r="Z31" s="34" t="str">
        <f>IF(Z27="","",IF($K$2="X - X",VLOOKUP(Z27,'Moms de Empt'!$P$3:$T$36,3,0),VLOOKUP(Z27,'Moms de Empt'!$P$3:$T$36,5,0)))</f>
        <v/>
      </c>
      <c r="AA31" s="34"/>
      <c r="AB31" s="33"/>
      <c r="AD31" s="321" t="str">
        <f>+IF(AG27="","",AG27)</f>
        <v/>
      </c>
      <c r="AE31" s="324" t="str">
        <f>IF(C3="","",IF($K$2="X - X",VLOOKUP(C3,Espesor!$C$8:$E$41,2,0),VLOOKUP(C3,Espesor!$C$8:$E$41,3,0)))</f>
        <v/>
      </c>
      <c r="AF31" s="319" t="str">
        <f>IF(AD31="","",IF(LOOKUP(AD31,Espesor!$C$8:$C$41,Espesor!$K$8:$K$41)="en voladizo","",IF(AD32="",0.75/AE31,1/AE31)))</f>
        <v/>
      </c>
      <c r="AG31" s="634" t="str">
        <f>IF(AF31="","",IF(AF32="","",ROUND(AF31/(AF31+AF32),3)))</f>
        <v/>
      </c>
      <c r="AH31" s="634"/>
      <c r="AI31" s="634" t="str">
        <f>IF(AF32="","",IF(AF31="","",ROUND(AF32/(AF32+AF31),3)))</f>
        <v/>
      </c>
      <c r="AJ31" s="634"/>
      <c r="AK31" s="317">
        <f>IF(D2="",0,IF($K$2="X - X",VLOOKUP(D2,'Moms de Empt'!$P$3:$T$36,3,0),VLOOKUP(D2,'Moms de Empt'!$P$3:$T$36,5,0)))</f>
        <v>0</v>
      </c>
      <c r="AL31" s="317">
        <f>+IF(AD32="",0,-AK31)</f>
        <v>0</v>
      </c>
      <c r="AM31" s="629">
        <f>IF(AD32="",0,IF(LOOKUP(AD32,Espesor!$C$8:$C$41,Espesor!$K$8:$K$41)="en voladizo",MAX(ABS(AL31),ABS(AK32)),-(AK32+AL31)))</f>
        <v>0</v>
      </c>
      <c r="AN31" s="629"/>
      <c r="AO31" s="630" t="str">
        <f>IF(AG31="","",AM31*AG31)</f>
        <v/>
      </c>
      <c r="AP31" s="630"/>
      <c r="AQ31" s="630" t="str">
        <f>IF(AI31="","",AM31*AI31)</f>
        <v/>
      </c>
      <c r="AR31" s="630"/>
      <c r="AS31" s="631">
        <f>-IF(AM31="","",IF(AL31="",IF(AO31="",0,AO31),IF(AO31="",AL31,AL31+AO31)))</f>
        <v>0</v>
      </c>
      <c r="AT31" s="632"/>
      <c r="AU31" s="311">
        <f>+AS31</f>
        <v>0</v>
      </c>
      <c r="AV31" s="332" t="str">
        <f>IF(H27="","",IF(K2="X - X",VLOOKUP(H27,'Moms de Empt'!$P$3:$T$36,2,0),VLOOKUP(H27,'Moms de Empt'!$P$3:$T$36,4,0)))</f>
        <v/>
      </c>
      <c r="AW31" s="635" t="str">
        <f>IF(AV31="","",IF(AV32="","",ROUND(AV31/(AV31+AV32),3)))</f>
        <v/>
      </c>
      <c r="AX31" s="633"/>
      <c r="AY31" s="635" t="str">
        <f>IF(AV32="","",IF(AV31="","",ROUND(AV32/(AV32+AV31),3)))</f>
        <v/>
      </c>
      <c r="AZ31" s="633"/>
      <c r="BA31" s="331" t="str">
        <f t="shared" si="31"/>
        <v/>
      </c>
      <c r="BC31" s="422"/>
      <c r="BD31" s="398"/>
      <c r="BE31" s="429"/>
      <c r="BF31" s="389"/>
      <c r="BG31" s="389"/>
      <c r="BH31" s="244"/>
      <c r="BI31" s="244"/>
      <c r="BJ31" s="244"/>
      <c r="BK31" s="244"/>
      <c r="BL31" s="244"/>
      <c r="BM31" s="244"/>
      <c r="BN31" s="406"/>
      <c r="BO31" s="406"/>
      <c r="BP31" s="406"/>
      <c r="BQ31" s="406"/>
      <c r="BR31" s="406"/>
      <c r="BS31" s="406"/>
      <c r="BT31" s="406"/>
      <c r="BU31" s="406"/>
      <c r="BV31" s="406"/>
      <c r="BW31" s="406"/>
      <c r="BX31" s="406"/>
      <c r="BY31" s="406"/>
      <c r="BZ31" s="406"/>
      <c r="CA31" s="406"/>
      <c r="CB31" s="390"/>
      <c r="CC31" s="406"/>
      <c r="CD31" s="406"/>
      <c r="CE31" s="406"/>
      <c r="CF31" s="390"/>
      <c r="CG31" s="406"/>
      <c r="CH31" s="406"/>
      <c r="CI31" s="406"/>
      <c r="CJ31" s="406"/>
      <c r="CK31" s="406"/>
      <c r="CL31" s="406"/>
      <c r="CM31" s="476"/>
    </row>
    <row r="32" spans="1:91" s="251" customFormat="1" ht="21.75" customHeight="1">
      <c r="A32" s="250" t="s">
        <v>125</v>
      </c>
      <c r="B32" s="272"/>
      <c r="C32" s="406"/>
      <c r="D32" s="678">
        <f>+IF(E27="",0,IF(LOOKUP(E27,Espesor!$C$8:$C$41,Espesor!$K$8:$K$41)="en voladizo",IF(LOOKUP(B27,Espesor!$C$8:$C$41,Espesor!$K$8:$K$41)="en voladizo","Inestable",MAX(ABS(D31),ABS(E31))),IF(LOOKUP(B27,Espesor!$C$8:$C$41,Espesor!$K$8:$K$41)="en voladizo",MAX(ABS(D31),ABS(E31)),-(E31+D31))))</f>
        <v>0.56010000000000004</v>
      </c>
      <c r="E32" s="678"/>
      <c r="F32" s="406"/>
      <c r="G32" s="678">
        <f>+IF(H27="",0,IF(LOOKUP(H27,Espesor!$C$8:$C$41,Espesor!$K$8:$K$41)="en voladizo",IF(LOOKUP(E27,Espesor!$C$8:$C$41,Espesor!$K$8:$K$41)="en voladizo","Inestable",MAX(ABS(G31),ABS(H31))),IF(LOOKUP(E27,Espesor!$C$8:$C$41,Espesor!$K$8:$K$41)="en voladizo",MAX(ABS(G31),ABS(H31)),-(H31+G31))))</f>
        <v>0</v>
      </c>
      <c r="H32" s="678"/>
      <c r="I32" s="406"/>
      <c r="J32" s="678">
        <f>+IF(K27="",0,IF(LOOKUP(K27,Espesor!$C$8:$C$41,Espesor!$K$8:$K$41)="en voladizo",IF(LOOKUP(H27,Espesor!$C$8:$C$41,Espesor!$K$8:$K$41)="en voladizo","Inestable",MAX(ABS(J31),ABS(K31))),IF(LOOKUP(H27,Espesor!$C$8:$C$41,Espesor!$K$8:$K$41)="en voladizo",MAX(ABS(J31),ABS(K31)),-(K31+J31))))</f>
        <v>0</v>
      </c>
      <c r="K32" s="678"/>
      <c r="L32" s="406"/>
      <c r="M32" s="678">
        <f>+IF(N27="",0,IF(LOOKUP(N27,Espesor!$C$8:$C$41,Espesor!$K$8:$K$41)="en voladizo",IF(LOOKUP(K27,Espesor!$C$8:$C$41,Espesor!$K$8:$K$41)="en voladizo","Inestable",MAX(ABS(M31),ABS(N31))),IF(LOOKUP(K27,Espesor!$C$8:$C$41,Espesor!$K$8:$K$41)="en voladizo",MAX(ABS(M31),ABS(N31)),-(N31+M31))))</f>
        <v>0</v>
      </c>
      <c r="N32" s="678"/>
      <c r="O32" s="406"/>
      <c r="P32" s="678">
        <f>+IF(Q27="",0,IF(LOOKUP(Q27,Espesor!$C$8:$C$41,Espesor!$K$8:$K$41)="en voladizo",IF(LOOKUP(N27,Espesor!$C$8:$C$41,Espesor!$K$8:$K$41)="en voladizo","Inestable",MAX(ABS(P31),ABS(Q31))),IF(LOOKUP(N27,Espesor!$C$8:$C$41,Espesor!$K$8:$K$41)="en voladizo",MAX(ABS(P31),ABS(Q31)),-(Q31+P31))))</f>
        <v>0</v>
      </c>
      <c r="Q32" s="678"/>
      <c r="R32" s="406"/>
      <c r="S32" s="678">
        <f>+IF(T27="",0,IF(LOOKUP(T27,Espesor!$C$8:$C$41,Espesor!$K$8:$K$41)="en voladizo",IF(LOOKUP(Q27,Espesor!$C$8:$C$41,Espesor!$K$8:$K$41)="en voladizo","Inestable",MAX(ABS(S31),ABS(T31))),IF(LOOKUP(Q27,Espesor!$C$8:$C$41,Espesor!$K$8:$K$41)="en voladizo",MAX(ABS(S31),ABS(T31)),-(T31+S31))))</f>
        <v>0</v>
      </c>
      <c r="T32" s="678"/>
      <c r="U32" s="406"/>
      <c r="V32" s="678">
        <f>+IF(W27="",0,IF(LOOKUP(W27,Espesor!$C$8:$C$41,Espesor!$K$8:$K$41)="en voladizo",IF(LOOKUP(T27,Espesor!$C$8:$C$41,Espesor!$K$8:$K$41)="en voladizo","Inestable",MAX(ABS(V31),ABS(W31))),IF(LOOKUP(T27,Espesor!$C$8:$C$41,Espesor!$K$8:$K$41)="en voladizo",MAX(ABS(V31),ABS(W31)),-(W31+V31))))</f>
        <v>0</v>
      </c>
      <c r="W32" s="678"/>
      <c r="X32" s="406"/>
      <c r="Y32" s="678">
        <f>+IF(Z27="",0,IF(LOOKUP(Z27,Espesor!$C$8:$C$41,Espesor!$K$8:$K$41)="en voladizo",IF(LOOKUP(W27,Espesor!$C$8:$C$41,Espesor!$K$8:$K$41)="en voladizo","Inestable",MAX(ABS(Y31),ABS(Z31))),IF(LOOKUP(W27,Espesor!$C$8:$C$41,Espesor!$K$8:$K$41)="en voladizo",MAX(ABS(Y31),ABS(Z31)),-(Z31+Y31))))</f>
        <v>0</v>
      </c>
      <c r="Z32" s="678"/>
      <c r="AA32" s="406"/>
      <c r="AB32" s="252"/>
      <c r="AC32" s="292"/>
      <c r="AD32" s="321" t="str">
        <f>+IF(AH27="","",AH27)</f>
        <v/>
      </c>
      <c r="AE32" s="324" t="str">
        <f>IF(K27="","",IF($K$2="X - X",VLOOKUP(K27,Espesor!$C$8:$E$41,2,0),VLOOKUP(K27,Espesor!$C$8:$E$41,3,0)))</f>
        <v/>
      </c>
      <c r="AF32" s="319" t="str">
        <f>IF(AD32="","",IF(LOOKUP(AD32,Espesor!$C$8:$C$41,Espesor!$K$8:$K$41)="en voladizo","",IF(AD33="",0.75/AE32,1/AE32)))</f>
        <v/>
      </c>
      <c r="AG32" s="634"/>
      <c r="AH32" s="634" t="str">
        <f>IF(AF32="","",IF(AF33="","",ROUND(AF32/(AF32+AF33),3)))</f>
        <v/>
      </c>
      <c r="AI32" s="634"/>
      <c r="AJ32" s="634" t="str">
        <f>IF(AF32="","",IF(AF33="","",ROUND(AF33/(AF32+AF33),3)))</f>
        <v/>
      </c>
      <c r="AK32" s="317">
        <f>IF(E2="",0,IF($K$2="X - X",VLOOKUP(E2,'Moms de Empt'!$P$3:$T$36,3,0),VLOOKUP(E2,'Moms de Empt'!$P$3:$T$36,5,0)))</f>
        <v>0</v>
      </c>
      <c r="AL32" s="317">
        <f t="shared" ref="AL32:AL37" si="32">+IF(AD33="",0,-AK32)</f>
        <v>0</v>
      </c>
      <c r="AM32" s="629"/>
      <c r="AN32" s="629">
        <f>IF(AD33="",0,IF(LOOKUP(AD33,Espesor!$C$8:$C$41,Espesor!$K$8:$K$41)="en voladizo",MAX(ABS(AL32),ABS(AK33)),-(AK33+AL32)))</f>
        <v>0</v>
      </c>
      <c r="AO32" s="630"/>
      <c r="AP32" s="630" t="str">
        <f t="shared" ref="AP32" si="33">IF(AH32="","",AN32*AH32)</f>
        <v/>
      </c>
      <c r="AQ32" s="630"/>
      <c r="AR32" s="630" t="str">
        <f t="shared" ref="AR32" si="34">IF(AJ32="","",AN32*AJ32)</f>
        <v/>
      </c>
      <c r="AS32" s="632"/>
      <c r="AT32" s="631">
        <f t="shared" ref="AT32" si="35">-IF(AN32="","",IF(AL32="",IF(AP32="",0,AP32),IF(AP32="",AL32,AL32+AP32)))</f>
        <v>0</v>
      </c>
      <c r="AU32" s="311">
        <f>+AT32</f>
        <v>0</v>
      </c>
      <c r="AV32" s="332" t="str">
        <f>IF(K27="","",IF(K2="X - X",VLOOKUP(K27,'Moms de Empt'!$P$3:$T$36,2,0),VLOOKUP(K27,'Moms de Empt'!$P$3:$T$36,4,0)))</f>
        <v/>
      </c>
      <c r="AW32" s="635"/>
      <c r="AX32" s="633" t="str">
        <f>IF(AV32="","",IF(AV33="","",ROUND(AV32/(AV32+AV33),3)))</f>
        <v/>
      </c>
      <c r="AY32" s="635"/>
      <c r="AZ32" s="633" t="str">
        <f>IF(AV32="","",IF(AV33="","",ROUND(AV33/(AV32+AV33),3)))</f>
        <v/>
      </c>
      <c r="BA32" s="331" t="str">
        <f t="shared" si="31"/>
        <v/>
      </c>
      <c r="BC32" s="401"/>
      <c r="BD32" s="398"/>
      <c r="BE32" s="391"/>
      <c r="BF32" s="391"/>
      <c r="BG32" s="391"/>
      <c r="BH32" s="389"/>
      <c r="BI32" s="389"/>
      <c r="BJ32" s="389"/>
      <c r="BK32" s="389"/>
      <c r="BL32" s="389"/>
      <c r="BM32" s="389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90"/>
      <c r="CC32" s="30"/>
      <c r="CD32" s="30"/>
      <c r="CE32" s="30"/>
      <c r="CF32" s="390"/>
      <c r="CG32" s="30"/>
      <c r="CH32" s="30"/>
      <c r="CI32" s="30"/>
      <c r="CJ32" s="30"/>
      <c r="CK32" s="30"/>
      <c r="CL32" s="30"/>
      <c r="CM32" s="474"/>
    </row>
    <row r="33" spans="1:92" s="30" customFormat="1" ht="21.75" customHeight="1">
      <c r="A33" s="253" t="s">
        <v>126</v>
      </c>
      <c r="B33" s="29"/>
      <c r="D33" s="254">
        <f>(D32*D30)</f>
        <v>0.25036470000000005</v>
      </c>
      <c r="E33" s="30">
        <f>(D32*E30)</f>
        <v>0.30973530000000005</v>
      </c>
      <c r="G33" s="254">
        <f>(G32*G30)</f>
        <v>0</v>
      </c>
      <c r="H33" s="30">
        <f>(G32*H30)</f>
        <v>0</v>
      </c>
      <c r="J33" s="254">
        <f>(J32*J30)</f>
        <v>0</v>
      </c>
      <c r="K33" s="30">
        <f>(J32*K30)</f>
        <v>0</v>
      </c>
      <c r="M33" s="254">
        <f>(M32*M30)</f>
        <v>0</v>
      </c>
      <c r="N33" s="30">
        <f>(M32*N30)</f>
        <v>0</v>
      </c>
      <c r="P33" s="254">
        <f>(P32*P30)</f>
        <v>0</v>
      </c>
      <c r="Q33" s="30">
        <f>(P32*Q30)</f>
        <v>0</v>
      </c>
      <c r="S33" s="254">
        <f>(S32*S30)</f>
        <v>0</v>
      </c>
      <c r="T33" s="30">
        <f>(S32*T30)</f>
        <v>0</v>
      </c>
      <c r="V33" s="254">
        <f>(V32*V30)</f>
        <v>0</v>
      </c>
      <c r="W33" s="30">
        <f>(V32*W30)</f>
        <v>0</v>
      </c>
      <c r="Y33" s="254">
        <f>(Y32*Y30)</f>
        <v>0</v>
      </c>
      <c r="Z33" s="30">
        <f>(Y32*Z30)</f>
        <v>0</v>
      </c>
      <c r="AB33" s="31"/>
      <c r="AD33" s="321" t="str">
        <f>+IF(AI27="","",AI27)</f>
        <v/>
      </c>
      <c r="AE33" s="324" t="str">
        <f>IF(N27="","",IF($K$2="X - X",VLOOKUP(N27,Espesor!$C$8:$E$41,2,0),VLOOKUP(N27,Espesor!$C$8:$E$41,3,0)))</f>
        <v/>
      </c>
      <c r="AF33" s="319" t="str">
        <f>IF(AD33="","",IF(LOOKUP(AD33,Espesor!$C$8:$C$41,Espesor!$K$8:$K$41)="en voladizo","",IF(AD34="",0.75/AE33,1/AE33)))</f>
        <v/>
      </c>
      <c r="AG33" s="634" t="str">
        <f>IF(AF33="","",IF(AF34="","",ROUND(AF33/(AF33+AF34),3)))</f>
        <v/>
      </c>
      <c r="AH33" s="634"/>
      <c r="AI33" s="634" t="str">
        <f>IF(AF34="","",IF(AF33="","",ROUND(AF34/(AF34+AF33),3)))</f>
        <v/>
      </c>
      <c r="AJ33" s="634"/>
      <c r="AK33" s="317">
        <f>IF(F2="",0,IF($K$2="X - X",VLOOKUP(F2,'Moms de Empt'!$P$3:$T$36,3,0),VLOOKUP(F2,'Moms de Empt'!$P$3:$T$36,5,0)))</f>
        <v>0</v>
      </c>
      <c r="AL33" s="317">
        <f t="shared" si="32"/>
        <v>0</v>
      </c>
      <c r="AM33" s="629">
        <f>IF(AD34="",0,IF(LOOKUP(AD34,Espesor!$C$8:$C$41,Espesor!$K$8:$K$41)="en voladizo",MAX(ABS(AL33),ABS(AK34)),-(AK34+AL33)))</f>
        <v>0</v>
      </c>
      <c r="AN33" s="629"/>
      <c r="AO33" s="630" t="str">
        <f t="shared" ref="AO33" si="36">IF(AG33="","",AM33*AG33)</f>
        <v/>
      </c>
      <c r="AP33" s="630"/>
      <c r="AQ33" s="630" t="str">
        <f t="shared" ref="AQ33" si="37">IF(AI33="","",AM33*AI33)</f>
        <v/>
      </c>
      <c r="AR33" s="630"/>
      <c r="AS33" s="631">
        <f>-IF(AM33="","",IF(AL33="",IF(AO33="",0,AO33),IF(AO33="",AL33,AL33+AO33)))</f>
        <v>0</v>
      </c>
      <c r="AT33" s="632"/>
      <c r="AU33" s="311">
        <f>+AS33</f>
        <v>0</v>
      </c>
      <c r="AV33" s="332" t="str">
        <f>IF(N27="","",IF(K2="X - X",VLOOKUP(N27,'Moms de Empt'!$P$3:$T$36,2,0),VLOOKUP(N27,'Moms de Empt'!$P$3:$T$36,4,0)))</f>
        <v/>
      </c>
      <c r="AW33" s="635" t="str">
        <f>IF(AV33="","",IF(AV34="","",ROUND(AV33/(AV33+AV34),3)))</f>
        <v/>
      </c>
      <c r="AX33" s="633"/>
      <c r="AY33" s="635" t="str">
        <f>IF(AV34="","",IF(AV33="","",ROUND(AV34/(AV34+AV33),3)))</f>
        <v/>
      </c>
      <c r="AZ33" s="633"/>
      <c r="BA33" s="331" t="str">
        <f t="shared" si="31"/>
        <v/>
      </c>
      <c r="BC33" s="401"/>
      <c r="BD33" s="398"/>
      <c r="BE33" s="391"/>
      <c r="BF33" s="391"/>
      <c r="BG33" s="392"/>
      <c r="CM33" s="474"/>
    </row>
    <row r="34" spans="1:92" s="32" customFormat="1" ht="21.75" customHeight="1" thickBot="1">
      <c r="B34" s="29"/>
      <c r="C34" s="30"/>
      <c r="D34" s="255">
        <f>IF(D32="",0,IF(D31="",IF(D33="",0,D33),IF(D33="",D31,D31+D33)))</f>
        <v>-0.76923530000000007</v>
      </c>
      <c r="E34" s="256">
        <f>IF(D32="",0,IF(E31="",IF(E33="",0,E33),IF(E33="",E31,E31+E33)))</f>
        <v>0.76923530000000007</v>
      </c>
      <c r="F34" s="30"/>
      <c r="G34" s="276">
        <f>IF(G32="",0,IF(G31="",IF(G33="",0,G33),IF(G33="",G31,G31+G33)))</f>
        <v>0</v>
      </c>
      <c r="H34" s="256">
        <f>IF(G32="",0,IF(H31="",IF(H33="",0,H33),IF(H33="",H31,H31+H33)))</f>
        <v>0</v>
      </c>
      <c r="I34" s="30"/>
      <c r="J34" s="276">
        <f>IF(J32="",0,IF(J31="",IF(J33="",0,J33),IF(J33="",J31,J31+J33)))</f>
        <v>0</v>
      </c>
      <c r="K34" s="256">
        <f>IF(J32="",0,IF(K31="",IF(K33="",0,K33),IF(K33="",K31,K31+K33)))</f>
        <v>0</v>
      </c>
      <c r="L34" s="30"/>
      <c r="M34" s="276">
        <f>IF(M32="",0,IF(M31="",IF(M33="",0,M33),IF(M33="",M31,M31+M33)))</f>
        <v>0</v>
      </c>
      <c r="N34" s="256">
        <f>IF(M32="",0,IF(N31="",IF(N33="",0,N33),IF(N33="",N31,N31+N33)))</f>
        <v>0</v>
      </c>
      <c r="O34" s="30"/>
      <c r="P34" s="276">
        <f>IF(P32="",0,IF(P31="",IF(P33="",0,P33),IF(P33="",P31,P31+P33)))</f>
        <v>0</v>
      </c>
      <c r="Q34" s="256">
        <f>IF(P32="",0,IF(Q31="",IF(Q33="",0,Q33),IF(Q33="",Q31,Q31+Q33)))</f>
        <v>0</v>
      </c>
      <c r="R34" s="30"/>
      <c r="S34" s="276">
        <f>IF(S32="",0,IF(S31="",IF(S33="",0,S33),IF(S33="",S31,S31+S33)))</f>
        <v>0</v>
      </c>
      <c r="T34" s="256">
        <f>IF(S32="",0,IF(T31="",IF(T33="",0,T33),IF(T33="",T31,T31+T33)))</f>
        <v>0</v>
      </c>
      <c r="U34" s="30"/>
      <c r="V34" s="276">
        <f>IF(V32="",0,IF(V31="",IF(V33="",0,V33),IF(V33="",V31,V31+V33)))</f>
        <v>0</v>
      </c>
      <c r="W34" s="256">
        <f>IF(V32="",0,IF(W31="",IF(W33="",0,W33),IF(W33="",W31,W31+W33)))</f>
        <v>0</v>
      </c>
      <c r="X34" s="30"/>
      <c r="Y34" s="276">
        <f>IF(Y32="",0,IF(Y31="",IF(Y33="",0,Y33),IF(Y33="",Y31,Y31+Y33)))</f>
        <v>0</v>
      </c>
      <c r="Z34" s="256">
        <f>IF(Y32="",0,IF(Z31="",IF(Z33="",0,Z33),IF(Z33="",Z31,Z31+Z33)))</f>
        <v>0</v>
      </c>
      <c r="AA34" s="30"/>
      <c r="AB34" s="31"/>
      <c r="AC34" s="30"/>
      <c r="AD34" s="321" t="str">
        <f>+IF(AJ27="","",AJ27)</f>
        <v/>
      </c>
      <c r="AE34" s="324" t="str">
        <f>IF(Q27="","",IF($K$2="X - X",VLOOKUP(Q27,Espesor!$C$8:$E$41,2,0),VLOOKUP(Q27,Espesor!$C$8:$E$41,3,0)))</f>
        <v/>
      </c>
      <c r="AF34" s="319" t="str">
        <f>IF(AD34="","",IF(LOOKUP(AD34,Espesor!$C$8:$C$41,Espesor!$K$8:$K$41)="en voladizo","",IF(AD35="",0.75/AE34,1/AE34)))</f>
        <v/>
      </c>
      <c r="AG34" s="634"/>
      <c r="AH34" s="634" t="str">
        <f>IF(AF34="","",IF(AF35="","",ROUND(AF34/(AF34+AF35),3)))</f>
        <v/>
      </c>
      <c r="AI34" s="634"/>
      <c r="AJ34" s="634" t="str">
        <f>IF(AF34="","",IF(AF35="","",ROUND(AF35/(AF34+AF35),3)))</f>
        <v/>
      </c>
      <c r="AK34" s="317">
        <f>IF(G2="",0,IF($K$2="X - X",VLOOKUP(G2,'Moms de Empt'!$P$3:$T$36,3,0),VLOOKUP(G2,'Moms de Empt'!$P$3:$T$36,5,0)))</f>
        <v>0</v>
      </c>
      <c r="AL34" s="317">
        <f t="shared" si="32"/>
        <v>0</v>
      </c>
      <c r="AM34" s="629"/>
      <c r="AN34" s="629">
        <f>IF(AD35="",0,IF(LOOKUP(AD35,Espesor!$C$8:$C$41,Espesor!$K$8:$K$41)="en voladizo",MAX(ABS(AL34),ABS(AK35)),-(AK35+AL34)))</f>
        <v>0</v>
      </c>
      <c r="AO34" s="630"/>
      <c r="AP34" s="630" t="str">
        <f t="shared" ref="AP34" si="38">IF(AH34="","",AN34*AH34)</f>
        <v/>
      </c>
      <c r="AQ34" s="630"/>
      <c r="AR34" s="630" t="str">
        <f t="shared" ref="AR34" si="39">IF(AJ34="","",AN34*AJ34)</f>
        <v/>
      </c>
      <c r="AS34" s="632"/>
      <c r="AT34" s="631">
        <f t="shared" ref="AT34" si="40">-IF(AN34="","",IF(AL34="",IF(AP34="",0,AP34),IF(AP34="",AL34,AL34+AP34)))</f>
        <v>0</v>
      </c>
      <c r="AU34" s="311">
        <f>+AT34</f>
        <v>0</v>
      </c>
      <c r="AV34" s="332" t="str">
        <f>IF(Q27="","",IF(K2="X - X",VLOOKUP(Q27,'Moms de Empt'!$P$3:$T$36,2,0),VLOOKUP(Q27,'Moms de Empt'!$P$3:$T$36,4,0)))</f>
        <v/>
      </c>
      <c r="AW34" s="635"/>
      <c r="AX34" s="633" t="str">
        <f>IF(AV34="","",IF(AV35="","",ROUND(AV34/(AV34+AV35),3)))</f>
        <v/>
      </c>
      <c r="AY34" s="635"/>
      <c r="AZ34" s="633" t="str">
        <f>IF(AV34="","",IF(AV35="","",ROUND(AV35/(AV34+AV35),3)))</f>
        <v/>
      </c>
      <c r="BA34" s="331" t="str">
        <f t="shared" si="31"/>
        <v/>
      </c>
      <c r="BC34" s="401"/>
      <c r="BD34" s="398"/>
      <c r="BE34" s="391"/>
      <c r="BF34" s="293"/>
      <c r="BG34" s="406"/>
      <c r="BH34" s="392"/>
      <c r="BI34" s="392"/>
      <c r="BJ34" s="392"/>
      <c r="BK34" s="392"/>
      <c r="BL34" s="392"/>
      <c r="BM34" s="392"/>
      <c r="BN34" s="390"/>
      <c r="BO34" s="393"/>
      <c r="BP34" s="393"/>
      <c r="BQ34" s="393"/>
      <c r="BR34" s="393"/>
      <c r="BS34" s="393"/>
      <c r="BT34" s="393"/>
      <c r="BU34" s="393"/>
      <c r="BV34" s="393"/>
      <c r="BW34" s="393"/>
      <c r="BX34" s="393"/>
      <c r="BY34" s="393"/>
      <c r="BZ34" s="393"/>
      <c r="CA34" s="393"/>
      <c r="CB34" s="390"/>
      <c r="CC34" s="393"/>
      <c r="CD34" s="393"/>
      <c r="CE34" s="393"/>
      <c r="CF34" s="390"/>
      <c r="CG34" s="393"/>
      <c r="CH34" s="393"/>
      <c r="CI34" s="393"/>
      <c r="CJ34" s="393"/>
      <c r="CK34" s="393"/>
      <c r="CL34" s="393"/>
      <c r="CM34" s="430"/>
    </row>
    <row r="35" spans="1:92" s="36" customFormat="1" ht="21.75" customHeight="1" thickBot="1">
      <c r="A35" s="36" t="s">
        <v>66</v>
      </c>
      <c r="B35" s="273"/>
      <c r="D35" s="672">
        <f>IF(E27="",0,IF(D34=0,IF(E34=0,MAX(ABS(D31),ABS(E31)),E34),MAX(ABS(D34),ABS(E34))))</f>
        <v>0.76923530000000007</v>
      </c>
      <c r="E35" s="674"/>
      <c r="G35" s="672">
        <f>IF(H27="",0,IF(G34=0,IF(H34=0,MAX(ABS(G31),ABS(H31)),H34),MAX(ABS(G34),ABS(H34))))</f>
        <v>0</v>
      </c>
      <c r="H35" s="674"/>
      <c r="J35" s="672">
        <f>IF(K27="",0,IF(J34=0,IF(K34=0,MAX(ABS(J31),ABS(K31)),K34),MAX(ABS(J34),ABS(K34))))</f>
        <v>0</v>
      </c>
      <c r="K35" s="674"/>
      <c r="M35" s="672">
        <f>IF(N27="",0,IF(M34=0,IF(N34=0,MAX(ABS(M31),ABS(N31)),N34),MAX(ABS(M34),ABS(N34))))</f>
        <v>0</v>
      </c>
      <c r="N35" s="674"/>
      <c r="P35" s="672">
        <f>IF(Q27="",0,IF(P34=0,IF(Q34=0,MAX(ABS(P31),ABS(Q31)),Q34),MAX(ABS(P34),ABS(Q34))))</f>
        <v>0</v>
      </c>
      <c r="Q35" s="674"/>
      <c r="S35" s="672">
        <f>IF(T27="",0,IF(S34=0,IF(T34=0,MAX(ABS(S31),ABS(T31)),T34),MAX(ABS(S34),ABS(T34))))</f>
        <v>0</v>
      </c>
      <c r="T35" s="674"/>
      <c r="U35" s="265"/>
      <c r="V35" s="672">
        <f>IF(W27="",0,IF(V34=0,IF(W34=0,MAX(ABS(V31),ABS(W31)),W34),MAX(ABS(V34),ABS(W34))))</f>
        <v>0</v>
      </c>
      <c r="W35" s="674"/>
      <c r="Y35" s="672">
        <f>IF(Z27="",0,IF(Y34=0,IF(Z34=0,MAX(ABS(Y31),ABS(Z31)),Z34),MAX(ABS(Y34),ABS(Z34))))</f>
        <v>0</v>
      </c>
      <c r="Z35" s="674"/>
      <c r="AA35" s="37"/>
      <c r="AB35" s="38"/>
      <c r="AC35" s="39"/>
      <c r="AD35" s="321" t="str">
        <f>+IF(AK27="","",AK27)</f>
        <v/>
      </c>
      <c r="AE35" s="324" t="str">
        <f>IF(T27="","",IF($K$2="X - X",VLOOKUP(T27,Espesor!$C$8:$E$41,2,0),VLOOKUP(T27,Espesor!$C$8:$E$41,3,0)))</f>
        <v/>
      </c>
      <c r="AF35" s="319" t="str">
        <f>IF(AD35="","",IF(LOOKUP(AD35,Espesor!$C$8:$C$41,Espesor!$K$8:$K$41)="en voladizo","",IF(AD36="",0.75/AE35,1/AE35)))</f>
        <v/>
      </c>
      <c r="AG35" s="634" t="str">
        <f>IF(AF35="","",IF(AF36="","",ROUND(AF35/(AF35+AF36),3)))</f>
        <v/>
      </c>
      <c r="AH35" s="634"/>
      <c r="AI35" s="634" t="str">
        <f>IF(AF36="","",IF(AF35="","",ROUND(AF36/(AF36+AF35),3)))</f>
        <v/>
      </c>
      <c r="AJ35" s="634"/>
      <c r="AK35" s="317">
        <f>IF(H2="",0,IF($K$2="X - X",VLOOKUP(H2,'Moms de Empt'!$P$3:$T$36,3,0),VLOOKUP(H2,'Moms de Empt'!$P$3:$T$36,5,0)))</f>
        <v>0</v>
      </c>
      <c r="AL35" s="317">
        <f>+IF(AD36="",0,-AK35)</f>
        <v>0</v>
      </c>
      <c r="AM35" s="629">
        <f>IF(AD36="",0,IF(LOOKUP(AD36,Espesor!$C$8:$C$41,Espesor!$K$8:$K$41)="en voladizo",MAX(ABS(AL35),ABS(AK36)),-(AK36+AL35)))</f>
        <v>0</v>
      </c>
      <c r="AN35" s="629"/>
      <c r="AO35" s="630" t="str">
        <f>IF(AG35="","",AM35*AG35)</f>
        <v/>
      </c>
      <c r="AP35" s="630"/>
      <c r="AQ35" s="630" t="str">
        <f t="shared" ref="AQ35" si="41">IF(AI35="","",AM35*AI35)</f>
        <v/>
      </c>
      <c r="AR35" s="630"/>
      <c r="AS35" s="631">
        <f>-IF(AM35="","",IF(AL35="",IF(AO35="",0,AO35),IF(AO35="",AL35,AL35+AO35)))</f>
        <v>0</v>
      </c>
      <c r="AT35" s="632"/>
      <c r="AU35" s="311">
        <f>+AS35</f>
        <v>0</v>
      </c>
      <c r="AV35" s="332" t="str">
        <f>IF(T27="","",IF(K2="X - X",VLOOKUP(T27,'Moms de Empt'!$P$3:$T$36,2,0),VLOOKUP(T27,'Moms de Empt'!$P$3:$T$36,4,0)))</f>
        <v/>
      </c>
      <c r="AW35" s="635" t="str">
        <f>IF(AV35="","",IF(AV36="","",ROUND(AV35/(AV35+AV36),3)))</f>
        <v/>
      </c>
      <c r="AX35" s="633"/>
      <c r="AY35" s="635" t="str">
        <f>IF(AV36="","",IF(AV35="","",ROUND(AV36/(AV36+AV35),3)))</f>
        <v/>
      </c>
      <c r="AZ35" s="633"/>
      <c r="BA35" s="331" t="str">
        <f t="shared" si="31"/>
        <v/>
      </c>
      <c r="BC35" s="401"/>
      <c r="BD35" s="398"/>
      <c r="BE35" s="391"/>
      <c r="BF35" s="30"/>
      <c r="BG35" s="30"/>
      <c r="BH35" s="406"/>
      <c r="BI35" s="406"/>
      <c r="BJ35" s="406"/>
      <c r="BK35" s="406"/>
      <c r="BL35" s="406"/>
      <c r="BM35" s="406"/>
      <c r="BN35" s="390"/>
      <c r="BO35" s="393"/>
      <c r="BP35" s="393"/>
      <c r="BQ35" s="393"/>
      <c r="BR35" s="393"/>
      <c r="BS35" s="393"/>
      <c r="BT35" s="393"/>
      <c r="BU35" s="393"/>
      <c r="BV35" s="393"/>
      <c r="BW35" s="393"/>
      <c r="BX35" s="393"/>
      <c r="BY35" s="393"/>
      <c r="BZ35" s="393"/>
      <c r="CA35" s="393"/>
      <c r="CB35" s="390"/>
      <c r="CC35" s="393"/>
      <c r="CD35" s="393"/>
      <c r="CE35" s="393"/>
      <c r="CF35" s="390"/>
      <c r="CG35" s="393"/>
      <c r="CH35" s="393"/>
      <c r="CI35" s="393"/>
      <c r="CJ35" s="393"/>
      <c r="CK35" s="393"/>
      <c r="CL35" s="393"/>
      <c r="CM35" s="430"/>
    </row>
    <row r="36" spans="1:92" s="36" customFormat="1" ht="21.75" customHeight="1" thickBot="1">
      <c r="B36" s="274"/>
      <c r="D36" s="690">
        <f>IF(D35="","",D35*100000)</f>
        <v>76923.530000000013</v>
      </c>
      <c r="E36" s="690"/>
      <c r="G36" s="690">
        <f>IF(G35="","",G35*100000)</f>
        <v>0</v>
      </c>
      <c r="H36" s="690"/>
      <c r="I36" s="388"/>
      <c r="J36" s="690">
        <f>IF(J35="","",J35*100000)</f>
        <v>0</v>
      </c>
      <c r="K36" s="690"/>
      <c r="L36" s="388"/>
      <c r="M36" s="690">
        <f>IF(M35="","",M35*100000)</f>
        <v>0</v>
      </c>
      <c r="N36" s="690"/>
      <c r="O36" s="388"/>
      <c r="P36" s="690">
        <f>IF(P35="","",P35*100000)</f>
        <v>0</v>
      </c>
      <c r="Q36" s="690"/>
      <c r="R36" s="388"/>
      <c r="S36" s="690">
        <f>IF(S35="","",S35*100000)</f>
        <v>0</v>
      </c>
      <c r="T36" s="690"/>
      <c r="U36" s="387"/>
      <c r="V36" s="690">
        <f>IF(V35="","",V35*100000)</f>
        <v>0</v>
      </c>
      <c r="W36" s="690"/>
      <c r="X36" s="388"/>
      <c r="Y36" s="690">
        <f>IF(Y35="","",Y35*100000)</f>
        <v>0</v>
      </c>
      <c r="Z36" s="690"/>
      <c r="AA36" s="37"/>
      <c r="AB36" s="275"/>
      <c r="AC36" s="39"/>
      <c r="AD36" s="321" t="str">
        <f>+IF(AL27="","",AL27)</f>
        <v/>
      </c>
      <c r="AE36" s="324" t="str">
        <f>IF(W27="","",IF($K$2="X - X",VLOOKUP(W27,Espesor!$C$8:$E$41,2,0),VLOOKUP(W27,Espesor!$C$8:$E$41,3,0)))</f>
        <v/>
      </c>
      <c r="AF36" s="319" t="str">
        <f>IF(AD36="","",IF(LOOKUP(AD36,Espesor!$C$8:$C$41,Espesor!$K$8:$K$41)="en voladizo","",IF(AD37="",0.75/AE36,1/AE36)))</f>
        <v/>
      </c>
      <c r="AG36" s="634"/>
      <c r="AH36" s="634" t="str">
        <f>IF(AF36="","",IF(AF37="","",ROUND(AF36/(AF36+AF37),3)))</f>
        <v/>
      </c>
      <c r="AI36" s="634"/>
      <c r="AJ36" s="634" t="str">
        <f>IF(AF36="","",IF(AF37="","",ROUND(AF37/(AF36+AF37),3)))</f>
        <v/>
      </c>
      <c r="AK36" s="317">
        <f>IF(I2="",0,IF($K$2="X - X",VLOOKUP(I2,'Moms de Empt'!$P$3:$T$36,3,0),VLOOKUP(I2,'Moms de Empt'!$P$3:$T$36,5,0)))</f>
        <v>0</v>
      </c>
      <c r="AL36" s="317">
        <f t="shared" si="32"/>
        <v>0</v>
      </c>
      <c r="AM36" s="629"/>
      <c r="AN36" s="629">
        <f>IF(AD37="",0,IF(LOOKUP(AD37,Espesor!$C$8:$C$41,Espesor!$K$8:$K$41)="en voladizo",MAX(ABS(AL36),ABS(AK37)),-(AK37+AL36)))</f>
        <v>0</v>
      </c>
      <c r="AO36" s="630"/>
      <c r="AP36" s="630" t="str">
        <f t="shared" ref="AP36" si="42">IF(AH36="","",AN36*AH36)</f>
        <v/>
      </c>
      <c r="AQ36" s="630"/>
      <c r="AR36" s="630" t="str">
        <f t="shared" ref="AR36" si="43">IF(AJ36="","",AN36*AJ36)</f>
        <v/>
      </c>
      <c r="AS36" s="632"/>
      <c r="AT36" s="631">
        <f t="shared" ref="AT36" si="44">-IF(AN36="","",IF(AL36="",IF(AP36="",0,AP36),IF(AP36="",AL36,AL36+AP36)))</f>
        <v>0</v>
      </c>
      <c r="AU36" s="311">
        <f>+AT36</f>
        <v>0</v>
      </c>
      <c r="AV36" s="332" t="str">
        <f>IF(W27="","",IF(K2="X - X",VLOOKUP(W27,'Moms de Empt'!$P$3:$T$36,2,0),VLOOKUP(W27,'Moms de Empt'!$P$3:$T$36,4,0)))</f>
        <v/>
      </c>
      <c r="AW36" s="635"/>
      <c r="AX36" s="633" t="str">
        <f>IF(AV36="","",IF(AV37="","",ROUND(AV36/(AV36+AV37),3)))</f>
        <v/>
      </c>
      <c r="AY36" s="635"/>
      <c r="AZ36" s="633" t="str">
        <f>IF(AV36="","",IF(AV37="","",ROUND(AV37/(AV36+AV37),3)))</f>
        <v/>
      </c>
      <c r="BA36" s="331" t="str">
        <f t="shared" si="31"/>
        <v/>
      </c>
      <c r="BC36" s="401"/>
      <c r="BD36" s="398"/>
      <c r="BE36" s="391"/>
      <c r="BF36" s="30"/>
      <c r="BG36" s="30"/>
      <c r="BH36" s="30"/>
      <c r="BI36" s="30"/>
      <c r="BJ36" s="30"/>
      <c r="BK36" s="30"/>
      <c r="BL36" s="30"/>
      <c r="BM36" s="30"/>
      <c r="BN36" s="390"/>
      <c r="BO36" s="278"/>
      <c r="BP36" s="278"/>
      <c r="BQ36" s="278"/>
      <c r="BR36" s="278"/>
      <c r="BS36" s="278"/>
      <c r="BT36" s="278"/>
      <c r="BU36" s="278"/>
      <c r="BV36" s="278"/>
      <c r="BW36" s="278"/>
      <c r="BX36" s="278"/>
      <c r="BY36" s="278"/>
      <c r="BZ36" s="278"/>
      <c r="CA36" s="278"/>
      <c r="CB36" s="390"/>
      <c r="CC36" s="278"/>
      <c r="CD36" s="278"/>
      <c r="CE36" s="278"/>
      <c r="CF36" s="390"/>
      <c r="CG36" s="278"/>
      <c r="CH36" s="278"/>
      <c r="CI36" s="278"/>
      <c r="CJ36" s="278"/>
      <c r="CK36" s="278"/>
      <c r="CL36" s="278"/>
      <c r="CM36" s="477"/>
    </row>
    <row r="37" spans="1:92" s="210" customFormat="1" ht="21.75" customHeight="1" thickBot="1">
      <c r="A37" s="257" t="s">
        <v>127</v>
      </c>
      <c r="B37" s="675">
        <f>+IF(B27="","",IF(K2="X - X",VLOOKUP(B27,'Moms de Empt'!$P$3:$T$36,2,0),VLOOKUP(B27,'Moms de Empt'!$P$3:$T$36,4,0)))</f>
        <v>0.76990000000000003</v>
      </c>
      <c r="C37" s="676"/>
      <c r="D37" s="677"/>
      <c r="E37" s="675">
        <f>IF(E27="","",IF(K2="X - X",VLOOKUP(E27,'Moms de Empt'!$P$3:$T$36,2,0),VLOOKUP(E27,'Moms de Empt'!$P$3:$T$36,4,0)))</f>
        <v>0.34739999999999999</v>
      </c>
      <c r="F37" s="676"/>
      <c r="G37" s="677"/>
      <c r="H37" s="675" t="str">
        <f>IF(H27="","",IF(K2="X - X",VLOOKUP(H27,'Moms de Empt'!$P$3:$T$36,2,0),VLOOKUP(H27,'Moms de Empt'!$P$3:$T$36,4,0)))</f>
        <v/>
      </c>
      <c r="I37" s="676"/>
      <c r="J37" s="677"/>
      <c r="K37" s="675" t="str">
        <f>IF(K27="","",IF(K2="X - X",VLOOKUP(K27,'Moms de Empt'!$P$3:$T$36,2,0),VLOOKUP(K27,'Moms de Empt'!$P$3:$T$36,4,0)))</f>
        <v/>
      </c>
      <c r="L37" s="676"/>
      <c r="M37" s="677"/>
      <c r="N37" s="675" t="str">
        <f>IF(N27="","",IF(K2="X - X",VLOOKUP(N27,'Moms de Empt'!$P$3:$T$36,2,0),VLOOKUP(N27,'Moms de Empt'!$P$3:$T$36,4,0)))</f>
        <v/>
      </c>
      <c r="O37" s="676"/>
      <c r="P37" s="677"/>
      <c r="Q37" s="675" t="str">
        <f>IF(Q27="","",IF(K2="X - X",VLOOKUP(Q27,'Moms de Empt'!$P$3:$T$36,2,0),VLOOKUP(Q27,'Moms de Empt'!$P$3:$T$36,4,0)))</f>
        <v/>
      </c>
      <c r="R37" s="676"/>
      <c r="S37" s="677"/>
      <c r="T37" s="675" t="str">
        <f>IF(T27="","",IF(K2="X - X",VLOOKUP(T27,'Moms de Empt'!$P$3:$T$36,2,0),VLOOKUP(T27,'Moms de Empt'!$P$3:$T$36,4,0)))</f>
        <v/>
      </c>
      <c r="U37" s="676"/>
      <c r="V37" s="677"/>
      <c r="W37" s="675" t="str">
        <f>IF(W27="","",IF(K2="X - X",VLOOKUP(W27,'Moms de Empt'!$P$3:$T$36,2,0),VLOOKUP(W27,'Moms de Empt'!$P$3:$T$36,4,0)))</f>
        <v/>
      </c>
      <c r="X37" s="676"/>
      <c r="Y37" s="677"/>
      <c r="Z37" s="675" t="str">
        <f>IF(Z27="","",IF(K2="X - X",VLOOKUP(Z27,'Moms de Empt'!$P$3:$T$36,2,0),VLOOKUP(Z27,'Moms de Empt'!$P$3:$T$36,4,0)))</f>
        <v/>
      </c>
      <c r="AA37" s="676"/>
      <c r="AB37" s="677"/>
      <c r="AC37" s="40"/>
      <c r="AD37" s="321" t="str">
        <f>+IF(AM27="","",AM27)</f>
        <v/>
      </c>
      <c r="AE37" s="324" t="str">
        <f>IF(Z27="","",IF($K$2="X - X",VLOOKUP(Z27,Espesor!$C$8:$E$41,2,0),VLOOKUP(Z27,Espesor!$C$8:$E$41,3,0)))</f>
        <v/>
      </c>
      <c r="AF37" s="319" t="str">
        <f>IF(AD37="","",IF(LOOKUP(AD37,Espesor!$C$8:$C$41,Espesor!$K$8:$K$41)="en voladizo","",IF(AD38="",0.75/AE37,1/AE37)))</f>
        <v/>
      </c>
      <c r="AG37" s="309" t="str">
        <f>IF(AF37="","",IF(AK11="","",ROUND(AF37/(AF37+AK11),3)))</f>
        <v/>
      </c>
      <c r="AH37" s="634"/>
      <c r="AI37" s="309" t="str">
        <f>IF(AK11="","",IF(AF37="","",ROUND(AK11/(AK11+AF37),3)))</f>
        <v/>
      </c>
      <c r="AJ37" s="634"/>
      <c r="AK37" s="317">
        <f>IF(J2="",0,IF($K$2="X - X",VLOOKUP(J2,'Moms de Empt'!$P$3:$T$36,3,0),VLOOKUP(J2,'Moms de Empt'!$P$3:$T$36,5,0)))</f>
        <v>0</v>
      </c>
      <c r="AL37" s="317">
        <f t="shared" si="32"/>
        <v>0</v>
      </c>
      <c r="AM37" s="307" t="str">
        <f>IF(AI11="","",IF(LOOKUP(AI11,[6]Espesor!$C$8:$C$41,[6]Espesor!$K$8:$K$41)="en voladizo",MAX(ABS(AL37),ABS(AQ11)),-(AQ11-AL37)))</f>
        <v/>
      </c>
      <c r="AN37" s="629"/>
      <c r="AO37" s="314" t="str">
        <f t="shared" ref="AO37" si="45">IF(AG37="","",AM37*AG37)</f>
        <v/>
      </c>
      <c r="AP37" s="630"/>
      <c r="AQ37" s="315" t="str">
        <f t="shared" ref="AQ37" si="46">IF(AI37="","",AM37*AI37)</f>
        <v/>
      </c>
      <c r="AR37" s="630"/>
      <c r="AS37" s="312" t="str">
        <f t="shared" ref="AS37" si="47">IF(AM37="","",IF(AL37="",IF(AO37="",0,AO37),IF(AO37="",AL37,AL37+AO37)))</f>
        <v/>
      </c>
      <c r="AT37" s="632"/>
      <c r="AU37" s="311"/>
      <c r="AV37" s="333" t="str">
        <f>IF(Z27="","",IF(K2="X - X",VLOOKUP(Z27,'Moms de Empt'!$P$3:$T$36,2,0),VLOOKUP(Z27,'Moms de Empt'!$P$3:$T$36,4,0)))</f>
        <v/>
      </c>
      <c r="AW37" s="334" t="str">
        <f>IF(AV37="","",IF(BA11="","",ROUND(AV37/(AV37+BA11),3)))</f>
        <v/>
      </c>
      <c r="AX37" s="633"/>
      <c r="AY37" s="334" t="str">
        <f>IF(BA11="","",IF(AV37="","",ROUND(BA11/(BA11+AV37),3)))</f>
        <v/>
      </c>
      <c r="AZ37" s="633"/>
      <c r="BA37" s="331"/>
      <c r="BC37" s="401"/>
      <c r="BD37" s="398"/>
      <c r="BE37" s="391"/>
      <c r="BF37" s="394"/>
      <c r="BG37" s="393"/>
      <c r="BH37" s="30"/>
      <c r="BI37" s="30"/>
      <c r="BJ37" s="30"/>
      <c r="BK37" s="30"/>
      <c r="BL37" s="30"/>
      <c r="BM37" s="30"/>
      <c r="BN37" s="278"/>
      <c r="BO37" s="278"/>
      <c r="BP37" s="278"/>
      <c r="BQ37" s="278"/>
      <c r="BR37" s="278"/>
      <c r="BS37" s="278"/>
      <c r="BT37" s="278"/>
      <c r="BU37" s="278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477"/>
    </row>
    <row r="38" spans="1:92" s="210" customFormat="1" ht="21.75" customHeight="1" thickBot="1">
      <c r="A38" s="258"/>
      <c r="B38" s="209"/>
      <c r="C38" s="209"/>
      <c r="D38" s="209">
        <f>IF(B29="","",IF(D31="","",IF(ABS(D35)&gt;ABS(D31),-0.5*ABS(D33),0.5*ABS(D33))))</f>
        <v>0.12518235000000003</v>
      </c>
      <c r="E38" s="209">
        <f>IF(E29="","",IF(E31="","",IF(ABS(D35)&gt;ABS(E31),-0.5*ABS(E33),0.5*ABS(E33))))</f>
        <v>-0.15486765000000002</v>
      </c>
      <c r="F38" s="209"/>
      <c r="G38" s="209" t="str">
        <f>IF(E29="","",IF(G31="","",IF(ABS(G35)&gt;ABS(G31),-0.5*ABS(G33),0.5*ABS(G33))))</f>
        <v/>
      </c>
      <c r="H38" s="209" t="str">
        <f>IF(H29="","",IF(H31="","",IF(ABS(G35)&gt;ABS(H31),-0.5*ABS(H33),0.5*ABS(H33))))</f>
        <v/>
      </c>
      <c r="I38" s="209"/>
      <c r="J38" s="209" t="str">
        <f>IF(H29="","",IF(J31="","",IF(ABS(J35)&gt;ABS(J31),-0.5*ABS(J33),0.5*ABS(J33))))</f>
        <v/>
      </c>
      <c r="K38" s="209" t="str">
        <f>IF(K29="","",IF(K31="","",IF(ABS(J35)&gt;ABS(K31),-0.5*ABS(K33),0.5*ABS(K33))))</f>
        <v/>
      </c>
      <c r="L38" s="209"/>
      <c r="M38" s="209" t="str">
        <f>IF(K29="","",IF(M31="","",IF(ABS(M35)&gt;ABS(M31),-0.5*ABS(M33),0.5*ABS(M33))))</f>
        <v/>
      </c>
      <c r="N38" s="209" t="str">
        <f>IF(N29="","",IF(N31="","",IF(ABS(M35)&gt;ABS(N31),-0.5*ABS(N33),0.5*ABS(N33))))</f>
        <v/>
      </c>
      <c r="O38" s="209"/>
      <c r="P38" s="209" t="str">
        <f>IF(N29="","",IF(P31="","",IF(ABS(P35)&gt;ABS(P31),-0.5*ABS(P33),0.5*ABS(P33))))</f>
        <v/>
      </c>
      <c r="Q38" s="209" t="str">
        <f>IF(Q29="","",IF(Q31="","",IF(ABS(P35)&gt;ABS(Q31),-0.5*ABS(Q33),0.5*ABS(Q33))))</f>
        <v/>
      </c>
      <c r="R38" s="209"/>
      <c r="S38" s="209" t="str">
        <f>IF(Q29="","",IF(S31="","",IF(ABS(S35)&gt;ABS(S31),-0.5*ABS(S33),0.5*ABS(S33))))</f>
        <v/>
      </c>
      <c r="T38" s="209" t="str">
        <f>IF(T29="","",IF(T31="","",IF(ABS(S35)&gt;ABS(T31),-0.5*ABS(T33),0.5*ABS(T33))))</f>
        <v/>
      </c>
      <c r="U38" s="209"/>
      <c r="V38" s="209" t="str">
        <f>IF(T29="","",IF(V31="","",IF(ABS(V35)&gt;ABS(V31),-0.5*ABS(V33),0.5*ABS(V33))))</f>
        <v/>
      </c>
      <c r="W38" s="209" t="str">
        <f>IF(W29="","",IF(W31="","",IF(ABS(V35)&gt;ABS(W31),-0.5*ABS(W33),0.5*ABS(W33))))</f>
        <v/>
      </c>
      <c r="X38" s="209"/>
      <c r="Y38" s="209" t="str">
        <f>IF(W29="","",IF(Y31="","",IF(ABS(Y35)&gt;ABS(Y31),-0.5*ABS(Y33),0.5*ABS(Y33))))</f>
        <v/>
      </c>
      <c r="Z38" s="209" t="str">
        <f>IF(Z29="","",IF(Z31="","",IF(ABS(Y35)&gt;ABS(Z31),-0.5*ABS(Z33),0.5*ABS(Z33))))</f>
        <v/>
      </c>
      <c r="AA38" s="209"/>
      <c r="AB38" s="209" t="str">
        <f>IF(Z29="","",IF(AB31="","",IF(AB35&gt;-AB31,IF(AB33&lt;0,0.5*AB33,-0.5*AB33),0.5*AB33)))</f>
        <v/>
      </c>
      <c r="AC38" s="209"/>
      <c r="AK38" s="40"/>
      <c r="AM38" s="40"/>
      <c r="AN38" s="40"/>
      <c r="AO38" s="40"/>
      <c r="AP38" s="40"/>
      <c r="AQ38" s="40"/>
      <c r="AR38" s="40"/>
      <c r="AS38" s="40"/>
      <c r="AT38" s="40"/>
      <c r="BC38" s="401"/>
      <c r="BD38" s="398"/>
      <c r="BE38" s="391"/>
      <c r="BF38" s="394"/>
      <c r="BG38" s="393"/>
      <c r="BH38" s="393"/>
      <c r="BI38" s="393"/>
      <c r="BJ38" s="393"/>
      <c r="BK38" s="393"/>
      <c r="BL38" s="393"/>
      <c r="BM38" s="393"/>
      <c r="BN38" s="390"/>
      <c r="BO38" s="395"/>
      <c r="BP38" s="395"/>
      <c r="BQ38" s="395"/>
      <c r="BR38" s="395"/>
      <c r="BS38" s="395"/>
      <c r="BT38" s="395"/>
      <c r="BU38" s="395"/>
      <c r="BV38" s="395"/>
      <c r="BW38" s="395"/>
      <c r="BX38" s="395"/>
      <c r="BY38" s="395"/>
      <c r="BZ38" s="395"/>
      <c r="CA38" s="395"/>
      <c r="CB38" s="390"/>
      <c r="CC38" s="395"/>
      <c r="CD38" s="395"/>
      <c r="CE38" s="395"/>
      <c r="CF38" s="390"/>
      <c r="CG38" s="395"/>
      <c r="CH38" s="395"/>
      <c r="CI38" s="395"/>
      <c r="CJ38" s="395"/>
      <c r="CK38" s="395"/>
      <c r="CL38" s="395"/>
      <c r="CM38" s="478"/>
    </row>
    <row r="39" spans="1:92" s="260" customFormat="1" ht="21.75" customHeight="1" thickBot="1">
      <c r="A39" s="259" t="s">
        <v>128</v>
      </c>
      <c r="B39" s="672">
        <f>IF(B38="",IF(D38="",B37,B37+D38),IF(D38="",B37+B38,B37+B38+D38))</f>
        <v>0.89508235000000003</v>
      </c>
      <c r="C39" s="673"/>
      <c r="D39" s="674"/>
      <c r="E39" s="672">
        <f>IF(E38="",IF(G38="",E37,E37+G38),IF(G38="",E37+E38,E37+E38+G38))</f>
        <v>0.19253234999999996</v>
      </c>
      <c r="F39" s="673"/>
      <c r="G39" s="674"/>
      <c r="H39" s="672" t="str">
        <f>IF(H38="",IF(J38="",H37,H37+J38),IF(J38="",H37+H38,H37+H38+J38))</f>
        <v/>
      </c>
      <c r="I39" s="673"/>
      <c r="J39" s="674"/>
      <c r="K39" s="672" t="str">
        <f>IF(K38="",IF(M38="",K37,K37+M38),IF(M38="",K37+K38,K37+K38+M38))</f>
        <v/>
      </c>
      <c r="L39" s="673"/>
      <c r="M39" s="674"/>
      <c r="N39" s="672" t="str">
        <f>IF(N38="",IF(P38="",N37,N37+P38),IF(P38="",N37+N38,N37+N38+P38))</f>
        <v/>
      </c>
      <c r="O39" s="673"/>
      <c r="P39" s="674"/>
      <c r="Q39" s="672" t="str">
        <f>IF(Q38="",IF(S38="",Q37,Q37+S38),IF(S38="",Q37+Q38,Q37+Q38+S38))</f>
        <v/>
      </c>
      <c r="R39" s="673"/>
      <c r="S39" s="674"/>
      <c r="T39" s="672" t="str">
        <f>IF(T38="",IF(V38="",T37,T37+V38),IF(V38="",T37+T38,T37+T38+V38))</f>
        <v/>
      </c>
      <c r="U39" s="673"/>
      <c r="V39" s="674"/>
      <c r="W39" s="672" t="str">
        <f>IF(W38="",IF(Y38="",W37,W37+Y38),IF(Y38="",W37+W38,W37+W38+Y38))</f>
        <v/>
      </c>
      <c r="X39" s="673"/>
      <c r="Y39" s="674"/>
      <c r="Z39" s="672" t="str">
        <f>IF(Z38="",IF(AB38="",Z37,Z37+AB38),IF(AB38="",Z37+Z38,Z37+Z38+AB38))</f>
        <v/>
      </c>
      <c r="AA39" s="673"/>
      <c r="AB39" s="674"/>
      <c r="AC39" s="39"/>
      <c r="AK39" s="39"/>
      <c r="AL39" s="39"/>
      <c r="AO39" s="39"/>
      <c r="AP39" s="39"/>
      <c r="AQ39" s="39"/>
      <c r="AR39" s="39"/>
      <c r="BC39" s="401"/>
      <c r="BD39" s="398"/>
      <c r="BE39" s="391"/>
      <c r="BF39" s="258"/>
      <c r="BG39" s="278"/>
      <c r="BH39" s="393"/>
      <c r="BI39" s="393"/>
      <c r="BJ39" s="393"/>
      <c r="BK39" s="393"/>
      <c r="BL39" s="393"/>
      <c r="BM39" s="393"/>
      <c r="BN39" s="390"/>
      <c r="BO39" s="396"/>
      <c r="BP39" s="396"/>
      <c r="BQ39" s="396"/>
      <c r="BR39" s="396"/>
      <c r="BS39" s="396"/>
      <c r="BT39" s="396"/>
      <c r="BU39" s="396"/>
      <c r="BV39" s="396"/>
      <c r="BW39" s="396"/>
      <c r="BX39" s="396"/>
      <c r="BY39" s="396"/>
      <c r="BZ39" s="396"/>
      <c r="CA39" s="396"/>
      <c r="CB39" s="390"/>
      <c r="CC39" s="396"/>
      <c r="CD39" s="396"/>
      <c r="CE39" s="396"/>
      <c r="CF39" s="390"/>
      <c r="CG39" s="396"/>
      <c r="CH39" s="396"/>
      <c r="CI39" s="396"/>
      <c r="CJ39" s="396"/>
      <c r="CK39" s="396"/>
      <c r="CL39" s="396"/>
      <c r="CM39" s="431"/>
    </row>
    <row r="40" spans="1:92" ht="21.75" customHeight="1">
      <c r="L40" s="421"/>
      <c r="BC40" s="401"/>
      <c r="BD40" s="398"/>
      <c r="BE40" s="391"/>
      <c r="BF40" s="278"/>
      <c r="BG40" s="258"/>
      <c r="BH40" s="278"/>
      <c r="BI40" s="278"/>
      <c r="BJ40" s="278"/>
      <c r="BK40" s="278"/>
      <c r="BL40" s="278"/>
      <c r="BM40" s="278"/>
      <c r="BN40" s="390"/>
      <c r="CB40" s="390"/>
      <c r="CF40" s="390"/>
    </row>
    <row r="41" spans="1:92" ht="21.75" customHeight="1">
      <c r="BC41" s="401"/>
      <c r="BD41" s="398"/>
      <c r="BE41" s="391"/>
      <c r="BF41" s="394"/>
      <c r="BG41" s="395"/>
      <c r="BH41" s="278"/>
      <c r="BI41" s="278"/>
      <c r="BJ41" s="278"/>
      <c r="BK41" s="278"/>
      <c r="BL41" s="278"/>
      <c r="BM41" s="278"/>
      <c r="BN41" s="397"/>
      <c r="BO41" s="397"/>
      <c r="BP41" s="397"/>
      <c r="BQ41" s="397"/>
      <c r="BR41" s="397"/>
      <c r="BS41" s="397"/>
      <c r="BT41" s="397"/>
      <c r="BU41" s="397"/>
      <c r="BV41" s="397"/>
      <c r="BW41" s="397"/>
      <c r="BX41" s="397"/>
      <c r="BY41" s="397"/>
      <c r="BZ41" s="397"/>
      <c r="CA41" s="397"/>
      <c r="CB41" s="397"/>
      <c r="CC41" s="397"/>
      <c r="CD41" s="397"/>
      <c r="CE41" s="397"/>
      <c r="CF41" s="397"/>
      <c r="CG41" s="397"/>
      <c r="CH41" s="397"/>
      <c r="CI41" s="397"/>
      <c r="CJ41" s="397"/>
      <c r="CK41" s="397"/>
      <c r="CL41" s="397"/>
      <c r="CM41" s="472"/>
    </row>
    <row r="42" spans="1:92" s="263" customFormat="1" ht="21.75" customHeight="1" thickBot="1">
      <c r="A42" s="626">
        <f>+A3</f>
        <v>2</v>
      </c>
      <c r="B42" s="626"/>
      <c r="C42" s="626"/>
      <c r="D42" s="626"/>
      <c r="E42" s="626"/>
      <c r="F42" s="627"/>
      <c r="G42" s="627"/>
      <c r="H42" s="627"/>
      <c r="I42" s="627"/>
      <c r="J42" s="628" t="s">
        <v>134</v>
      </c>
      <c r="K42" s="628"/>
      <c r="L42" s="271" t="str">
        <f>K3</f>
        <v>X - X</v>
      </c>
      <c r="M42" s="262"/>
      <c r="N42" s="404"/>
      <c r="O42" s="402"/>
      <c r="P42" s="262"/>
      <c r="BC42" s="401"/>
      <c r="BD42" s="398"/>
      <c r="BE42" s="391"/>
      <c r="BF42" s="396"/>
      <c r="BG42" s="396"/>
      <c r="BH42" s="395"/>
      <c r="BI42" s="395"/>
      <c r="BJ42" s="395"/>
      <c r="BK42" s="395"/>
      <c r="BL42" s="395"/>
      <c r="BM42" s="395"/>
      <c r="BN42" s="390"/>
      <c r="BO42" s="397"/>
      <c r="BP42" s="397"/>
      <c r="BQ42" s="397"/>
      <c r="BR42" s="397"/>
      <c r="BS42" s="397"/>
      <c r="BT42" s="397"/>
      <c r="BU42" s="397"/>
      <c r="BV42" s="397"/>
      <c r="BW42" s="397"/>
      <c r="BX42" s="397"/>
      <c r="BY42" s="397"/>
      <c r="BZ42" s="397"/>
      <c r="CA42" s="397"/>
      <c r="CB42" s="390"/>
      <c r="CC42" s="397"/>
      <c r="CD42" s="397"/>
      <c r="CE42" s="397"/>
      <c r="CF42" s="390"/>
      <c r="CG42" s="397"/>
      <c r="CH42" s="397"/>
      <c r="CI42" s="397"/>
      <c r="CJ42" s="397"/>
      <c r="CK42" s="397"/>
      <c r="CL42" s="397"/>
      <c r="CM42" s="472"/>
    </row>
    <row r="43" spans="1:92" s="263" customFormat="1" ht="21.75" customHeight="1" thickTop="1">
      <c r="A43" s="686" t="str">
        <f>+Espesor!$J$3</f>
        <v>Techo</v>
      </c>
      <c r="B43" s="686"/>
      <c r="C43" s="687" t="s">
        <v>136</v>
      </c>
      <c r="D43" s="687"/>
      <c r="E43" s="264" t="str">
        <f t="shared" ref="E43:M43" si="48">IF(B3="","",B3)</f>
        <v/>
      </c>
      <c r="F43" s="264" t="str">
        <f t="shared" si="48"/>
        <v/>
      </c>
      <c r="G43" s="264" t="str">
        <f t="shared" si="48"/>
        <v/>
      </c>
      <c r="H43" s="264" t="str">
        <f t="shared" si="48"/>
        <v/>
      </c>
      <c r="I43" s="264" t="str">
        <f t="shared" si="48"/>
        <v/>
      </c>
      <c r="J43" s="264" t="str">
        <f t="shared" si="48"/>
        <v/>
      </c>
      <c r="K43" s="264" t="str">
        <f t="shared" si="48"/>
        <v/>
      </c>
      <c r="L43" s="264" t="str">
        <f t="shared" si="48"/>
        <v/>
      </c>
      <c r="M43" s="264" t="str">
        <f t="shared" si="48"/>
        <v/>
      </c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BC43" s="401"/>
      <c r="BD43" s="398"/>
      <c r="BE43" s="391"/>
      <c r="BF43" s="396"/>
      <c r="BG43" s="396"/>
      <c r="BH43" s="395"/>
      <c r="BI43" s="395"/>
      <c r="BJ43" s="395"/>
      <c r="BK43" s="395"/>
      <c r="BL43" s="395"/>
      <c r="BM43" s="395"/>
      <c r="BN43" s="390"/>
      <c r="BO43" s="397"/>
      <c r="BP43" s="397"/>
      <c r="BQ43" s="397"/>
      <c r="BR43" s="397"/>
      <c r="BS43" s="397"/>
      <c r="BT43" s="397"/>
      <c r="BU43" s="397"/>
      <c r="BV43" s="397"/>
      <c r="BW43" s="397"/>
      <c r="BX43" s="397"/>
      <c r="BY43" s="397"/>
      <c r="BZ43" s="397"/>
      <c r="CA43" s="397"/>
      <c r="CB43" s="390"/>
      <c r="CC43" s="397"/>
      <c r="CD43" s="397"/>
      <c r="CE43" s="397"/>
      <c r="CF43" s="390"/>
      <c r="CG43" s="397"/>
      <c r="CH43" s="397"/>
      <c r="CI43" s="397"/>
      <c r="CJ43" s="397"/>
      <c r="CK43" s="397"/>
      <c r="CL43" s="397"/>
      <c r="CM43" s="472"/>
    </row>
    <row r="44" spans="1:92" s="263" customFormat="1" ht="21.75" customHeight="1">
      <c r="A44" s="403"/>
      <c r="B44" s="403"/>
      <c r="C44" s="289"/>
      <c r="D44" s="289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D44" s="624" t="s">
        <v>64</v>
      </c>
      <c r="AE44" s="624"/>
      <c r="AF44" s="624"/>
      <c r="AG44" s="624"/>
      <c r="AH44" s="624"/>
      <c r="AI44" s="624"/>
      <c r="AJ44" s="624"/>
      <c r="AK44" s="624"/>
      <c r="AL44" s="624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C44" s="401"/>
      <c r="BD44" s="398"/>
      <c r="BE44" s="391"/>
      <c r="BF44" s="396"/>
      <c r="BG44" s="396"/>
      <c r="BH44" s="396"/>
      <c r="BI44" s="396"/>
      <c r="BJ44" s="396"/>
      <c r="BK44" s="396"/>
      <c r="BL44" s="396"/>
      <c r="BM44" s="396"/>
      <c r="BN44" s="390"/>
      <c r="BO44" s="397"/>
      <c r="BP44" s="397"/>
      <c r="BQ44" s="397"/>
      <c r="BR44" s="397"/>
      <c r="BS44" s="397"/>
      <c r="BT44" s="397"/>
      <c r="BU44" s="397"/>
      <c r="BV44" s="397"/>
      <c r="BW44" s="397"/>
      <c r="BX44" s="397"/>
      <c r="BY44" s="397"/>
      <c r="BZ44" s="397"/>
      <c r="CA44" s="397"/>
      <c r="CB44" s="390"/>
      <c r="CC44" s="397"/>
      <c r="CD44" s="397"/>
      <c r="CE44" s="397"/>
      <c r="CF44" s="390"/>
      <c r="CG44" s="397"/>
      <c r="CH44" s="397"/>
      <c r="CI44" s="397"/>
      <c r="CJ44" s="397"/>
      <c r="CK44" s="397"/>
      <c r="CL44" s="397"/>
      <c r="CM44" s="472"/>
    </row>
    <row r="45" spans="1:92" s="242" customFormat="1" ht="21.75" customHeight="1" thickBot="1">
      <c r="A45" s="360"/>
      <c r="B45" s="682" t="str">
        <f>IF($E43="","",$E43)</f>
        <v/>
      </c>
      <c r="C45" s="682"/>
      <c r="D45" s="682"/>
      <c r="E45" s="682" t="str">
        <f>IF($F43="","",$F43)</f>
        <v/>
      </c>
      <c r="F45" s="682"/>
      <c r="G45" s="682"/>
      <c r="H45" s="682" t="str">
        <f>IF($G43="","",$G43)</f>
        <v/>
      </c>
      <c r="I45" s="682"/>
      <c r="J45" s="682"/>
      <c r="K45" s="682" t="str">
        <f>IF($H43="","",$H43)</f>
        <v/>
      </c>
      <c r="L45" s="682"/>
      <c r="M45" s="682"/>
      <c r="N45" s="682" t="str">
        <f>IF($I43="","",$I43)</f>
        <v/>
      </c>
      <c r="O45" s="682"/>
      <c r="P45" s="682"/>
      <c r="Q45" s="682" t="str">
        <f>IF($J43="","",$J43)</f>
        <v/>
      </c>
      <c r="R45" s="682"/>
      <c r="S45" s="682"/>
      <c r="T45" s="682" t="str">
        <f>IF($K43="","",$K43)</f>
        <v/>
      </c>
      <c r="U45" s="682"/>
      <c r="V45" s="682"/>
      <c r="W45" s="682" t="str">
        <f>IF($L43="","",$L43)</f>
        <v/>
      </c>
      <c r="X45" s="682"/>
      <c r="Y45" s="682"/>
      <c r="Z45" s="682" t="str">
        <f>IF($M43="","",$M43)</f>
        <v/>
      </c>
      <c r="AA45" s="682"/>
      <c r="AB45" s="682"/>
      <c r="AC45" s="420"/>
      <c r="AD45" s="287">
        <f>+A20</f>
        <v>8</v>
      </c>
      <c r="AE45" s="325" t="str">
        <f>+IF(B20="","",B20)</f>
        <v/>
      </c>
      <c r="AF45" s="325" t="str">
        <f>+IF(C20="","",C20)</f>
        <v/>
      </c>
      <c r="AG45" s="325" t="str">
        <f t="shared" ref="AG45" si="49">+IF(D20="","",D20)</f>
        <v/>
      </c>
      <c r="AH45" s="325" t="str">
        <f t="shared" ref="AH45" si="50">+IF(E20="","",E20)</f>
        <v/>
      </c>
      <c r="AI45" s="325" t="str">
        <f t="shared" ref="AI45" si="51">+IF(F20="","",F20)</f>
        <v/>
      </c>
      <c r="AJ45" s="325" t="str">
        <f t="shared" ref="AJ45" si="52">+IF(G20="","",G20)</f>
        <v/>
      </c>
      <c r="AK45" s="325" t="str">
        <f t="shared" ref="AK45" si="53">+IF(H20="","",H20)</f>
        <v/>
      </c>
      <c r="AL45" s="325" t="str">
        <f t="shared" ref="AL45" si="54">+IF(I20="","",I20)</f>
        <v/>
      </c>
      <c r="AM45" s="325" t="str">
        <f t="shared" ref="AM45" si="55">+IF(J20="","",J20)</f>
        <v/>
      </c>
      <c r="BC45" s="422"/>
      <c r="BD45" s="423" t="str">
        <f>+$BD$27</f>
        <v>M±</v>
      </c>
      <c r="BE45" s="423">
        <f>BE$27</f>
        <v>1</v>
      </c>
      <c r="BF45" s="423">
        <f t="shared" ref="BF45:CL45" si="56">BF$27</f>
        <v>2</v>
      </c>
      <c r="BG45" s="423">
        <f t="shared" si="56"/>
        <v>3</v>
      </c>
      <c r="BH45" s="423">
        <f t="shared" si="56"/>
        <v>4</v>
      </c>
      <c r="BI45" s="423">
        <f t="shared" si="56"/>
        <v>5</v>
      </c>
      <c r="BJ45" s="423">
        <f t="shared" si="56"/>
        <v>6</v>
      </c>
      <c r="BK45" s="423">
        <f t="shared" si="56"/>
        <v>7</v>
      </c>
      <c r="BL45" s="423">
        <f t="shared" si="56"/>
        <v>8</v>
      </c>
      <c r="BM45" s="423">
        <f t="shared" si="56"/>
        <v>9</v>
      </c>
      <c r="BN45" s="423">
        <f t="shared" si="56"/>
        <v>10</v>
      </c>
      <c r="BO45" s="423">
        <f t="shared" si="56"/>
        <v>11</v>
      </c>
      <c r="BP45" s="423">
        <f t="shared" si="56"/>
        <v>12</v>
      </c>
      <c r="BQ45" s="423">
        <f t="shared" si="56"/>
        <v>13</v>
      </c>
      <c r="BR45" s="423">
        <f t="shared" si="56"/>
        <v>14</v>
      </c>
      <c r="BS45" s="423">
        <f t="shared" si="56"/>
        <v>15</v>
      </c>
      <c r="BT45" s="423">
        <f t="shared" si="56"/>
        <v>16</v>
      </c>
      <c r="BU45" s="423">
        <f t="shared" si="56"/>
        <v>17</v>
      </c>
      <c r="BV45" s="423">
        <f t="shared" si="56"/>
        <v>18</v>
      </c>
      <c r="BW45" s="423">
        <f t="shared" si="56"/>
        <v>19</v>
      </c>
      <c r="BX45" s="423">
        <f t="shared" si="56"/>
        <v>20</v>
      </c>
      <c r="BY45" s="423">
        <f t="shared" si="56"/>
        <v>21</v>
      </c>
      <c r="BZ45" s="423">
        <f t="shared" si="56"/>
        <v>22</v>
      </c>
      <c r="CA45" s="423">
        <f t="shared" si="56"/>
        <v>23</v>
      </c>
      <c r="CB45" s="423">
        <f t="shared" si="56"/>
        <v>24</v>
      </c>
      <c r="CC45" s="423">
        <f t="shared" si="56"/>
        <v>25</v>
      </c>
      <c r="CD45" s="423">
        <f t="shared" si="56"/>
        <v>26</v>
      </c>
      <c r="CE45" s="423">
        <f t="shared" si="56"/>
        <v>27</v>
      </c>
      <c r="CF45" s="423">
        <f t="shared" si="56"/>
        <v>28</v>
      </c>
      <c r="CG45" s="423">
        <f t="shared" si="56"/>
        <v>29</v>
      </c>
      <c r="CH45" s="423">
        <f t="shared" si="56"/>
        <v>30</v>
      </c>
      <c r="CI45" s="423">
        <f t="shared" si="56"/>
        <v>31</v>
      </c>
      <c r="CJ45" s="423">
        <f t="shared" si="56"/>
        <v>32</v>
      </c>
      <c r="CK45" s="423">
        <f t="shared" si="56"/>
        <v>33</v>
      </c>
      <c r="CL45" s="423">
        <f t="shared" si="56"/>
        <v>34</v>
      </c>
      <c r="CM45" s="473"/>
      <c r="CN45" s="263"/>
    </row>
    <row r="46" spans="1:92" s="245" customFormat="1" ht="21.75" customHeight="1" thickBot="1">
      <c r="A46" s="413" t="s">
        <v>3</v>
      </c>
      <c r="B46" s="683" t="str">
        <f>IF(B45="","",IF(K3="X - X",VLOOKUP(B45,Espesor!$C$8:$E$41,2,0),VLOOKUP(B45,Espesor!$C$8:$E$41,3,0)))</f>
        <v/>
      </c>
      <c r="C46" s="684"/>
      <c r="D46" s="685"/>
      <c r="E46" s="683" t="str">
        <f>IF(E45="","",IF(K3="X - X",VLOOKUP(E45,Espesor!$C$8:$E$41,2,0),VLOOKUP(E45,Espesor!$C$8:$E$41,3,0)))</f>
        <v/>
      </c>
      <c r="F46" s="684"/>
      <c r="G46" s="685"/>
      <c r="H46" s="683" t="str">
        <f>IF(H45="","",IF(K3="X - X",VLOOKUP(H45,Espesor!$C$8:$E$41,2,0),VLOOKUP(H45,Espesor!$C$8:$E$41,3,0)))</f>
        <v/>
      </c>
      <c r="I46" s="684"/>
      <c r="J46" s="685"/>
      <c r="K46" s="683" t="str">
        <f>IF(K45="","",IF(K3="X - X",VLOOKUP(K45,Espesor!$C$8:$E$41,2,0),VLOOKUP(K45,Espesor!$C$8:$E$41,3,0)))</f>
        <v/>
      </c>
      <c r="L46" s="684"/>
      <c r="M46" s="685"/>
      <c r="N46" s="683" t="str">
        <f>IF(N45="","",IF(K3="X - X",VLOOKUP(N45,Espesor!$C$8:$E$41,2,0),VLOOKUP(N45,Espesor!$C$8:$E$41,3,0)))</f>
        <v/>
      </c>
      <c r="O46" s="684"/>
      <c r="P46" s="685"/>
      <c r="Q46" s="683" t="str">
        <f>IF(Q45="","",IF(K3="X - X",VLOOKUP(Q45,Espesor!$C$8:$E$41,2,0),VLOOKUP(Q45,Espesor!$C$8:$E$41,3,0)))</f>
        <v/>
      </c>
      <c r="R46" s="684"/>
      <c r="S46" s="685"/>
      <c r="T46" s="683" t="str">
        <f>IF(T45="","",IF(K3="X - X",VLOOKUP(T45,Espesor!$C$8:$E$41,2,0),VLOOKUP(T45,Espesor!$C$8:$E$41,3,0)))</f>
        <v/>
      </c>
      <c r="U46" s="684"/>
      <c r="V46" s="685"/>
      <c r="W46" s="683" t="str">
        <f>IF(W45="","",IF(K3="X - X",VLOOKUP(W45,Espesor!$C$8:$E$41,2,0),VLOOKUP(W45,Espesor!$C$8:$E$41,3,0)))</f>
        <v/>
      </c>
      <c r="X46" s="684"/>
      <c r="Y46" s="685"/>
      <c r="Z46" s="683" t="str">
        <f>IF(Z45="","",IF(K3="X - X",VLOOKUP(Z45,Espesor!$C$8:$E$41,2,0),VLOOKUP(Z45,Espesor!$C$8:$E$41,3,0)))</f>
        <v/>
      </c>
      <c r="AA46" s="684"/>
      <c r="AB46" s="685"/>
      <c r="AC46" s="380"/>
      <c r="AD46" s="338" t="s">
        <v>4</v>
      </c>
      <c r="AE46" s="322" t="s">
        <v>3</v>
      </c>
      <c r="AF46" s="339" t="s">
        <v>138</v>
      </c>
      <c r="AG46" s="637" t="s">
        <v>139</v>
      </c>
      <c r="AH46" s="638"/>
      <c r="AI46" s="638"/>
      <c r="AJ46" s="639"/>
      <c r="AK46" s="640" t="s">
        <v>142</v>
      </c>
      <c r="AL46" s="641"/>
      <c r="AM46" s="637" t="s">
        <v>143</v>
      </c>
      <c r="AN46" s="639"/>
      <c r="AO46" s="642" t="s">
        <v>144</v>
      </c>
      <c r="AP46" s="643"/>
      <c r="AQ46" s="643"/>
      <c r="AR46" s="644"/>
      <c r="AS46" s="642" t="s">
        <v>145</v>
      </c>
      <c r="AT46" s="643"/>
      <c r="AU46" s="644"/>
      <c r="AV46" s="645" t="s">
        <v>157</v>
      </c>
      <c r="AW46" s="646"/>
      <c r="AX46" s="646"/>
      <c r="AY46" s="646"/>
      <c r="AZ46" s="646"/>
      <c r="BA46" s="647"/>
      <c r="BC46" s="422">
        <f>+A42</f>
        <v>2</v>
      </c>
      <c r="BD46" s="424" t="s">
        <v>153</v>
      </c>
      <c r="BE46" s="328">
        <f>IF(BE45=$B$45,$B$57,IF(BE45=$E$45,$E$57,IF(BE45=$H$45,$H$57,IF(BE45=$K$45,$K$57,IF(BE45=$N$45,$N$57,IF(BE45=$Q$45,$Q$57,IF(BE45=$T$45,$T$57,IF(BE45=$W$45,$W$57,IF(BE45=$Z$45,$Z$57,0)))))))))</f>
        <v>0</v>
      </c>
      <c r="BF46" s="328">
        <f t="shared" ref="BF46:CL46" si="57">IF(BF45=$B$45,$B$57,IF(BF45=$E$45,$E$57,IF(BF45=$H$45,$H$57,IF(BF45=$K$45,$K$57,IF(BF45=$N$45,$N$57,IF(BF45=$Q$45,$Q$57,IF(BF45=$T$45,$T$57,IF(BF45=$W$45,$W$57,IF(BF45=$Z$45,$Z$57,0)))))))))</f>
        <v>0</v>
      </c>
      <c r="BG46" s="328">
        <f t="shared" si="57"/>
        <v>0</v>
      </c>
      <c r="BH46" s="328">
        <f t="shared" si="57"/>
        <v>0</v>
      </c>
      <c r="BI46" s="328">
        <f t="shared" si="57"/>
        <v>0</v>
      </c>
      <c r="BJ46" s="328">
        <f t="shared" si="57"/>
        <v>0</v>
      </c>
      <c r="BK46" s="328">
        <f t="shared" si="57"/>
        <v>0</v>
      </c>
      <c r="BL46" s="328">
        <f t="shared" si="57"/>
        <v>0</v>
      </c>
      <c r="BM46" s="328">
        <f t="shared" si="57"/>
        <v>0</v>
      </c>
      <c r="BN46" s="328">
        <f t="shared" si="57"/>
        <v>0</v>
      </c>
      <c r="BO46" s="328">
        <f t="shared" si="57"/>
        <v>0</v>
      </c>
      <c r="BP46" s="328">
        <f t="shared" si="57"/>
        <v>0</v>
      </c>
      <c r="BQ46" s="328">
        <f t="shared" si="57"/>
        <v>0</v>
      </c>
      <c r="BR46" s="328">
        <f t="shared" si="57"/>
        <v>0</v>
      </c>
      <c r="BS46" s="328">
        <f t="shared" si="57"/>
        <v>0</v>
      </c>
      <c r="BT46" s="328">
        <f t="shared" si="57"/>
        <v>0</v>
      </c>
      <c r="BU46" s="328">
        <f t="shared" si="57"/>
        <v>0</v>
      </c>
      <c r="BV46" s="328">
        <f t="shared" si="57"/>
        <v>0</v>
      </c>
      <c r="BW46" s="328">
        <f t="shared" si="57"/>
        <v>0</v>
      </c>
      <c r="BX46" s="328">
        <f t="shared" si="57"/>
        <v>0</v>
      </c>
      <c r="BY46" s="328">
        <f t="shared" si="57"/>
        <v>0</v>
      </c>
      <c r="BZ46" s="328">
        <f t="shared" si="57"/>
        <v>0</v>
      </c>
      <c r="CA46" s="328">
        <f t="shared" si="57"/>
        <v>0</v>
      </c>
      <c r="CB46" s="328">
        <f t="shared" si="57"/>
        <v>0</v>
      </c>
      <c r="CC46" s="328">
        <f t="shared" si="57"/>
        <v>0</v>
      </c>
      <c r="CD46" s="328">
        <f t="shared" si="57"/>
        <v>0</v>
      </c>
      <c r="CE46" s="328">
        <f t="shared" si="57"/>
        <v>0</v>
      </c>
      <c r="CF46" s="328">
        <f t="shared" si="57"/>
        <v>0</v>
      </c>
      <c r="CG46" s="328">
        <f t="shared" si="57"/>
        <v>0</v>
      </c>
      <c r="CH46" s="328">
        <f t="shared" si="57"/>
        <v>0</v>
      </c>
      <c r="CI46" s="328">
        <f t="shared" si="57"/>
        <v>0</v>
      </c>
      <c r="CJ46" s="328">
        <f>IF(CJ45=$B$45,$B$57,IF(CJ45=$E$45,$E$57,IF(CJ45=$H$45,$H$57,IF(CJ45=$K$45,$K$57,IF(CJ45=$N$45,$N$57,IF(CJ45=$Q$45,$Q$57,IF(CJ45=$T$45,$T$57,IF(CJ45=$W$45,$W$57,IF(CJ45=$Z$45,$Z$57,0)))))))))</f>
        <v>0</v>
      </c>
      <c r="CK46" s="328">
        <f t="shared" si="57"/>
        <v>0</v>
      </c>
      <c r="CL46" s="328">
        <f t="shared" si="57"/>
        <v>0</v>
      </c>
      <c r="CM46" s="432"/>
      <c r="CN46" s="242"/>
    </row>
    <row r="47" spans="1:92" s="246" customFormat="1" ht="23.25" customHeight="1">
      <c r="A47" s="257" t="s">
        <v>65</v>
      </c>
      <c r="B47" s="679" t="str">
        <f>+IF(B45="","",IF(LOOKUP(B45,Espesor!$C$8:$C$41,Espesor!$K$8:$K$41)="en voladizo","",0.75/B46))</f>
        <v/>
      </c>
      <c r="C47" s="680"/>
      <c r="D47" s="681"/>
      <c r="E47" s="679" t="str">
        <f>IF(E45="","",IF(LOOKUP(E45,Espesor!$C$8:$C$41,Espesor!$K$8:$K$41)="en voladizo","",IF(H45="",0.75/E46,1/E46)))</f>
        <v/>
      </c>
      <c r="F47" s="680"/>
      <c r="G47" s="681"/>
      <c r="H47" s="679" t="str">
        <f>IF(H45="","",IF(LOOKUP(H45,Espesor!$C$8:$C$41,Espesor!$K$8:$K$41)="en voladizo","",IF(K45="",0.75/H46,1/H46)))</f>
        <v/>
      </c>
      <c r="I47" s="680"/>
      <c r="J47" s="681"/>
      <c r="K47" s="679" t="str">
        <f>IF(K45="","",IF(LOOKUP(K45,Espesor!$C$8:$C$41,Espesor!$K$8:$K$41)="en voladizo","",IF(N45="",0.75/K46,1/K46)))</f>
        <v/>
      </c>
      <c r="L47" s="680"/>
      <c r="M47" s="681"/>
      <c r="N47" s="679" t="str">
        <f>IF(N45="","",IF(LOOKUP(N45,Espesor!$C$8:$C$41,Espesor!$K$8:$K$41)="en voladizo","",IF(Q45="",0.75/N46,1/N46)))</f>
        <v/>
      </c>
      <c r="O47" s="680"/>
      <c r="P47" s="681"/>
      <c r="Q47" s="679" t="str">
        <f>IF(Q45="","",IF(LOOKUP(Q45,Espesor!$C$8:$C$41,Espesor!$K$8:$K$41)="en voladizo","",IF(T45="",0.75/Q46,1/Q46)))</f>
        <v/>
      </c>
      <c r="R47" s="680"/>
      <c r="S47" s="681"/>
      <c r="T47" s="679" t="str">
        <f>IF(T45="","",IF(LOOKUP(T45,Espesor!$C$8:$C$41,Espesor!$K$8:$K$41)="en voladizo","",IF(W45="",0.75/T46,1/T46)))</f>
        <v/>
      </c>
      <c r="U47" s="680"/>
      <c r="V47" s="681"/>
      <c r="W47" s="679" t="str">
        <f>IF(W45="","",IF(LOOKUP(W45,Espesor!$C$8:$C$41,Espesor!$K$8:$K$41)="en voladizo","",IF(Z45="",0.75/W46,1/W46)))</f>
        <v/>
      </c>
      <c r="X47" s="680"/>
      <c r="Y47" s="681"/>
      <c r="Z47" s="679" t="str">
        <f>IF(Z45="","",IF(LOOKUP(Z45,Espesor!$C$8:$C$41,Espesor!$K$8:$K$41)="en voladizo","",IF(AC45="",0.75/Z46,1/Z46)))</f>
        <v/>
      </c>
      <c r="AA47" s="680"/>
      <c r="AB47" s="681"/>
      <c r="AC47" s="210"/>
      <c r="AD47" s="320" t="str">
        <f>+IF(AE45="","",AE45)</f>
        <v/>
      </c>
      <c r="AE47" s="323" t="str">
        <f>IF(B21="","",IF($K$2="X - X",VLOOKUP(B21,Espesor!$C$8:$E$41,2,0),VLOOKUP(B21,Espesor!$C$8:$E$41,3,0)))</f>
        <v/>
      </c>
      <c r="AF47" s="318" t="str">
        <f>+IF(AD47="","",IF(LOOKUP(AD47,Espesor!$C$8:$C$41,Espesor!$K$8:$K$41)="en voladizo","",0.75/AE47))</f>
        <v/>
      </c>
      <c r="AG47" s="648" t="str">
        <f>IF(AF47="","",IF(AF48="","",ROUND(AF47/(AF47+AF48),3)))</f>
        <v/>
      </c>
      <c r="AH47" s="343"/>
      <c r="AI47" s="648" t="str">
        <f>IF(AF48="","",IF(AF47="","",ROUND(AF48/(AF48+AF47),3)))</f>
        <v/>
      </c>
      <c r="AJ47" s="343"/>
      <c r="AK47" s="342">
        <v>0</v>
      </c>
      <c r="AL47" s="316" t="e">
        <f>-IF(B20="","",IF($K$2="X - X",VLOOKUP(B20,'Moms de Empt'!$P$3:$T$36,3,0),VLOOKUP(B20,'Moms de Empt'!$P$3:$T$36,5,0)))</f>
        <v>#VALUE!</v>
      </c>
      <c r="AM47" s="649">
        <f>IF(AD48="",0,IF(LOOKUP(AD48,Espesor!$C$8:$C$41,Espesor!$K$8:$K$41)="en voladizo",MAX(ABS(AL47),ABS(AK48)),-(AK48+AL47)))</f>
        <v>0</v>
      </c>
      <c r="AN47" s="345"/>
      <c r="AO47" s="650" t="str">
        <f>IF(AG47="","",AM47*AG47)</f>
        <v/>
      </c>
      <c r="AP47" s="342"/>
      <c r="AQ47" s="650" t="str">
        <f>IF(AI47="","",AM47*AI47)</f>
        <v/>
      </c>
      <c r="AR47" s="342"/>
      <c r="AS47" s="651" t="e">
        <f>-IF(AM47="","",IF(AL47="",IF(AO47="",0,AO47),IF(AO47="",AL47,AL47+AO47)))</f>
        <v>#VALUE!</v>
      </c>
      <c r="AT47" s="341"/>
      <c r="AU47" s="341" t="e">
        <f>+AS47</f>
        <v>#VALUE!</v>
      </c>
      <c r="AV47" s="329" t="str">
        <f>IF(B20="","",IF(K20="X - X",VLOOKUP(B45,'Moms de Empt'!$P$3:$T$36,2,0),VLOOKUP(B45,'Moms de Empt'!$P$3:$T$36,4,0)))</f>
        <v/>
      </c>
      <c r="AW47" s="653" t="str">
        <f>IF(B47="","",IF(D49="","",IF(ABS(D53)&gt;ABS(D49),-0.5*ABS(D51),0.5*ABS(D51))))</f>
        <v/>
      </c>
      <c r="AX47" s="330"/>
      <c r="AY47" s="653" t="str">
        <f>IF(AV48="","",IF(AV47="","",ROUND(AV48/(AV48+AV47),3)))</f>
        <v/>
      </c>
      <c r="AZ47" s="330"/>
      <c r="BA47" s="331" t="str">
        <f t="shared" ref="BA47:BA54" si="58">+AV47</f>
        <v/>
      </c>
      <c r="BC47" s="422"/>
      <c r="BD47" s="398"/>
      <c r="BE47" s="391"/>
      <c r="BF47" s="397"/>
      <c r="BG47" s="397"/>
      <c r="BH47" s="397"/>
      <c r="BI47" s="397"/>
      <c r="BJ47" s="397"/>
      <c r="BK47" s="397"/>
      <c r="BL47" s="397"/>
      <c r="BM47" s="397"/>
      <c r="BN47" s="397"/>
      <c r="BO47" s="389"/>
      <c r="BP47" s="389"/>
      <c r="BQ47" s="389"/>
      <c r="BR47" s="389"/>
      <c r="BS47" s="389"/>
      <c r="BT47" s="389"/>
      <c r="BU47" s="389"/>
      <c r="BV47" s="389"/>
      <c r="BW47" s="389"/>
      <c r="BX47" s="389"/>
      <c r="BY47" s="389"/>
      <c r="BZ47" s="389"/>
      <c r="CA47" s="389"/>
      <c r="CB47" s="389"/>
      <c r="CC47" s="389"/>
      <c r="CD47" s="389"/>
      <c r="CE47" s="389"/>
      <c r="CF47" s="389"/>
      <c r="CG47" s="389"/>
      <c r="CH47" s="389"/>
      <c r="CI47" s="389"/>
      <c r="CJ47" s="389"/>
      <c r="CK47" s="389"/>
      <c r="CL47" s="389"/>
      <c r="CM47" s="477"/>
      <c r="CN47" s="245"/>
    </row>
    <row r="48" spans="1:92" s="32" customFormat="1" ht="21.75" customHeight="1">
      <c r="A48" s="247" t="s">
        <v>123</v>
      </c>
      <c r="B48" s="29"/>
      <c r="C48" s="30"/>
      <c r="D48" s="31">
        <f>IF(B47="",0,IF(E47="",0,ROUND(B47/(B47+E47),3)))</f>
        <v>0</v>
      </c>
      <c r="E48" s="29">
        <f>IF(E47="",0,IF(B47="",0,ROUND(E47/(E47+B47),3)))</f>
        <v>0</v>
      </c>
      <c r="F48" s="30"/>
      <c r="G48" s="31">
        <f>IF(E47="",0,IF(H47="",0,ROUND(E47/(E47+H47),3)))</f>
        <v>0</v>
      </c>
      <c r="H48" s="29">
        <f>IF(H47="",0,IF(E47="",0,ROUND(H47/(H47+E47),3)))</f>
        <v>0</v>
      </c>
      <c r="I48" s="30"/>
      <c r="J48" s="31">
        <f>IF(H47="",0,IF(K47="",0,ROUND(H47/(H47+K47),3)))</f>
        <v>0</v>
      </c>
      <c r="K48" s="29">
        <f>IF(K47="",0,IF(H47="",0,ROUND(K47/(K47+H47),3)))</f>
        <v>0</v>
      </c>
      <c r="L48" s="30"/>
      <c r="M48" s="31">
        <f>IF(K47="",0,IF(N47="",0,ROUND(K47/(K47+N47),3)))</f>
        <v>0</v>
      </c>
      <c r="N48" s="29">
        <f>IF(N47="",0,IF(K47="",0,ROUND(N47/(N47+K47),3)))</f>
        <v>0</v>
      </c>
      <c r="O48" s="30"/>
      <c r="P48" s="31">
        <f>IF(N47="",0,IF(Q47="",0,ROUND(N47/(N47+Q47),3)))</f>
        <v>0</v>
      </c>
      <c r="Q48" s="29">
        <f>IF(Q47="",0,IF(N47="",0,ROUND(Q47/(Q47+N47),3)))</f>
        <v>0</v>
      </c>
      <c r="R48" s="30"/>
      <c r="S48" s="31">
        <f>IF(Q47="",0,IF(T47="",0,ROUND(Q47/(Q47+T47),3)))</f>
        <v>0</v>
      </c>
      <c r="T48" s="29">
        <f>IF(T47="",0,IF(Q47="",0,ROUND(T47/(T47+Q47),3)))</f>
        <v>0</v>
      </c>
      <c r="U48" s="30"/>
      <c r="V48" s="31">
        <f>IF(T47="",0,IF(W47="",0,ROUND(T47/(T47+W47),3)))</f>
        <v>0</v>
      </c>
      <c r="W48" s="29">
        <f>IF(W47="",0,IF(T47="",0,ROUND(W47/(W47+T47),3)))</f>
        <v>0</v>
      </c>
      <c r="X48" s="30"/>
      <c r="Y48" s="31">
        <f>IF(W47="",0,IF(Z47="",0,ROUND(W47/(W47+Z47),3)))</f>
        <v>0</v>
      </c>
      <c r="Z48" s="29">
        <f>IF(Z47="",0,IF(W47="",0,ROUND(Z47/(Z47+W47),3)))</f>
        <v>0</v>
      </c>
      <c r="AA48" s="30"/>
      <c r="AB48" s="31">
        <f>IF(Z47="",0,IF(AC47="",0,ROUND(Z47/(Z47+AC47),3)))</f>
        <v>0</v>
      </c>
      <c r="AC48" s="29"/>
      <c r="AD48" s="321" t="str">
        <f>+IF(AF45="","",AF45)</f>
        <v/>
      </c>
      <c r="AE48" s="324" t="str">
        <f>IF(C20="","",IF($K$2="X - X",VLOOKUP(C20,Espesor!$C$8:$E$41,2,0),VLOOKUP(C20,Espesor!$C$8:$E$41,3,0)))</f>
        <v/>
      </c>
      <c r="AF48" s="319" t="str">
        <f>IF(AD48="","",IF(LOOKUP(AD48,Espesor!$C$8:$C$41,Espesor!$K$8:$K$41)="en voladizo","",IF(AD49="",0.75/AE48,1/AE48)))</f>
        <v/>
      </c>
      <c r="AG48" s="634"/>
      <c r="AH48" s="634" t="str">
        <f>IF(AF48="","",IF(AF49="","",ROUND(AF48/(AF48+AF49),3)))</f>
        <v/>
      </c>
      <c r="AI48" s="634"/>
      <c r="AJ48" s="634" t="str">
        <f>IF(AF48="","",IF(AF49="","",ROUND(AF49/(AF48+AF49),3)))</f>
        <v/>
      </c>
      <c r="AK48" s="317">
        <f>IF(C20="",0,IF($K$2="X - X",VLOOKUP(C20,'Moms de Empt'!$P$3:$T$36,3,0),VLOOKUP(C20,'Moms de Empt'!$P$3:$T$36,5,0)))</f>
        <v>0</v>
      </c>
      <c r="AL48" s="317">
        <f>+IF(AD49="",0,-AK48)</f>
        <v>0</v>
      </c>
      <c r="AM48" s="629"/>
      <c r="AN48" s="629">
        <f>IF(AD49="",0,IF(LOOKUP(AD49,Espesor!$C$8:$C$41,Espesor!$K$8:$K$41)="en voladizo",MAX(ABS(AL48),ABS(AK49)),-(AK49+AL48)))</f>
        <v>0</v>
      </c>
      <c r="AO48" s="630"/>
      <c r="AP48" s="630" t="str">
        <f>IF(AH48="","",AN48*AH48)</f>
        <v/>
      </c>
      <c r="AQ48" s="630"/>
      <c r="AR48" s="630" t="str">
        <f>IF(AJ48="","",AN48*AJ48)</f>
        <v/>
      </c>
      <c r="AS48" s="652"/>
      <c r="AT48" s="631">
        <f>-IF(AN48="","",IF(AL48="",IF(AP48="",0,AP48),IF(AP48="",AL48,AL48+AP48)))</f>
        <v>0</v>
      </c>
      <c r="AU48" s="341">
        <f>+AT48</f>
        <v>0</v>
      </c>
      <c r="AV48" s="332" t="str">
        <f>IF(E45="","",IF(K20="X - X",VLOOKUP(E45,'Moms de Empt'!$P$3:$T$36,2,0),VLOOKUP(E45,'Moms de Empt'!$P$3:$T$36,4,0)))</f>
        <v/>
      </c>
      <c r="AW48" s="635"/>
      <c r="AX48" s="633" t="str">
        <f>IF(AV48="","",IF(AV49="","",ROUND(AV48/(AV48+AV49),3)))</f>
        <v/>
      </c>
      <c r="AY48" s="635"/>
      <c r="AZ48" s="633" t="str">
        <f>IF(AV48="","",IF(AV49="","",ROUND(AV49/(AV48+AV49),3)))</f>
        <v/>
      </c>
      <c r="BA48" s="331" t="str">
        <f t="shared" si="58"/>
        <v/>
      </c>
      <c r="BC48" s="422"/>
      <c r="BD48" s="398"/>
      <c r="BE48" s="391"/>
      <c r="BF48" s="391"/>
      <c r="BG48" s="391"/>
      <c r="BH48" s="391"/>
      <c r="BI48" s="391"/>
      <c r="BJ48" s="391"/>
      <c r="BK48" s="391"/>
      <c r="BL48" s="391"/>
      <c r="BM48" s="391"/>
      <c r="BN48" s="391"/>
      <c r="BO48" s="391"/>
      <c r="BP48" s="391"/>
      <c r="BQ48" s="391"/>
      <c r="BR48" s="391"/>
      <c r="BS48" s="391"/>
      <c r="BT48" s="391"/>
      <c r="BU48" s="391"/>
      <c r="BV48" s="391"/>
      <c r="BW48" s="391"/>
      <c r="BX48" s="391"/>
      <c r="BY48" s="391"/>
      <c r="BZ48" s="391"/>
      <c r="CA48" s="391"/>
      <c r="CB48" s="391"/>
      <c r="CC48" s="391"/>
      <c r="CD48" s="391"/>
      <c r="CE48" s="391"/>
      <c r="CF48" s="391"/>
      <c r="CG48" s="391"/>
      <c r="CH48" s="391"/>
      <c r="CI48" s="391"/>
      <c r="CJ48" s="391"/>
      <c r="CK48" s="391"/>
      <c r="CL48" s="391"/>
      <c r="CM48" s="474"/>
      <c r="CN48" s="246"/>
    </row>
    <row r="49" spans="1:110" s="35" customFormat="1" ht="21.75" customHeight="1">
      <c r="A49" s="248" t="s">
        <v>124</v>
      </c>
      <c r="B49" s="249"/>
      <c r="C49" s="34"/>
      <c r="D49" s="33" t="str">
        <f>IF(B45="","",-VLOOKUP(B45,'Moms de Empt'!$P$3:$T$36,3,0))</f>
        <v/>
      </c>
      <c r="E49" s="34" t="str">
        <f>IF(E45="","",IF($K$3="X - X",VLOOKUP(E45,'Moms de Empt'!$P$3:$T$36,3,0),VLOOKUP(E45,'Moms de Empt'!$P$3:$T$36,5,0)))</f>
        <v/>
      </c>
      <c r="F49" s="34"/>
      <c r="G49" s="33" t="str">
        <f>+IF(H45="","",-E49)</f>
        <v/>
      </c>
      <c r="H49" s="34" t="str">
        <f>IF(H45="","",IF($K$3="X - X",VLOOKUP(H45,'Moms de Empt'!$P$3:$T$36,3,0),VLOOKUP(H45,'Moms de Empt'!$P$3:$T$36,5,0)))</f>
        <v/>
      </c>
      <c r="I49" s="34"/>
      <c r="J49" s="33" t="str">
        <f>+IF(K45="","",-H49)</f>
        <v/>
      </c>
      <c r="K49" s="34" t="str">
        <f>IF(K45="","",IF($K$3="X - X",VLOOKUP(K45,'Moms de Empt'!$P$3:$T$36,3,0),VLOOKUP(K45,'Moms de Empt'!$P$3:$T$36,5,0)))</f>
        <v/>
      </c>
      <c r="L49" s="34"/>
      <c r="M49" s="33" t="str">
        <f>+IF(N45="","",-K49)</f>
        <v/>
      </c>
      <c r="N49" s="34" t="str">
        <f>IF(N45="","",IF($K$3="X - X",VLOOKUP(N45,'Moms de Empt'!$P$3:$T$36,3,0),VLOOKUP(N45,'Moms de Empt'!$P$3:$T$36,5,0)))</f>
        <v/>
      </c>
      <c r="O49" s="34"/>
      <c r="P49" s="33" t="str">
        <f>+IF(Q45="","",-N49)</f>
        <v/>
      </c>
      <c r="Q49" s="34" t="str">
        <f>IF(Q45="","",IF($K$3="X - X",VLOOKUP(Q45,'Moms de Empt'!$P$3:$T$36,3,0),VLOOKUP(Q45,'Moms de Empt'!$P$3:$T$36,5,0)))</f>
        <v/>
      </c>
      <c r="R49" s="34"/>
      <c r="S49" s="33" t="str">
        <f>+IF(T45="","",-Q49)</f>
        <v/>
      </c>
      <c r="T49" s="34" t="str">
        <f>IF(T45="","",IF($K$3="X - X",VLOOKUP(T45,'Moms de Empt'!$P$3:$T$36,3,0),VLOOKUP(T45,'Moms de Empt'!$P$3:$T$36,5,0)))</f>
        <v/>
      </c>
      <c r="U49" s="34"/>
      <c r="V49" s="33" t="str">
        <f>+IF(W45="","",-T49)</f>
        <v/>
      </c>
      <c r="W49" s="34" t="str">
        <f>IF(W45="","",IF($K$3="X - X",VLOOKUP(W45,'Moms de Empt'!$P$3:$T$36,3,0),VLOOKUP(W45,'Moms de Empt'!$P$3:$T$36,5,0)))</f>
        <v/>
      </c>
      <c r="X49" s="34"/>
      <c r="Y49" s="33" t="str">
        <f>+IF(Z45="","",-W49)</f>
        <v/>
      </c>
      <c r="Z49" s="34" t="str">
        <f>IF(Z45="","",IF($K$3="X - X",VLOOKUP(Z45,'Moms de Empt'!$P$3:$T$36,3,0),VLOOKUP(Z45,'Moms de Empt'!$P$3:$T$36,5,0)))</f>
        <v/>
      </c>
      <c r="AA49" s="34"/>
      <c r="AB49" s="33"/>
      <c r="AD49" s="321" t="str">
        <f>+IF(AG45="","",AG45)</f>
        <v/>
      </c>
      <c r="AE49" s="324" t="str">
        <f>IF(C21="","",IF($K$2="X - X",VLOOKUP(C21,Espesor!$C$8:$E$41,2,0),VLOOKUP(C21,Espesor!$C$8:$E$41,3,0)))</f>
        <v/>
      </c>
      <c r="AF49" s="319" t="str">
        <f>IF(AD49="","",IF(LOOKUP(AD49,Espesor!$C$8:$C$41,Espesor!$K$8:$K$41)="en voladizo","",IF(AD50="",0.75/AE49,1/AE49)))</f>
        <v/>
      </c>
      <c r="AG49" s="634" t="str">
        <f>IF(AF49="","",IF(AF50="","",ROUND(AF49/(AF49+AF50),3)))</f>
        <v/>
      </c>
      <c r="AH49" s="634"/>
      <c r="AI49" s="634" t="str">
        <f>IF(AF50="","",IF(AF49="","",ROUND(AF50/(AF50+AF49),3)))</f>
        <v/>
      </c>
      <c r="AJ49" s="634"/>
      <c r="AK49" s="317">
        <f>IF(D20="",0,IF($K$2="X - X",VLOOKUP(D20,'Moms de Empt'!$P$3:$T$36,3,0),VLOOKUP(D20,'Moms de Empt'!$P$3:$T$36,5,0)))</f>
        <v>0</v>
      </c>
      <c r="AL49" s="317">
        <f>+IF(AD50="",0,-AK49)</f>
        <v>0</v>
      </c>
      <c r="AM49" s="629">
        <f>IF(AD50="",0,IF(LOOKUP(AD50,Espesor!$C$8:$C$41,Espesor!$K$8:$K$41)="en voladizo",MAX(ABS(AL49),ABS(AK50)),-(AK50+AL49)))</f>
        <v>0</v>
      </c>
      <c r="AN49" s="629"/>
      <c r="AO49" s="630" t="str">
        <f>IF(AG49="","",AM49*AG49)</f>
        <v/>
      </c>
      <c r="AP49" s="630"/>
      <c r="AQ49" s="630" t="str">
        <f>IF(AI49="","",AM49*AI49)</f>
        <v/>
      </c>
      <c r="AR49" s="630"/>
      <c r="AS49" s="631">
        <f>-IF(AM49="","",IF(AL49="",IF(AO49="",0,AO49),IF(AO49="",AL49,AL49+AO49)))</f>
        <v>0</v>
      </c>
      <c r="AT49" s="632"/>
      <c r="AU49" s="341">
        <f>+AS49</f>
        <v>0</v>
      </c>
      <c r="AV49" s="332" t="str">
        <f>IF(H45="","",IF(K20="X - X",VLOOKUP(H45,'Moms de Empt'!$P$3:$T$36,2,0),VLOOKUP(H45,'Moms de Empt'!$P$3:$T$36,4,0)))</f>
        <v/>
      </c>
      <c r="AW49" s="635" t="str">
        <f>IF(AV49="","",IF(AV50="","",ROUND(AV49/(AV49+AV50),3)))</f>
        <v/>
      </c>
      <c r="AX49" s="633"/>
      <c r="AY49" s="635" t="str">
        <f>IF(AV50="","",IF(AV49="","",ROUND(AV50/(AV50+AV49),3)))</f>
        <v/>
      </c>
      <c r="AZ49" s="633"/>
      <c r="BA49" s="331" t="str">
        <f t="shared" si="58"/>
        <v/>
      </c>
      <c r="BC49" s="422"/>
      <c r="BD49" s="398"/>
      <c r="BE49" s="391"/>
      <c r="BF49" s="399"/>
      <c r="BG49" s="399"/>
      <c r="BH49" s="243"/>
      <c r="BI49" s="243"/>
      <c r="BJ49" s="243"/>
      <c r="BK49" s="243"/>
      <c r="BL49" s="243"/>
      <c r="BM49" s="243"/>
      <c r="BN49" s="392"/>
      <c r="BO49" s="392"/>
      <c r="BP49" s="392"/>
      <c r="BQ49" s="392"/>
      <c r="BR49" s="392"/>
      <c r="BS49" s="392"/>
      <c r="BT49" s="392"/>
      <c r="BU49" s="392"/>
      <c r="BV49" s="392"/>
      <c r="BW49" s="392"/>
      <c r="BX49" s="392"/>
      <c r="BY49" s="392"/>
      <c r="BZ49" s="392"/>
      <c r="CA49" s="392"/>
      <c r="CB49" s="390"/>
      <c r="CC49" s="392"/>
      <c r="CD49" s="392"/>
      <c r="CE49" s="392"/>
      <c r="CF49" s="390"/>
      <c r="CG49" s="392"/>
      <c r="CH49" s="392"/>
      <c r="CI49" s="392"/>
      <c r="CJ49" s="392"/>
      <c r="CK49" s="392"/>
      <c r="CL49" s="392"/>
      <c r="CM49" s="475"/>
      <c r="CN49" s="32"/>
    </row>
    <row r="50" spans="1:110" s="279" customFormat="1" ht="21.75" customHeight="1">
      <c r="A50" s="250" t="s">
        <v>125</v>
      </c>
      <c r="B50" s="272"/>
      <c r="C50" s="406"/>
      <c r="D50" s="678">
        <f>+IF(E45="",0,IF(LOOKUP(E45,Espesor!$C$8:$C$41,Espesor!$K$8:$K$41)="en voladizo",IF(LOOKUP(B45,Espesor!$C$8:$C$41,Espesor!$K$8:$K$41)="en voladizo","Inestable",MAX(ABS(D49),ABS(E49))),IF(LOOKUP(B45,Espesor!$C$8:$C$41,Espesor!$K$8:$K$41)="en voladizo",MAX(ABS(D49),ABS(E49)),-(E49+D49))))</f>
        <v>0</v>
      </c>
      <c r="E50" s="678"/>
      <c r="F50" s="406"/>
      <c r="G50" s="678">
        <f>+IF(H45="",0,IF(LOOKUP(H45,Espesor!$C$8:$C$41,Espesor!$K$8:$K$41)="en voladizo",IF(LOOKUP(E45,Espesor!$C$8:$C$41,Espesor!$K$8:$K$41)="en voladizo","Inestable",MAX(ABS(G49),ABS(H49))),IF(LOOKUP(E45,Espesor!$C$8:$C$41,Espesor!$K$8:$K$41)="en voladizo",MAX(ABS(G49),ABS(H49)),-(H49+G49))))</f>
        <v>0</v>
      </c>
      <c r="H50" s="678"/>
      <c r="I50" s="406"/>
      <c r="J50" s="678">
        <f>+IF(K45="",0,IF(LOOKUP(K45,Espesor!$C$8:$C$41,Espesor!$K$8:$K$41)="en voladizo",IF(LOOKUP(H45,Espesor!$C$8:$C$41,Espesor!$K$8:$K$41)="en voladizo","Inestable",MAX(ABS(J49),ABS(K49))),IF(LOOKUP(H45,Espesor!$C$8:$C$41,Espesor!$K$8:$K$41)="en voladizo",MAX(ABS(J49),ABS(K49)),-(K49+J49))))</f>
        <v>0</v>
      </c>
      <c r="K50" s="678"/>
      <c r="L50" s="406"/>
      <c r="M50" s="678">
        <f>+IF(N45="",0,IF(LOOKUP(N45,Espesor!$C$8:$C$41,Espesor!$K$8:$K$41)="en voladizo",IF(LOOKUP(K45,Espesor!$C$8:$C$41,Espesor!$K$8:$K$41)="en voladizo","Inestable",MAX(ABS(M49),ABS(N49))),IF(LOOKUP(K45,Espesor!$C$8:$C$41,Espesor!$K$8:$K$41)="en voladizo",MAX(ABS(M49),ABS(N49)),-(N49+M49))))</f>
        <v>0</v>
      </c>
      <c r="N50" s="678"/>
      <c r="O50" s="406"/>
      <c r="P50" s="678">
        <f>+IF(Q45="",0,IF(LOOKUP(Q45,Espesor!$C$8:$C$41,Espesor!$K$8:$K$41)="en voladizo",IF(LOOKUP(N45,Espesor!$C$8:$C$41,Espesor!$K$8:$K$41)="en voladizo","Inestable",MAX(ABS(P49),ABS(Q49))),IF(LOOKUP(N45,Espesor!$C$8:$C$41,Espesor!$K$8:$K$41)="en voladizo",MAX(ABS(P49),ABS(Q49)),-(Q49+P49))))</f>
        <v>0</v>
      </c>
      <c r="Q50" s="678"/>
      <c r="R50" s="406"/>
      <c r="S50" s="678">
        <f>+IF(T45="",0,IF(LOOKUP(T45,Espesor!$C$8:$C$41,Espesor!$K$8:$K$41)="en voladizo",IF(LOOKUP(Q45,Espesor!$C$8:$C$41,Espesor!$K$8:$K$41)="en voladizo","Inestable",MAX(ABS(S49),ABS(T49))),IF(LOOKUP(Q45,Espesor!$C$8:$C$41,Espesor!$K$8:$K$41)="en voladizo",MAX(ABS(S49),ABS(T49)),-(T49+S49))))</f>
        <v>0</v>
      </c>
      <c r="T50" s="678"/>
      <c r="U50" s="406"/>
      <c r="V50" s="678">
        <f>+IF(W45="",0,IF(LOOKUP(W45,Espesor!$C$8:$C$41,Espesor!$K$8:$K$41)="en voladizo",IF(LOOKUP(T45,Espesor!$C$8:$C$41,Espesor!$K$8:$K$41)="en voladizo","Inestable",MAX(ABS(V49),ABS(W49))),IF(LOOKUP(T45,Espesor!$C$8:$C$41,Espesor!$K$8:$K$41)="en voladizo",MAX(ABS(V49),ABS(W49)),-(W49+V49))))</f>
        <v>0</v>
      </c>
      <c r="W50" s="678"/>
      <c r="X50" s="406"/>
      <c r="Y50" s="678">
        <f>+IF(Z45="",0,IF(LOOKUP(Z45,Espesor!$C$8:$C$41,Espesor!$K$8:$K$41)="en voladizo",IF(LOOKUP(W45,Espesor!$C$8:$C$41,Espesor!$K$8:$K$41)="en voladizo","Inestable",MAX(ABS(Y49),ABS(Z49))),IF(LOOKUP(W45,Espesor!$C$8:$C$41,Espesor!$K$8:$K$41)="en voladizo",MAX(ABS(Y49),ABS(Z49)),-(Z49+Y49))))</f>
        <v>0</v>
      </c>
      <c r="Z50" s="678"/>
      <c r="AA50" s="406"/>
      <c r="AB50" s="252"/>
      <c r="AC50" s="292"/>
      <c r="AD50" s="321" t="str">
        <f>+IF(AH45="","",AH45)</f>
        <v/>
      </c>
      <c r="AE50" s="324" t="str">
        <f>IF(K45="","",IF($K$2="X - X",VLOOKUP(K45,Espesor!$C$8:$E$41,2,0),VLOOKUP(K45,Espesor!$C$8:$E$41,3,0)))</f>
        <v/>
      </c>
      <c r="AF50" s="319" t="str">
        <f>IF(AD50="","",IF(LOOKUP(AD50,Espesor!$C$8:$C$41,Espesor!$K$8:$K$41)="en voladizo","",IF(AD51="",0.75/AE50,1/AE50)))</f>
        <v/>
      </c>
      <c r="AG50" s="634"/>
      <c r="AH50" s="634" t="str">
        <f>IF(AF50="","",IF(AF51="","",ROUND(AF50/(AF50+AF51),3)))</f>
        <v/>
      </c>
      <c r="AI50" s="634"/>
      <c r="AJ50" s="634" t="str">
        <f>IF(AF50="","",IF(AF51="","",ROUND(AF51/(AF50+AF51),3)))</f>
        <v/>
      </c>
      <c r="AK50" s="317">
        <f>IF(E20="",0,IF($K$2="X - X",VLOOKUP(E20,'Moms de Empt'!$P$3:$T$36,3,0),VLOOKUP(E20,'Moms de Empt'!$P$3:$T$36,5,0)))</f>
        <v>0</v>
      </c>
      <c r="AL50" s="317">
        <f t="shared" ref="AL50:AL52" si="59">+IF(AD51="",0,-AK50)</f>
        <v>0</v>
      </c>
      <c r="AM50" s="629"/>
      <c r="AN50" s="629">
        <f>IF(AD51="",0,IF(LOOKUP(AD51,Espesor!$C$8:$C$41,Espesor!$K$8:$K$41)="en voladizo",MAX(ABS(AL50),ABS(AK51)),-(AK51+AL50)))</f>
        <v>0</v>
      </c>
      <c r="AO50" s="630"/>
      <c r="AP50" s="630" t="str">
        <f t="shared" ref="AP50" si="60">IF(AH50="","",AN50*AH50)</f>
        <v/>
      </c>
      <c r="AQ50" s="630"/>
      <c r="AR50" s="630" t="str">
        <f t="shared" ref="AR50" si="61">IF(AJ50="","",AN50*AJ50)</f>
        <v/>
      </c>
      <c r="AS50" s="632"/>
      <c r="AT50" s="631">
        <f t="shared" ref="AT50" si="62">-IF(AN50="","",IF(AL50="",IF(AP50="",0,AP50),IF(AP50="",AL50,AL50+AP50)))</f>
        <v>0</v>
      </c>
      <c r="AU50" s="341">
        <f>+AT50</f>
        <v>0</v>
      </c>
      <c r="AV50" s="332" t="str">
        <f>IF(K45="","",IF(K20="X - X",VLOOKUP(K45,'Moms de Empt'!$P$3:$T$36,2,0),VLOOKUP(K45,'Moms de Empt'!$P$3:$T$36,4,0)))</f>
        <v/>
      </c>
      <c r="AW50" s="635"/>
      <c r="AX50" s="633" t="str">
        <f>IF(AV50="","",IF(AV51="","",ROUND(AV50/(AV50+AV51),3)))</f>
        <v/>
      </c>
      <c r="AY50" s="635"/>
      <c r="AZ50" s="633" t="str">
        <f>IF(AV50="","",IF(AV51="","",ROUND(AV51/(AV50+AV51),3)))</f>
        <v/>
      </c>
      <c r="BA50" s="331" t="str">
        <f t="shared" si="58"/>
        <v/>
      </c>
      <c r="BC50" s="401"/>
      <c r="BD50" s="398"/>
      <c r="BE50" s="391"/>
      <c r="BF50" s="399"/>
      <c r="BG50" s="399"/>
      <c r="BH50" s="243"/>
      <c r="BI50" s="243"/>
      <c r="BJ50" s="243"/>
      <c r="BK50" s="243"/>
      <c r="BL50" s="243"/>
      <c r="BM50" s="243"/>
      <c r="BN50" s="392"/>
      <c r="BO50" s="392"/>
      <c r="BP50" s="392"/>
      <c r="BQ50" s="392"/>
      <c r="BR50" s="392"/>
      <c r="BS50" s="392"/>
      <c r="BT50" s="392"/>
      <c r="BU50" s="392"/>
      <c r="BV50" s="392"/>
      <c r="BW50" s="392"/>
      <c r="BX50" s="392"/>
      <c r="BY50" s="392"/>
      <c r="BZ50" s="392"/>
      <c r="CA50" s="392"/>
      <c r="CB50" s="390"/>
      <c r="CC50" s="392"/>
      <c r="CD50" s="392"/>
      <c r="CE50" s="392"/>
      <c r="CF50" s="390"/>
      <c r="CG50" s="392"/>
      <c r="CH50" s="392"/>
      <c r="CI50" s="392"/>
      <c r="CJ50" s="392"/>
      <c r="CK50" s="392"/>
      <c r="CL50" s="392"/>
      <c r="CM50" s="476"/>
      <c r="CN50" s="35"/>
    </row>
    <row r="51" spans="1:110" s="30" customFormat="1" ht="21.75" customHeight="1">
      <c r="A51" s="253" t="s">
        <v>126</v>
      </c>
      <c r="B51" s="29"/>
      <c r="D51" s="254">
        <f>IF(D48="","",D50*D48)</f>
        <v>0</v>
      </c>
      <c r="E51" s="30">
        <f>IF(E48="","",D50*E48)</f>
        <v>0</v>
      </c>
      <c r="G51" s="277">
        <f>IF(G48="","",G50*G48)</f>
        <v>0</v>
      </c>
      <c r="H51" s="278">
        <f>IF(H48="","",G50*H48)</f>
        <v>0</v>
      </c>
      <c r="J51" s="254">
        <f>IF(J48="","",J50*J48)</f>
        <v>0</v>
      </c>
      <c r="K51" s="30">
        <f>IF(K48="","",J50*K48)</f>
        <v>0</v>
      </c>
      <c r="M51" s="254">
        <f>IF(M48="","",M50*M48)</f>
        <v>0</v>
      </c>
      <c r="N51" s="30">
        <f>IF(N48="","",M50*N48)</f>
        <v>0</v>
      </c>
      <c r="P51" s="254">
        <f>IF(P48="","",P50*P48)</f>
        <v>0</v>
      </c>
      <c r="Q51" s="30">
        <f>IF(Q48="","",P50*Q48)</f>
        <v>0</v>
      </c>
      <c r="S51" s="254">
        <f>IF(S48="","",S50*S48)</f>
        <v>0</v>
      </c>
      <c r="T51" s="30">
        <f>IF(T48="","",S50*T48)</f>
        <v>0</v>
      </c>
      <c r="V51" s="254">
        <f>IF(V48="","",V50*V48)</f>
        <v>0</v>
      </c>
      <c r="W51" s="30">
        <f>IF(W48="","",V50*W48)</f>
        <v>0</v>
      </c>
      <c r="Y51" s="254">
        <f>IF(Y48="","",Y50*Y48)</f>
        <v>0</v>
      </c>
      <c r="Z51" s="30">
        <f>IF(Z48="","",Y50*Z48)</f>
        <v>0</v>
      </c>
      <c r="AB51" s="31"/>
      <c r="AD51" s="321" t="str">
        <f>+IF(AI45="","",AI45)</f>
        <v/>
      </c>
      <c r="AE51" s="324" t="str">
        <f>IF(N45="","",IF($K$2="X - X",VLOOKUP(N45,Espesor!$C$8:$E$41,2,0),VLOOKUP(N45,Espesor!$C$8:$E$41,3,0)))</f>
        <v/>
      </c>
      <c r="AF51" s="319" t="str">
        <f>IF(AD51="","",IF(LOOKUP(AD51,Espesor!$C$8:$C$41,Espesor!$K$8:$K$41)="en voladizo","",IF(AD52="",0.75/AE51,1/AE51)))</f>
        <v/>
      </c>
      <c r="AG51" s="634" t="str">
        <f>IF(AF51="","",IF(AF52="","",ROUND(AF51/(AF51+AF52),3)))</f>
        <v/>
      </c>
      <c r="AH51" s="634"/>
      <c r="AI51" s="634" t="str">
        <f>IF(AF52="","",IF(AF51="","",ROUND(AF52/(AF52+AF51),3)))</f>
        <v/>
      </c>
      <c r="AJ51" s="634"/>
      <c r="AK51" s="317">
        <f>IF(F20="",0,IF($K$2="X - X",VLOOKUP(F20,'Moms de Empt'!$P$3:$T$36,3,0),VLOOKUP(F20,'Moms de Empt'!$P$3:$T$36,5,0)))</f>
        <v>0</v>
      </c>
      <c r="AL51" s="317">
        <f t="shared" si="59"/>
        <v>0</v>
      </c>
      <c r="AM51" s="629">
        <f>IF(AD52="",0,IF(LOOKUP(AD52,Espesor!$C$8:$C$41,Espesor!$K$8:$K$41)="en voladizo",MAX(ABS(AL51),ABS(AK52)),-(AK52+AL51)))</f>
        <v>0</v>
      </c>
      <c r="AN51" s="629"/>
      <c r="AO51" s="630" t="str">
        <f t="shared" ref="AO51" si="63">IF(AG51="","",AM51*AG51)</f>
        <v/>
      </c>
      <c r="AP51" s="630"/>
      <c r="AQ51" s="630" t="str">
        <f t="shared" ref="AQ51" si="64">IF(AI51="","",AM51*AI51)</f>
        <v/>
      </c>
      <c r="AR51" s="630"/>
      <c r="AS51" s="631">
        <f>-IF(AM51="","",IF(AL51="",IF(AO51="",0,AO51),IF(AO51="",AL51,AL51+AO51)))</f>
        <v>0</v>
      </c>
      <c r="AT51" s="632"/>
      <c r="AU51" s="341">
        <f>+AS51</f>
        <v>0</v>
      </c>
      <c r="AV51" s="332" t="str">
        <f>IF(N45="","",IF(K20="X - X",VLOOKUP(N45,'Moms de Empt'!$P$3:$T$36,2,0),VLOOKUP(N45,'Moms de Empt'!$P$3:$T$36,4,0)))</f>
        <v/>
      </c>
      <c r="AW51" s="635" t="str">
        <f>IF(AV51="","",IF(AV52="","",ROUND(AV51/(AV51+AV52),3)))</f>
        <v/>
      </c>
      <c r="AX51" s="633"/>
      <c r="AY51" s="635" t="str">
        <f>IF(AV52="","",IF(AV51="","",ROUND(AV52/(AV52+AV51),3)))</f>
        <v/>
      </c>
      <c r="AZ51" s="633"/>
      <c r="BA51" s="331" t="str">
        <f t="shared" si="58"/>
        <v/>
      </c>
      <c r="BC51" s="401"/>
      <c r="BD51" s="398"/>
      <c r="BE51" s="391"/>
      <c r="BF51" s="399"/>
      <c r="BG51" s="399"/>
      <c r="BH51" s="243"/>
      <c r="BI51" s="243"/>
      <c r="BJ51" s="243"/>
      <c r="BK51" s="243"/>
      <c r="BL51" s="243"/>
      <c r="BM51" s="243"/>
      <c r="BN51" s="392"/>
      <c r="BO51" s="392"/>
      <c r="BP51" s="392"/>
      <c r="BQ51" s="392"/>
      <c r="BR51" s="392"/>
      <c r="BS51" s="392"/>
      <c r="BT51" s="392"/>
      <c r="BU51" s="392"/>
      <c r="BV51" s="392"/>
      <c r="BW51" s="392"/>
      <c r="BX51" s="392"/>
      <c r="BY51" s="392"/>
      <c r="BZ51" s="392"/>
      <c r="CA51" s="392"/>
      <c r="CB51" s="390"/>
      <c r="CC51" s="392"/>
      <c r="CD51" s="392"/>
      <c r="CE51" s="392"/>
      <c r="CF51" s="390"/>
      <c r="CG51" s="392"/>
      <c r="CH51" s="392"/>
      <c r="CI51" s="392"/>
      <c r="CJ51" s="392"/>
      <c r="CK51" s="392"/>
      <c r="CL51" s="392"/>
      <c r="CM51" s="474"/>
      <c r="CN51" s="279"/>
    </row>
    <row r="52" spans="1:110" s="32" customFormat="1" ht="21.75" customHeight="1" thickBot="1">
      <c r="B52" s="29"/>
      <c r="C52" s="30"/>
      <c r="D52" s="255">
        <f>IF(D50="",0,IF(D49="",IF(D51="",0,D51),IF(D51="",D49,D49+D51)))</f>
        <v>0</v>
      </c>
      <c r="E52" s="256">
        <f>IF(D50="",0,IF(E49="",IF(E51="",0,E51),IF(E51="",E49,E49+E51)))</f>
        <v>0</v>
      </c>
      <c r="F52" s="30"/>
      <c r="G52" s="276">
        <f>IF(G50="",0,IF(G49="",IF(G51="",0,G51),IF(G51="",G49,G49+G51)))</f>
        <v>0</v>
      </c>
      <c r="H52" s="256">
        <f>IF(G50="",0,IF(H49="",IF(H51="",0,H51),IF(H51="",H49,H49+H51)))</f>
        <v>0</v>
      </c>
      <c r="I52" s="30"/>
      <c r="J52" s="276">
        <f>IF(J50="",0,IF(J49="",IF(J51="",0,J51),IF(J51="",J49,J49+J51)))</f>
        <v>0</v>
      </c>
      <c r="K52" s="256">
        <f>IF(J50="",0,IF(K49="",IF(K51="",0,K51),IF(K51="",K49,K49+K51)))</f>
        <v>0</v>
      </c>
      <c r="L52" s="30"/>
      <c r="M52" s="276">
        <f>IF(M50="",0,IF(M49="",IF(M51="",0,M51),IF(M51="",M49,M49+M51)))</f>
        <v>0</v>
      </c>
      <c r="N52" s="256">
        <f>IF(M50="",0,IF(N49="",IF(N51="",0,N51),IF(N51="",N49,N49+N51)))</f>
        <v>0</v>
      </c>
      <c r="O52" s="30"/>
      <c r="P52" s="276">
        <f>IF(P50="",0,IF(P49="",IF(P51="",0,P51),IF(P51="",P49,P49+P51)))</f>
        <v>0</v>
      </c>
      <c r="Q52" s="256">
        <f>IF(P50="",0,IF(Q49="",IF(Q51="",0,Q51),IF(Q51="",Q49,Q49+Q51)))</f>
        <v>0</v>
      </c>
      <c r="R52" s="30"/>
      <c r="S52" s="276">
        <f>IF(S50="",0,IF(S49="",IF(S51="",0,S51),IF(S51="",S49,S49+S51)))</f>
        <v>0</v>
      </c>
      <c r="T52" s="256">
        <f>IF(S50="",0,IF(T49="",IF(T51="",0,T51),IF(T51="",T49,T49+T51)))</f>
        <v>0</v>
      </c>
      <c r="U52" s="30"/>
      <c r="V52" s="276">
        <f>IF(V50="",0,IF(V49="",IF(V51="",0,V51),IF(V51="",V49,V49+V51)))</f>
        <v>0</v>
      </c>
      <c r="W52" s="256">
        <f>IF(V50="",0,IF(W49="",IF(W51="",0,W51),IF(W51="",W49,W49+W51)))</f>
        <v>0</v>
      </c>
      <c r="X52" s="30"/>
      <c r="Y52" s="276">
        <f>IF(Y50="",0,IF(Y49="",IF(Y51="",0,Y51),IF(Y51="",Y49,Y49+Y51)))</f>
        <v>0</v>
      </c>
      <c r="Z52" s="256">
        <f>IF(Y50="",0,IF(Z49="",IF(Z51="",0,Z51),IF(Z51="",Z49,Z49+Z51)))</f>
        <v>0</v>
      </c>
      <c r="AA52" s="30"/>
      <c r="AB52" s="31"/>
      <c r="AC52" s="30"/>
      <c r="AD52" s="321" t="str">
        <f>+IF(AJ45="","",AJ45)</f>
        <v/>
      </c>
      <c r="AE52" s="324" t="str">
        <f>IF(Q45="","",IF($K$2="X - X",VLOOKUP(Q45,Espesor!$C$8:$E$41,2,0),VLOOKUP(Q45,Espesor!$C$8:$E$41,3,0)))</f>
        <v/>
      </c>
      <c r="AF52" s="319" t="str">
        <f>IF(AD52="","",IF(LOOKUP(AD52,Espesor!$C$8:$C$41,Espesor!$K$8:$K$41)="en voladizo","",IF(AD53="",0.75/AE52,1/AE52)))</f>
        <v/>
      </c>
      <c r="AG52" s="634"/>
      <c r="AH52" s="634" t="str">
        <f>IF(AF52="","",IF(AF53="","",ROUND(AF52/(AF52+AF53),3)))</f>
        <v/>
      </c>
      <c r="AI52" s="634"/>
      <c r="AJ52" s="634" t="str">
        <f>IF(AF52="","",IF(AF53="","",ROUND(AF53/(AF52+AF53),3)))</f>
        <v/>
      </c>
      <c r="AK52" s="317">
        <f>IF(G20="",0,IF($K$2="X - X",VLOOKUP(G20,'Moms de Empt'!$P$3:$T$36,3,0),VLOOKUP(G20,'Moms de Empt'!$P$3:$T$36,5,0)))</f>
        <v>0</v>
      </c>
      <c r="AL52" s="317">
        <f t="shared" si="59"/>
        <v>0</v>
      </c>
      <c r="AM52" s="629"/>
      <c r="AN52" s="629">
        <f>IF(AD53="",0,IF(LOOKUP(AD53,Espesor!$C$8:$C$41,Espesor!$K$8:$K$41)="en voladizo",MAX(ABS(AL52),ABS(AK53)),-(AK53+AL52)))</f>
        <v>0</v>
      </c>
      <c r="AO52" s="630"/>
      <c r="AP52" s="630" t="str">
        <f t="shared" ref="AP52" si="65">IF(AH52="","",AN52*AH52)</f>
        <v/>
      </c>
      <c r="AQ52" s="630"/>
      <c r="AR52" s="630" t="str">
        <f t="shared" ref="AR52" si="66">IF(AJ52="","",AN52*AJ52)</f>
        <v/>
      </c>
      <c r="AS52" s="632"/>
      <c r="AT52" s="631">
        <f t="shared" ref="AT52" si="67">-IF(AN52="","",IF(AL52="",IF(AP52="",0,AP52),IF(AP52="",AL52,AL52+AP52)))</f>
        <v>0</v>
      </c>
      <c r="AU52" s="341">
        <f>+AT52</f>
        <v>0</v>
      </c>
      <c r="AV52" s="332" t="str">
        <f>IF(Q45="","",IF(K20="X - X",VLOOKUP(Q45,'Moms de Empt'!$P$3:$T$36,2,0),VLOOKUP(Q45,'Moms de Empt'!$P$3:$T$36,4,0)))</f>
        <v/>
      </c>
      <c r="AW52" s="635"/>
      <c r="AX52" s="633" t="str">
        <f>IF(AV52="","",IF(AV53="","",ROUND(AV52/(AV52+AV53),3)))</f>
        <v/>
      </c>
      <c r="AY52" s="635"/>
      <c r="AZ52" s="633" t="str">
        <f>IF(AV52="","",IF(AV53="","",ROUND(AV53/(AV52+AV53),3)))</f>
        <v/>
      </c>
      <c r="BA52" s="331" t="str">
        <f t="shared" si="58"/>
        <v/>
      </c>
      <c r="BC52" s="401"/>
      <c r="BD52" s="398"/>
      <c r="BE52" s="391"/>
      <c r="BF52" s="399"/>
      <c r="BG52" s="399"/>
      <c r="BH52" s="243"/>
      <c r="BI52" s="243"/>
      <c r="BJ52" s="243"/>
      <c r="BK52" s="243"/>
      <c r="BL52" s="243"/>
      <c r="BM52" s="243"/>
      <c r="BN52" s="392"/>
      <c r="BO52" s="392"/>
      <c r="BP52" s="392"/>
      <c r="BQ52" s="392"/>
      <c r="BR52" s="392"/>
      <c r="BS52" s="392"/>
      <c r="BT52" s="392"/>
      <c r="BU52" s="392"/>
      <c r="BV52" s="392"/>
      <c r="BW52" s="392"/>
      <c r="BX52" s="392"/>
      <c r="BY52" s="392"/>
      <c r="BZ52" s="392"/>
      <c r="CA52" s="392"/>
      <c r="CB52" s="390"/>
      <c r="CC52" s="392"/>
      <c r="CD52" s="392"/>
      <c r="CE52" s="392"/>
      <c r="CF52" s="390"/>
      <c r="CG52" s="392"/>
      <c r="CH52" s="392"/>
      <c r="CI52" s="392"/>
      <c r="CJ52" s="392"/>
      <c r="CK52" s="392"/>
      <c r="CL52" s="392"/>
      <c r="CM52" s="474"/>
      <c r="CN52" s="30"/>
    </row>
    <row r="53" spans="1:110" s="36" customFormat="1" ht="21.75" customHeight="1" thickBot="1">
      <c r="A53" s="36" t="s">
        <v>66</v>
      </c>
      <c r="B53" s="273"/>
      <c r="D53" s="672">
        <f>IF(E45="",0,IF(D52=0,IF(E52=0,MAX(ABS(D49),ABS(E49)),E52),MAX(ABS(D52),ABS(E52))))</f>
        <v>0</v>
      </c>
      <c r="E53" s="674"/>
      <c r="G53" s="672">
        <f>IF(H45="",0,IF(G52=0,IF(H52=0,MAX(ABS(G49),ABS(H49)),H52),MAX(ABS(G52),ABS(H52))))</f>
        <v>0</v>
      </c>
      <c r="H53" s="674"/>
      <c r="J53" s="672">
        <f>IF(K45="",0,IF(J52=0,IF(K52=0,MAX(ABS(J49),ABS(K49)),K52),MAX(ABS(J52),ABS(K52))))</f>
        <v>0</v>
      </c>
      <c r="K53" s="674"/>
      <c r="M53" s="672">
        <f>IF(N45="",0,IF(M52=0,IF(N52=0,MAX(ABS(M49),ABS(N49)),N52),MAX(ABS(M52),ABS(N52))))</f>
        <v>0</v>
      </c>
      <c r="N53" s="674"/>
      <c r="P53" s="672">
        <f>IF(Q45="",0,IF(P52=0,IF(Q52=0,MAX(ABS(P49),ABS(Q49)),Q52),MAX(ABS(P52),ABS(Q52))))</f>
        <v>0</v>
      </c>
      <c r="Q53" s="674"/>
      <c r="S53" s="672">
        <f>IF(T45="",0,IF(S52=0,IF(T52=0,MAX(ABS(S49),ABS(T49)),T52),MAX(ABS(S52),ABS(T52))))</f>
        <v>0</v>
      </c>
      <c r="T53" s="674"/>
      <c r="U53" s="265"/>
      <c r="V53" s="672">
        <f>IF(W45="",0,IF(V52=0,IF(W52=0,MAX(ABS(V49),ABS(W49)),W52),MAX(ABS(V52),ABS(W52))))</f>
        <v>0</v>
      </c>
      <c r="W53" s="674"/>
      <c r="Y53" s="672">
        <f>IF(Z45="",0,IF(Y52=0,IF(Z52=0,MAX(ABS(Y49),ABS(Z49)),Z52),MAX(ABS(Y52),ABS(Z52))))</f>
        <v>0</v>
      </c>
      <c r="Z53" s="674"/>
      <c r="AA53" s="37"/>
      <c r="AB53" s="38"/>
      <c r="AC53" s="39"/>
      <c r="AD53" s="321" t="str">
        <f>+IF(AK45="","",AK45)</f>
        <v/>
      </c>
      <c r="AE53" s="324" t="str">
        <f>IF(T45="","",IF($K$2="X - X",VLOOKUP(T45,Espesor!$C$8:$E$41,2,0),VLOOKUP(T45,Espesor!$C$8:$E$41,3,0)))</f>
        <v/>
      </c>
      <c r="AF53" s="319" t="str">
        <f>IF(AD53="","",IF(LOOKUP(AD53,Espesor!$C$8:$C$41,Espesor!$K$8:$K$41)="en voladizo","",IF(AD54="",0.75/AE53,1/AE53)))</f>
        <v/>
      </c>
      <c r="AG53" s="634" t="str">
        <f>IF(AF53="","",IF(AF54="","",ROUND(AF53/(AF53+AF54),3)))</f>
        <v/>
      </c>
      <c r="AH53" s="634"/>
      <c r="AI53" s="634" t="str">
        <f>IF(AF54="","",IF(AF53="","",ROUND(AF54/(AF54+AF53),3)))</f>
        <v/>
      </c>
      <c r="AJ53" s="634"/>
      <c r="AK53" s="317">
        <f>IF(H20="",0,IF($K$2="X - X",VLOOKUP(H20,'Moms de Empt'!$P$3:$T$36,3,0),VLOOKUP(H20,'Moms de Empt'!$P$3:$T$36,5,0)))</f>
        <v>0</v>
      </c>
      <c r="AL53" s="317">
        <f>+IF(AD54="",0,-AK53)</f>
        <v>0</v>
      </c>
      <c r="AM53" s="629">
        <f>IF(AD54="",0,IF(LOOKUP(AD54,Espesor!$C$8:$C$41,Espesor!$K$8:$K$41)="en voladizo",MAX(ABS(AL53),ABS(AK54)),-(AK54+AL53)))</f>
        <v>0</v>
      </c>
      <c r="AN53" s="629"/>
      <c r="AO53" s="630" t="str">
        <f>IF(AG53="","",AM53*AG53)</f>
        <v/>
      </c>
      <c r="AP53" s="630"/>
      <c r="AQ53" s="630" t="str">
        <f t="shared" ref="AQ53" si="68">IF(AI53="","",AM53*AI53)</f>
        <v/>
      </c>
      <c r="AR53" s="630"/>
      <c r="AS53" s="631">
        <f>-IF(AM53="","",IF(AL53="",IF(AO53="",0,AO53),IF(AO53="",AL53,AL53+AO53)))</f>
        <v>0</v>
      </c>
      <c r="AT53" s="632"/>
      <c r="AU53" s="341">
        <f>+AS53</f>
        <v>0</v>
      </c>
      <c r="AV53" s="332" t="str">
        <f>IF(T45="","",IF(K20="X - X",VLOOKUP(T45,'Moms de Empt'!$P$3:$T$36,2,0),VLOOKUP(T45,'Moms de Empt'!$P$3:$T$36,4,0)))</f>
        <v/>
      </c>
      <c r="AW53" s="635" t="str">
        <f>IF(AV53="","",IF(AV54="","",ROUND(AV53/(AV53+AV54),3)))</f>
        <v/>
      </c>
      <c r="AX53" s="633"/>
      <c r="AY53" s="635" t="str">
        <f>IF(AV54="","",IF(AV53="","",ROUND(AV54/(AV54+AV53),3)))</f>
        <v/>
      </c>
      <c r="AZ53" s="633"/>
      <c r="BA53" s="331" t="str">
        <f t="shared" si="58"/>
        <v/>
      </c>
      <c r="BC53" s="401"/>
      <c r="BD53" s="398"/>
      <c r="BE53" s="391"/>
      <c r="BF53" s="399"/>
      <c r="BG53" s="399"/>
      <c r="BH53" s="243"/>
      <c r="BI53" s="243"/>
      <c r="BJ53" s="243"/>
      <c r="BK53" s="243"/>
      <c r="BL53" s="243"/>
      <c r="BM53" s="243"/>
      <c r="BN53" s="392"/>
      <c r="BO53" s="392"/>
      <c r="BP53" s="392"/>
      <c r="BQ53" s="392"/>
      <c r="BR53" s="392"/>
      <c r="BS53" s="392"/>
      <c r="BT53" s="392"/>
      <c r="BU53" s="392"/>
      <c r="BV53" s="392"/>
      <c r="BW53" s="392"/>
      <c r="BX53" s="392"/>
      <c r="BY53" s="392"/>
      <c r="BZ53" s="392"/>
      <c r="CA53" s="392"/>
      <c r="CB53" s="390"/>
      <c r="CC53" s="392"/>
      <c r="CD53" s="392"/>
      <c r="CE53" s="392"/>
      <c r="CF53" s="390"/>
      <c r="CG53" s="392"/>
      <c r="CH53" s="392"/>
      <c r="CI53" s="392"/>
      <c r="CJ53" s="392"/>
      <c r="CK53" s="392"/>
      <c r="CL53" s="392"/>
      <c r="CM53" s="430"/>
      <c r="CN53" s="32"/>
    </row>
    <row r="54" spans="1:110" s="36" customFormat="1" ht="21.75" customHeight="1" thickBot="1">
      <c r="B54" s="274"/>
      <c r="D54" s="690">
        <f>IF(D53="","",D53*100000)</f>
        <v>0</v>
      </c>
      <c r="E54" s="690"/>
      <c r="G54" s="690">
        <f>IF(G53="","",G53*100000)</f>
        <v>0</v>
      </c>
      <c r="H54" s="690"/>
      <c r="I54" s="388"/>
      <c r="J54" s="690">
        <f>IF(J53="","",J53*100000)</f>
        <v>0</v>
      </c>
      <c r="K54" s="690"/>
      <c r="L54" s="388"/>
      <c r="M54" s="690">
        <f>IF(M53="","",M53*100000)</f>
        <v>0</v>
      </c>
      <c r="N54" s="690"/>
      <c r="O54" s="388"/>
      <c r="P54" s="690">
        <f>IF(P53="","",P53*100000)</f>
        <v>0</v>
      </c>
      <c r="Q54" s="690"/>
      <c r="R54" s="388"/>
      <c r="S54" s="690">
        <f>IF(S53="","",S53*100000)</f>
        <v>0</v>
      </c>
      <c r="T54" s="690"/>
      <c r="U54" s="387"/>
      <c r="V54" s="690">
        <f>IF(V53="","",V53*100000)</f>
        <v>0</v>
      </c>
      <c r="W54" s="690"/>
      <c r="X54" s="388"/>
      <c r="Y54" s="690">
        <f>IF(Y53="","",Y53*100000)</f>
        <v>0</v>
      </c>
      <c r="Z54" s="690"/>
      <c r="AA54" s="37"/>
      <c r="AB54" s="275"/>
      <c r="AC54" s="39"/>
      <c r="AD54" s="321" t="str">
        <f>+IF(AL45="","",AL45)</f>
        <v/>
      </c>
      <c r="AE54" s="324" t="str">
        <f>IF(W45="","",IF($K$2="X - X",VLOOKUP(W45,Espesor!$C$8:$E$41,2,0),VLOOKUP(W45,Espesor!$C$8:$E$41,3,0)))</f>
        <v/>
      </c>
      <c r="AF54" s="319" t="str">
        <f>IF(AD54="","",IF(LOOKUP(AD54,Espesor!$C$8:$C$41,Espesor!$K$8:$K$41)="en voladizo","",IF(AD55="",0.75/AE54,1/AE54)))</f>
        <v/>
      </c>
      <c r="AG54" s="634"/>
      <c r="AH54" s="634" t="str">
        <f>IF(AF54="","",IF(AF55="","",ROUND(AF54/(AF54+AF55),3)))</f>
        <v/>
      </c>
      <c r="AI54" s="634"/>
      <c r="AJ54" s="634" t="str">
        <f>IF(AF54="","",IF(AF55="","",ROUND(AF55/(AF54+AF55),3)))</f>
        <v/>
      </c>
      <c r="AK54" s="317">
        <f>IF(I20="",0,IF($K$2="X - X",VLOOKUP(I20,'Moms de Empt'!$P$3:$T$36,3,0),VLOOKUP(I20,'Moms de Empt'!$P$3:$T$36,5,0)))</f>
        <v>0</v>
      </c>
      <c r="AL54" s="317">
        <f t="shared" ref="AL54:AL55" si="69">+IF(AD55="",0,-AK54)</f>
        <v>0</v>
      </c>
      <c r="AM54" s="629"/>
      <c r="AN54" s="629">
        <f>IF(AD55="",0,IF(LOOKUP(AD55,Espesor!$C$8:$C$41,Espesor!$K$8:$K$41)="en voladizo",MAX(ABS(AL54),ABS(AK55)),-(AK55+AL54)))</f>
        <v>0</v>
      </c>
      <c r="AO54" s="630"/>
      <c r="AP54" s="630" t="str">
        <f t="shared" ref="AP54" si="70">IF(AH54="","",AN54*AH54)</f>
        <v/>
      </c>
      <c r="AQ54" s="630"/>
      <c r="AR54" s="630" t="str">
        <f t="shared" ref="AR54" si="71">IF(AJ54="","",AN54*AJ54)</f>
        <v/>
      </c>
      <c r="AS54" s="632"/>
      <c r="AT54" s="631">
        <f t="shared" ref="AT54" si="72">-IF(AN54="","",IF(AL54="",IF(AP54="",0,AP54),IF(AP54="",AL54,AL54+AP54)))</f>
        <v>0</v>
      </c>
      <c r="AU54" s="341">
        <f>+AT54</f>
        <v>0</v>
      </c>
      <c r="AV54" s="332" t="str">
        <f>IF(W45="","",IF(K20="X - X",VLOOKUP(W45,'Moms de Empt'!$P$3:$T$36,2,0),VLOOKUP(W45,'Moms de Empt'!$P$3:$T$36,4,0)))</f>
        <v/>
      </c>
      <c r="AW54" s="635"/>
      <c r="AX54" s="633" t="str">
        <f>IF(AV54="","",IF(AV55="","",ROUND(AV54/(AV54+AV55),3)))</f>
        <v/>
      </c>
      <c r="AY54" s="635"/>
      <c r="AZ54" s="633" t="str">
        <f>IF(AV54="","",IF(AV55="","",ROUND(AV55/(AV54+AV55),3)))</f>
        <v/>
      </c>
      <c r="BA54" s="331" t="str">
        <f t="shared" si="58"/>
        <v/>
      </c>
      <c r="BC54" s="401"/>
      <c r="BD54" s="398"/>
      <c r="BE54" s="391"/>
      <c r="BF54" s="399"/>
      <c r="BG54" s="399"/>
      <c r="BH54" s="243"/>
      <c r="BI54" s="243"/>
      <c r="BJ54" s="243"/>
      <c r="BK54" s="243"/>
      <c r="BL54" s="243"/>
      <c r="BM54" s="243"/>
      <c r="BN54" s="392"/>
      <c r="BO54" s="392"/>
      <c r="BP54" s="392"/>
      <c r="BQ54" s="392"/>
      <c r="BR54" s="392"/>
      <c r="BS54" s="392"/>
      <c r="BT54" s="392"/>
      <c r="BU54" s="392"/>
      <c r="BV54" s="392"/>
      <c r="BW54" s="392"/>
      <c r="BX54" s="392"/>
      <c r="BY54" s="392"/>
      <c r="BZ54" s="392"/>
      <c r="CA54" s="392"/>
      <c r="CB54" s="390"/>
      <c r="CC54" s="392"/>
      <c r="CD54" s="392"/>
      <c r="CE54" s="392"/>
      <c r="CF54" s="390"/>
      <c r="CG54" s="392"/>
      <c r="CH54" s="392"/>
      <c r="CI54" s="392"/>
      <c r="CJ54" s="392"/>
      <c r="CK54" s="392"/>
      <c r="CL54" s="392"/>
      <c r="CM54" s="430"/>
    </row>
    <row r="55" spans="1:110" s="210" customFormat="1" ht="21.75" customHeight="1" thickBot="1">
      <c r="A55" s="257" t="s">
        <v>127</v>
      </c>
      <c r="B55" s="675" t="str">
        <f>IF(B45="","",IF(K3="X - X",VLOOKUP(B45,'Moms de Empt'!$P$3:$T$36,2,0),VLOOKUP(B45,'Moms de Empt'!$P$3:$T$36,4,0)))</f>
        <v/>
      </c>
      <c r="C55" s="676"/>
      <c r="D55" s="677"/>
      <c r="E55" s="675" t="str">
        <f>IF(E45="","",IF(K3="X - X",VLOOKUP(E45,'Moms de Empt'!$P$3:$T$36,2,0),VLOOKUP(E45,'Moms de Empt'!$P$3:$T$36,4,0)))</f>
        <v/>
      </c>
      <c r="F55" s="676"/>
      <c r="G55" s="677"/>
      <c r="H55" s="675" t="str">
        <f>IF(H45="","",IF(K3="X - X",VLOOKUP(H45,'Moms de Empt'!$P$3:$T$36,2,0),VLOOKUP(H45,'Moms de Empt'!$P$3:$T$36,4,0)))</f>
        <v/>
      </c>
      <c r="I55" s="676"/>
      <c r="J55" s="677"/>
      <c r="K55" s="675" t="str">
        <f>IF(K45="","",IF(K3="X - X",VLOOKUP(K45,'Moms de Empt'!$P$3:$T$36,2,0),VLOOKUP(K45,'Moms de Empt'!$P$3:$T$36,4,0)))</f>
        <v/>
      </c>
      <c r="L55" s="676"/>
      <c r="M55" s="677"/>
      <c r="N55" s="675" t="str">
        <f>IF(N45="","",IF(K3="X - X",VLOOKUP(N45,'Moms de Empt'!$P$3:$T$36,2,0),VLOOKUP(N45,'Moms de Empt'!$P$3:$T$36,4,0)))</f>
        <v/>
      </c>
      <c r="O55" s="676"/>
      <c r="P55" s="677"/>
      <c r="Q55" s="675" t="str">
        <f>IF(Q45="","",IF(K3="X - X",VLOOKUP(Q45,'Moms de Empt'!$P$3:$T$36,2,0),VLOOKUP(Q45,'Moms de Empt'!$P$3:$T$36,4,0)))</f>
        <v/>
      </c>
      <c r="R55" s="676"/>
      <c r="S55" s="677"/>
      <c r="T55" s="675" t="str">
        <f>IF(T45="","",IF(K3="X - X",VLOOKUP(T45,'Moms de Empt'!$P$3:$T$36,2,0),VLOOKUP(T45,'Moms de Empt'!$P$3:$T$36,4,0)))</f>
        <v/>
      </c>
      <c r="U55" s="676"/>
      <c r="V55" s="677"/>
      <c r="W55" s="675" t="str">
        <f>IF(W45="","",IF(K3="X - X",VLOOKUP(W45,'Moms de Empt'!$P$3:$T$36,2,0),VLOOKUP(W45,'Moms de Empt'!$P$3:$T$36,4,0)))</f>
        <v/>
      </c>
      <c r="X55" s="676"/>
      <c r="Y55" s="677"/>
      <c r="Z55" s="675" t="str">
        <f>IF(Z45="","",IF(K3="X - X",VLOOKUP(Z45,'Moms de Empt'!$P$3:$T$36,2,0),VLOOKUP(Z45,'Moms de Empt'!$P$3:$T$36,4,0)))</f>
        <v/>
      </c>
      <c r="AA55" s="676"/>
      <c r="AB55" s="677"/>
      <c r="AC55" s="40"/>
      <c r="AD55" s="321" t="str">
        <f>+IF(AM45="","",AM45)</f>
        <v/>
      </c>
      <c r="AE55" s="324" t="str">
        <f>IF(Z45="","",IF($K$2="X - X",VLOOKUP(Z45,Espesor!$C$8:$E$41,2,0),VLOOKUP(Z45,Espesor!$C$8:$E$41,3,0)))</f>
        <v/>
      </c>
      <c r="AF55" s="319" t="str">
        <f>IF(AD55="","",IF(LOOKUP(AD55,Espesor!$C$8:$C$41,Espesor!$K$8:$K$41)="en voladizo","",IF(AD56="",0.75/AE55,1/AE55)))</f>
        <v/>
      </c>
      <c r="AG55" s="344" t="str">
        <f>IF(AF55="","",IF(AK29="","",ROUND(AF55/(AF55+AK29),3)))</f>
        <v/>
      </c>
      <c r="AH55" s="634"/>
      <c r="AI55" s="344" t="str">
        <f>IF(AK29="","",IF(AF55="","",ROUND(AK29/(AK29+AF55),3)))</f>
        <v/>
      </c>
      <c r="AJ55" s="634"/>
      <c r="AK55" s="317">
        <f>IF(J20="",0,IF($K$2="X - X",VLOOKUP(J20,'Moms de Empt'!$P$3:$T$36,3,0),VLOOKUP(J20,'Moms de Empt'!$P$3:$T$36,5,0)))</f>
        <v>0</v>
      </c>
      <c r="AL55" s="317">
        <f t="shared" si="69"/>
        <v>0</v>
      </c>
      <c r="AM55" s="307" t="e">
        <f>IF(AI29="","",IF(LOOKUP(AI29,[6]Espesor!$C$8:$C$41,[6]Espesor!$K$8:$K$41)="en voladizo",MAX(ABS(AL55),ABS(AQ29)),-(AQ29-AL55)))</f>
        <v>#VALUE!</v>
      </c>
      <c r="AN55" s="629"/>
      <c r="AO55" s="340" t="str">
        <f t="shared" ref="AO55" si="73">IF(AG55="","",AM55*AG55)</f>
        <v/>
      </c>
      <c r="AP55" s="630"/>
      <c r="AQ55" s="315" t="str">
        <f t="shared" ref="AQ55" si="74">IF(AI55="","",AM55*AI55)</f>
        <v/>
      </c>
      <c r="AR55" s="630"/>
      <c r="AS55" s="312" t="e">
        <f t="shared" ref="AS55" si="75">IF(AM55="","",IF(AL55="",IF(AO55="",0,AO55),IF(AO55="",AL55,AL55+AO55)))</f>
        <v>#VALUE!</v>
      </c>
      <c r="AT55" s="632"/>
      <c r="AU55" s="341"/>
      <c r="AV55" s="333" t="str">
        <f>IF(Z45="","",IF(K20="X - X",VLOOKUP(Z45,'Moms de Empt'!$P$3:$T$36,2,0),VLOOKUP(Z45,'Moms de Empt'!$P$3:$T$36,4,0)))</f>
        <v/>
      </c>
      <c r="AW55" s="337" t="str">
        <f>IF(AV55="","",IF(BA29="","",ROUND(AV55/(AV55+BA29),3)))</f>
        <v/>
      </c>
      <c r="AX55" s="633"/>
      <c r="AY55" s="337" t="str">
        <f>IF(BA29="","",IF(AV55="","",ROUND(BA29/(BA29+AV55),3)))</f>
        <v/>
      </c>
      <c r="AZ55" s="633"/>
      <c r="BA55" s="331"/>
      <c r="BC55" s="401"/>
      <c r="BD55" s="398"/>
      <c r="BE55" s="391"/>
      <c r="BF55" s="399"/>
      <c r="BG55" s="399"/>
      <c r="BH55" s="243"/>
      <c r="BI55" s="243"/>
      <c r="BJ55" s="243"/>
      <c r="BK55" s="243"/>
      <c r="BL55" s="243"/>
      <c r="BM55" s="243"/>
      <c r="BN55" s="392"/>
      <c r="BO55" s="392"/>
      <c r="BP55" s="392"/>
      <c r="BQ55" s="392"/>
      <c r="BR55" s="392"/>
      <c r="BS55" s="392"/>
      <c r="BT55" s="392"/>
      <c r="BU55" s="392"/>
      <c r="BV55" s="392"/>
      <c r="BW55" s="392"/>
      <c r="BX55" s="392"/>
      <c r="BY55" s="392"/>
      <c r="BZ55" s="392"/>
      <c r="CA55" s="392"/>
      <c r="CB55" s="390"/>
      <c r="CC55" s="392"/>
      <c r="CD55" s="392"/>
      <c r="CE55" s="392"/>
      <c r="CF55" s="390"/>
      <c r="CG55" s="392"/>
      <c r="CH55" s="392"/>
      <c r="CI55" s="392"/>
      <c r="CJ55" s="392"/>
      <c r="CK55" s="392"/>
      <c r="CL55" s="392"/>
      <c r="CM55" s="477"/>
      <c r="CN55" s="36"/>
    </row>
    <row r="56" spans="1:110" ht="21.75" customHeight="1" thickBot="1">
      <c r="A56" s="258"/>
      <c r="B56" s="209"/>
      <c r="C56" s="209"/>
      <c r="D56" s="209" t="str">
        <f>IF(B47="","",IF(D49="","",IF(ABS(D53)&gt;ABS(D49),-0.5*ABS(D51),0.5*ABS(D51))))</f>
        <v/>
      </c>
      <c r="E56" s="209" t="str">
        <f>IF(E47="","",IF(E49="","",IF(ABS(D53)&gt;ABS(E49),-0.5*ABS(E51),0.5*ABS(E51))))</f>
        <v/>
      </c>
      <c r="F56" s="209"/>
      <c r="G56" s="209" t="str">
        <f>IF(E47="","",IF(G49="","",IF(ABS(G53)&gt;ABS(G49),-0.5*ABS(G51),0.5*ABS(G51))))</f>
        <v/>
      </c>
      <c r="H56" s="209" t="str">
        <f>IF(H47="","",IF(H49="","",IF(ABS(G53)&gt;ABS(H49),-0.5*ABS(H51),0.5*ABS(H51))))</f>
        <v/>
      </c>
      <c r="I56" s="209"/>
      <c r="J56" s="209" t="str">
        <f>IF(H47="","",IF(J49="","",IF(ABS(J53)&gt;ABS(J49),-0.5*ABS(J51),0.5*ABS(J51))))</f>
        <v/>
      </c>
      <c r="K56" s="209" t="str">
        <f>IF(K47="","",IF(K49="","",IF(ABS(J53)&gt;ABS(K49),-0.5*ABS(K51),0.5*ABS(K51))))</f>
        <v/>
      </c>
      <c r="L56" s="209"/>
      <c r="M56" s="209" t="str">
        <f>IF(K47="","",IF(M49="","",IF(ABS(M53)&gt;ABS(M49),-0.5*ABS(M51),0.5*ABS(M51))))</f>
        <v/>
      </c>
      <c r="N56" s="209" t="str">
        <f>IF(N47="","",IF(N49="","",IF(ABS(M53)&gt;ABS(N49),-0.5*ABS(N51),0.5*ABS(N51))))</f>
        <v/>
      </c>
      <c r="O56" s="209"/>
      <c r="P56" s="209" t="str">
        <f>IF(N47="","",IF(P49="","",IF(ABS(P53)&gt;ABS(P49),-0.5*ABS(P51),0.5*ABS(P51))))</f>
        <v/>
      </c>
      <c r="Q56" s="209" t="str">
        <f>IF(Q47="","",IF(Q49="","",IF(ABS(P53)&gt;ABS(Q49),-0.5*ABS(Q51),0.5*ABS(Q51))))</f>
        <v/>
      </c>
      <c r="R56" s="209"/>
      <c r="S56" s="209" t="str">
        <f>IF(Q47="","",IF(S49="","",IF(ABS(S53)&gt;ABS(S49),-0.5*ABS(S51),0.5*ABS(S51))))</f>
        <v/>
      </c>
      <c r="T56" s="209" t="str">
        <f>IF(T47="","",IF(T49="","",IF(ABS(S53)&gt;ABS(T49),-0.5*ABS(T51),0.5*ABS(T51))))</f>
        <v/>
      </c>
      <c r="U56" s="209"/>
      <c r="V56" s="209" t="str">
        <f>IF(T47="","",IF(V49="","",IF(ABS(V53)&gt;ABS(V49),-0.5*ABS(V51),0.5*ABS(V51))))</f>
        <v/>
      </c>
      <c r="W56" s="209" t="str">
        <f>IF(W47="","",IF(W49="","",IF(ABS(V53)&gt;ABS(W49),-0.5*ABS(W51),0.5*ABS(W51))))</f>
        <v/>
      </c>
      <c r="X56" s="209"/>
      <c r="Y56" s="209" t="str">
        <f>IF(W47="","",IF(Y49="","",IF(ABS(Y53)&gt;ABS(Y49),-0.5*ABS(Y51),0.5*ABS(Y51))))</f>
        <v/>
      </c>
      <c r="Z56" s="209" t="str">
        <f>IF(Z47="","",IF(Z49="","",IF(ABS(Y53)&gt;ABS(Z49),-0.5*ABS(Z51),0.5*ABS(Z51))))</f>
        <v/>
      </c>
      <c r="AA56" s="209"/>
      <c r="AB56" s="209" t="str">
        <f>IF(Z47="","",IF(AB49="","",IF(AB53&gt;-AB49,IF(AB51&lt;0,0.5*AB51,-0.5*AB51),0.5*AB51)))</f>
        <v/>
      </c>
      <c r="BC56" s="401"/>
      <c r="BD56" s="398"/>
      <c r="BE56" s="391"/>
      <c r="BF56" s="399"/>
      <c r="BG56" s="399"/>
      <c r="BH56" s="243"/>
      <c r="BI56" s="243"/>
      <c r="BJ56" s="243"/>
      <c r="BK56" s="243"/>
      <c r="BL56" s="243"/>
      <c r="BM56" s="243"/>
      <c r="BN56" s="392"/>
      <c r="BO56" s="392"/>
      <c r="BP56" s="392"/>
      <c r="BQ56" s="392"/>
      <c r="BR56" s="392"/>
      <c r="BS56" s="392"/>
      <c r="BT56" s="392"/>
      <c r="BU56" s="392"/>
      <c r="BV56" s="392"/>
      <c r="BW56" s="392"/>
      <c r="BX56" s="392"/>
      <c r="BY56" s="392"/>
      <c r="BZ56" s="392"/>
      <c r="CA56" s="392"/>
      <c r="CB56" s="390"/>
      <c r="CC56" s="392"/>
      <c r="CD56" s="392"/>
      <c r="CE56" s="392"/>
      <c r="CF56" s="390"/>
      <c r="CG56" s="392"/>
      <c r="CH56" s="392"/>
      <c r="CI56" s="392"/>
      <c r="CJ56" s="392"/>
      <c r="CK56" s="392"/>
      <c r="CL56" s="392"/>
      <c r="CN56" s="210"/>
    </row>
    <row r="57" spans="1:110" s="260" customFormat="1" ht="21.75" customHeight="1" thickBot="1">
      <c r="A57" s="259" t="s">
        <v>128</v>
      </c>
      <c r="B57" s="672" t="str">
        <f>IF(B56="",IF(D56="",B55,B55+D56),IF(D56="",B55+B56,B55+B56+D56))</f>
        <v/>
      </c>
      <c r="C57" s="673"/>
      <c r="D57" s="674"/>
      <c r="E57" s="672" t="str">
        <f>IF(E56="",IF(G56="",E55,E55+G56),IF(G56="",E55+E56,E55+E56+G56))</f>
        <v/>
      </c>
      <c r="F57" s="673"/>
      <c r="G57" s="674"/>
      <c r="H57" s="672" t="str">
        <f>IF(H56="",IF(J56="",H55,H55+J56),IF(J56="",H55+H56,H55+H56+J56))</f>
        <v/>
      </c>
      <c r="I57" s="673"/>
      <c r="J57" s="674"/>
      <c r="K57" s="672" t="str">
        <f>IF(K56="",IF(M56="",K55,K55+M56),IF(M56="",K55+K56,K55+K56+M56))</f>
        <v/>
      </c>
      <c r="L57" s="673"/>
      <c r="M57" s="674"/>
      <c r="N57" s="672" t="str">
        <f>IF(N56="",IF(P56="",N55,N55+P56),IF(P56="",N55+N56,N55+N56+P56))</f>
        <v/>
      </c>
      <c r="O57" s="673"/>
      <c r="P57" s="674"/>
      <c r="Q57" s="672" t="str">
        <f>IF(Q56="",IF(S56="",Q55,Q55+S56),IF(S56="",Q55+Q56,Q55+Q56+S56))</f>
        <v/>
      </c>
      <c r="R57" s="673"/>
      <c r="S57" s="674"/>
      <c r="T57" s="672" t="str">
        <f>IF(T56="",IF(V56="",T55,T55+V56),IF(V56="",T55+T56,T55+T56+V56))</f>
        <v/>
      </c>
      <c r="U57" s="673"/>
      <c r="V57" s="674"/>
      <c r="W57" s="672" t="str">
        <f>IF(W56="",IF(Y56="",W55,W55+Y56),IF(Y56="",W55+W56,W55+W56+Y56))</f>
        <v/>
      </c>
      <c r="X57" s="673"/>
      <c r="Y57" s="674"/>
      <c r="Z57" s="672" t="str">
        <f>IF(Z56="",IF(AB56="",Z55,Z55+AB56),IF(AB56="",Z55+Z56,Z55+Z56+AB56))</f>
        <v/>
      </c>
      <c r="AA57" s="673"/>
      <c r="AB57" s="674"/>
      <c r="AC57" s="39"/>
      <c r="AK57" s="39"/>
      <c r="AL57" s="39"/>
      <c r="AO57" s="39"/>
      <c r="AP57" s="39"/>
      <c r="AQ57" s="39"/>
      <c r="AR57" s="39"/>
      <c r="BC57" s="401"/>
      <c r="BD57" s="398"/>
      <c r="BE57" s="391"/>
      <c r="BF57" s="399"/>
      <c r="BG57" s="399"/>
      <c r="BH57" s="243"/>
      <c r="BI57" s="243"/>
      <c r="BJ57" s="243"/>
      <c r="BK57" s="243"/>
      <c r="BL57" s="243"/>
      <c r="BM57" s="243"/>
      <c r="BN57" s="392"/>
      <c r="BO57" s="392"/>
      <c r="BP57" s="392"/>
      <c r="BQ57" s="392"/>
      <c r="BR57" s="392"/>
      <c r="BS57" s="392"/>
      <c r="BT57" s="392"/>
      <c r="BU57" s="392"/>
      <c r="BV57" s="392"/>
      <c r="BW57" s="392"/>
      <c r="BX57" s="392"/>
      <c r="BY57" s="392"/>
      <c r="BZ57" s="392"/>
      <c r="CA57" s="392"/>
      <c r="CB57" s="390"/>
      <c r="CC57" s="392"/>
      <c r="CD57" s="392"/>
      <c r="CE57" s="392"/>
      <c r="CF57" s="390"/>
      <c r="CG57" s="392"/>
      <c r="CH57" s="392"/>
      <c r="CI57" s="392"/>
      <c r="CJ57" s="392"/>
      <c r="CK57" s="392"/>
      <c r="CL57" s="392"/>
      <c r="CM57" s="478"/>
      <c r="CN57" s="27"/>
    </row>
    <row r="58" spans="1:110" s="260" customFormat="1" ht="21.75" customHeight="1">
      <c r="A58" s="405"/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407"/>
      <c r="P58" s="407"/>
      <c r="Q58" s="407"/>
      <c r="R58" s="407"/>
      <c r="S58" s="407"/>
      <c r="T58" s="407"/>
      <c r="U58" s="407"/>
      <c r="V58" s="407"/>
      <c r="W58" s="407"/>
      <c r="X58" s="407"/>
      <c r="Y58" s="407"/>
      <c r="Z58" s="407"/>
      <c r="AA58" s="407"/>
      <c r="AB58" s="407"/>
      <c r="AC58" s="39"/>
      <c r="AK58" s="39"/>
      <c r="AL58" s="39"/>
      <c r="AO58" s="39"/>
      <c r="AP58" s="39"/>
      <c r="AQ58" s="39"/>
      <c r="AR58" s="39"/>
      <c r="BC58" s="401"/>
      <c r="BD58" s="398"/>
      <c r="BE58" s="391"/>
      <c r="BF58" s="399"/>
      <c r="BG58" s="399"/>
      <c r="BH58" s="243"/>
      <c r="BI58" s="243"/>
      <c r="BJ58" s="243"/>
      <c r="BK58" s="243"/>
      <c r="BL58" s="243"/>
      <c r="BM58" s="243"/>
      <c r="BN58" s="392"/>
      <c r="BO58" s="392"/>
      <c r="BP58" s="392"/>
      <c r="BQ58" s="392"/>
      <c r="BR58" s="392"/>
      <c r="BS58" s="392"/>
      <c r="BT58" s="392"/>
      <c r="BU58" s="392"/>
      <c r="BV58" s="392"/>
      <c r="BW58" s="392"/>
      <c r="BX58" s="392"/>
      <c r="BY58" s="392"/>
      <c r="BZ58" s="392"/>
      <c r="CA58" s="392"/>
      <c r="CB58" s="390"/>
      <c r="CC58" s="392"/>
      <c r="CD58" s="392"/>
      <c r="CE58" s="392"/>
      <c r="CF58" s="390"/>
      <c r="CG58" s="392"/>
      <c r="CH58" s="392"/>
      <c r="CI58" s="392"/>
      <c r="CJ58" s="392"/>
      <c r="CK58" s="392"/>
      <c r="CL58" s="392"/>
      <c r="CM58" s="478"/>
    </row>
    <row r="59" spans="1:110" s="263" customFormat="1" ht="21.75" customHeight="1" thickBot="1">
      <c r="A59" s="626">
        <f>+A4</f>
        <v>3</v>
      </c>
      <c r="B59" s="626"/>
      <c r="C59" s="626"/>
      <c r="D59" s="626"/>
      <c r="E59" s="626"/>
      <c r="F59" s="290"/>
      <c r="G59" s="290"/>
      <c r="H59" s="290"/>
      <c r="I59" s="290"/>
      <c r="J59" s="628" t="s">
        <v>134</v>
      </c>
      <c r="K59" s="628"/>
      <c r="L59" s="271" t="str">
        <f>+K4</f>
        <v>X - X</v>
      </c>
      <c r="M59" s="262"/>
      <c r="N59" s="404"/>
      <c r="O59" s="402"/>
      <c r="P59" s="262"/>
      <c r="BC59" s="401"/>
      <c r="BD59" s="398"/>
      <c r="BE59" s="391"/>
      <c r="BF59" s="399"/>
      <c r="BG59" s="399"/>
      <c r="BH59" s="243"/>
      <c r="BI59" s="243"/>
      <c r="BJ59" s="243"/>
      <c r="BK59" s="243"/>
      <c r="BL59" s="243"/>
      <c r="BM59" s="243"/>
      <c r="BN59" s="392"/>
      <c r="BO59" s="392"/>
      <c r="BP59" s="392"/>
      <c r="BQ59" s="392"/>
      <c r="BR59" s="392"/>
      <c r="BS59" s="392"/>
      <c r="BT59" s="392"/>
      <c r="BU59" s="392"/>
      <c r="BV59" s="392"/>
      <c r="BW59" s="392"/>
      <c r="BX59" s="392"/>
      <c r="BY59" s="392"/>
      <c r="BZ59" s="392"/>
      <c r="CA59" s="392"/>
      <c r="CB59" s="390"/>
      <c r="CC59" s="392"/>
      <c r="CD59" s="392"/>
      <c r="CE59" s="392"/>
      <c r="CF59" s="390"/>
      <c r="CG59" s="392"/>
      <c r="CH59" s="392"/>
      <c r="CI59" s="392"/>
      <c r="CJ59" s="392"/>
      <c r="CK59" s="392"/>
      <c r="CL59" s="392"/>
      <c r="CM59" s="472"/>
      <c r="CN59" s="260"/>
    </row>
    <row r="60" spans="1:110" s="263" customFormat="1" ht="21.75" customHeight="1" thickTop="1">
      <c r="A60" s="686" t="str">
        <f>+Espesor!$J$3</f>
        <v>Techo</v>
      </c>
      <c r="B60" s="686"/>
      <c r="C60" s="688" t="s">
        <v>136</v>
      </c>
      <c r="D60" s="688"/>
      <c r="E60" s="264" t="str">
        <f t="shared" ref="E60:M60" si="76">IF(B4="","",B4)</f>
        <v/>
      </c>
      <c r="F60" s="264" t="str">
        <f t="shared" si="76"/>
        <v/>
      </c>
      <c r="G60" s="264" t="str">
        <f t="shared" si="76"/>
        <v/>
      </c>
      <c r="H60" s="264" t="str">
        <f t="shared" si="76"/>
        <v/>
      </c>
      <c r="I60" s="264" t="str">
        <f t="shared" si="76"/>
        <v/>
      </c>
      <c r="J60" s="264" t="str">
        <f t="shared" si="76"/>
        <v/>
      </c>
      <c r="K60" s="264" t="str">
        <f t="shared" si="76"/>
        <v/>
      </c>
      <c r="L60" s="264" t="str">
        <f t="shared" si="76"/>
        <v/>
      </c>
      <c r="M60" s="264" t="str">
        <f t="shared" si="76"/>
        <v/>
      </c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BC60" s="401"/>
      <c r="BD60" s="398"/>
      <c r="BE60" s="391"/>
      <c r="BF60" s="399"/>
      <c r="BG60" s="399"/>
      <c r="BH60" s="243"/>
      <c r="BI60" s="243"/>
      <c r="BJ60" s="243"/>
      <c r="BK60" s="243"/>
      <c r="BL60" s="243"/>
      <c r="BM60" s="243"/>
      <c r="BN60" s="392"/>
      <c r="BO60" s="392"/>
      <c r="BP60" s="392"/>
      <c r="BQ60" s="392"/>
      <c r="BR60" s="392"/>
      <c r="BS60" s="392"/>
      <c r="BT60" s="392"/>
      <c r="BU60" s="392"/>
      <c r="BV60" s="392"/>
      <c r="BW60" s="392"/>
      <c r="BX60" s="392"/>
      <c r="BY60" s="392"/>
      <c r="BZ60" s="392"/>
      <c r="CA60" s="392"/>
      <c r="CB60" s="390"/>
      <c r="CC60" s="392"/>
      <c r="CD60" s="392"/>
      <c r="CE60" s="392"/>
      <c r="CF60" s="390"/>
      <c r="CG60" s="392"/>
      <c r="CH60" s="392"/>
      <c r="CI60" s="392"/>
      <c r="CJ60" s="392"/>
      <c r="CK60" s="392"/>
      <c r="CL60" s="392"/>
      <c r="CM60" s="472"/>
    </row>
    <row r="61" spans="1:110" ht="21.75" customHeight="1">
      <c r="A61" s="627"/>
      <c r="B61" s="627"/>
      <c r="C61" s="627"/>
      <c r="D61" s="627"/>
      <c r="E61" s="627"/>
      <c r="F61" s="627"/>
      <c r="G61" s="627"/>
      <c r="H61" s="627"/>
      <c r="I61" s="627"/>
      <c r="J61" s="627"/>
      <c r="K61" s="627"/>
      <c r="L61" s="627"/>
      <c r="M61" s="627"/>
      <c r="N61" s="627"/>
      <c r="O61" s="627"/>
      <c r="P61" s="627"/>
      <c r="Q61" s="627"/>
      <c r="R61" s="627"/>
      <c r="S61" s="627"/>
      <c r="T61" s="627"/>
      <c r="U61" s="627"/>
      <c r="V61" s="627"/>
      <c r="W61" s="627"/>
      <c r="X61" s="627"/>
      <c r="Y61" s="627"/>
      <c r="Z61" s="627"/>
      <c r="AA61" s="627"/>
      <c r="AB61" s="627"/>
      <c r="AD61" s="624" t="s">
        <v>64</v>
      </c>
      <c r="AE61" s="624"/>
      <c r="AF61" s="624"/>
      <c r="AG61" s="624"/>
      <c r="AH61" s="624"/>
      <c r="AI61" s="624"/>
      <c r="AJ61" s="624"/>
      <c r="AK61" s="624"/>
      <c r="AL61" s="624"/>
      <c r="BB61" s="263"/>
      <c r="BC61" s="401"/>
      <c r="BD61" s="398"/>
      <c r="BE61" s="391"/>
      <c r="BF61" s="399"/>
      <c r="BG61" s="399"/>
      <c r="BH61" s="243"/>
      <c r="BI61" s="243"/>
      <c r="BJ61" s="243"/>
      <c r="BK61" s="243"/>
      <c r="BL61" s="243"/>
      <c r="BM61" s="243"/>
      <c r="BN61" s="392"/>
      <c r="BO61" s="392"/>
      <c r="BP61" s="392"/>
      <c r="BQ61" s="392"/>
      <c r="BR61" s="392"/>
      <c r="BS61" s="392"/>
      <c r="BT61" s="392"/>
      <c r="BU61" s="392"/>
      <c r="BV61" s="392"/>
      <c r="BW61" s="392"/>
      <c r="BX61" s="392"/>
      <c r="BY61" s="392"/>
      <c r="BZ61" s="392"/>
      <c r="CA61" s="392"/>
      <c r="CB61" s="390"/>
      <c r="CC61" s="392"/>
      <c r="CD61" s="392"/>
      <c r="CE61" s="392"/>
      <c r="CF61" s="390"/>
      <c r="CG61" s="392"/>
      <c r="CH61" s="392"/>
      <c r="CI61" s="392"/>
      <c r="CJ61" s="392"/>
      <c r="CK61" s="392"/>
      <c r="CL61" s="392"/>
      <c r="CM61" s="472"/>
      <c r="CN61" s="263"/>
      <c r="CO61" s="263"/>
      <c r="CP61" s="263"/>
      <c r="CQ61" s="263"/>
      <c r="CR61" s="263"/>
      <c r="CS61" s="263"/>
      <c r="CT61" s="263"/>
      <c r="CU61" s="263"/>
      <c r="CV61" s="263"/>
      <c r="CW61" s="263"/>
      <c r="CX61" s="263"/>
      <c r="CY61" s="263"/>
      <c r="CZ61" s="263"/>
      <c r="DA61" s="263"/>
      <c r="DB61" s="263"/>
      <c r="DC61" s="263"/>
      <c r="DD61" s="263"/>
      <c r="DE61" s="263"/>
      <c r="DF61" s="263"/>
    </row>
    <row r="62" spans="1:110" s="242" customFormat="1" ht="21.75" customHeight="1" thickBot="1">
      <c r="A62" s="360"/>
      <c r="B62" s="682" t="str">
        <f>IF($E60="","",$E60)</f>
        <v/>
      </c>
      <c r="C62" s="682"/>
      <c r="D62" s="682"/>
      <c r="E62" s="682" t="str">
        <f>IF($F60="","",$F60)</f>
        <v/>
      </c>
      <c r="F62" s="682"/>
      <c r="G62" s="682"/>
      <c r="H62" s="682" t="str">
        <f>IF($G60="","",$G60)</f>
        <v/>
      </c>
      <c r="I62" s="682"/>
      <c r="J62" s="682"/>
      <c r="K62" s="682" t="str">
        <f>IF($H60="","",$H60)</f>
        <v/>
      </c>
      <c r="L62" s="682"/>
      <c r="M62" s="682"/>
      <c r="N62" s="682" t="str">
        <f>IF($I60="","",$I60)</f>
        <v/>
      </c>
      <c r="O62" s="682"/>
      <c r="P62" s="682"/>
      <c r="Q62" s="682" t="str">
        <f>IF($J60="","",$J60)</f>
        <v/>
      </c>
      <c r="R62" s="682"/>
      <c r="S62" s="682"/>
      <c r="T62" s="682" t="str">
        <f>IF($K60="","",$K60)</f>
        <v/>
      </c>
      <c r="U62" s="682"/>
      <c r="V62" s="682"/>
      <c r="W62" s="682" t="str">
        <f>IF($L60="","",$L60)</f>
        <v/>
      </c>
      <c r="X62" s="682"/>
      <c r="Y62" s="682"/>
      <c r="Z62" s="682" t="str">
        <f>IF($M60="","",$M60)</f>
        <v/>
      </c>
      <c r="AA62" s="682"/>
      <c r="AB62" s="682"/>
      <c r="AC62" s="420"/>
      <c r="AD62" s="287" t="str">
        <f>+A37</f>
        <v>M+ =</v>
      </c>
      <c r="AE62" s="325">
        <f>+IF(B37="","",B37)</f>
        <v>0.76990000000000003</v>
      </c>
      <c r="AF62" s="325" t="str">
        <f>+IF(C37="","",C37)</f>
        <v/>
      </c>
      <c r="AG62" s="325" t="str">
        <f t="shared" ref="AG62" si="77">+IF(D37="","",D37)</f>
        <v/>
      </c>
      <c r="AH62" s="325">
        <f t="shared" ref="AH62" si="78">+IF(E37="","",E37)</f>
        <v>0.34739999999999999</v>
      </c>
      <c r="AI62" s="325" t="str">
        <f t="shared" ref="AI62" si="79">+IF(F37="","",F37)</f>
        <v/>
      </c>
      <c r="AJ62" s="325" t="str">
        <f t="shared" ref="AJ62" si="80">+IF(G37="","",G37)</f>
        <v/>
      </c>
      <c r="AK62" s="325" t="str">
        <f t="shared" ref="AK62" si="81">+IF(H37="","",H37)</f>
        <v/>
      </c>
      <c r="AL62" s="325" t="str">
        <f t="shared" ref="AL62" si="82">+IF(I37="","",I37)</f>
        <v/>
      </c>
      <c r="AM62" s="325" t="str">
        <f t="shared" ref="AM62" si="83">+IF(J37="","",J37)</f>
        <v/>
      </c>
      <c r="BB62" s="27"/>
      <c r="BC62" s="401"/>
      <c r="BD62" s="398"/>
      <c r="BE62" s="428">
        <f>BE$27</f>
        <v>1</v>
      </c>
      <c r="BF62" s="428">
        <f t="shared" ref="BF62:CL62" si="84">BF$27</f>
        <v>2</v>
      </c>
      <c r="BG62" s="428">
        <f t="shared" si="84"/>
        <v>3</v>
      </c>
      <c r="BH62" s="428">
        <f t="shared" si="84"/>
        <v>4</v>
      </c>
      <c r="BI62" s="428">
        <f t="shared" si="84"/>
        <v>5</v>
      </c>
      <c r="BJ62" s="428">
        <f t="shared" si="84"/>
        <v>6</v>
      </c>
      <c r="BK62" s="428">
        <f t="shared" si="84"/>
        <v>7</v>
      </c>
      <c r="BL62" s="428">
        <f t="shared" si="84"/>
        <v>8</v>
      </c>
      <c r="BM62" s="428">
        <f t="shared" si="84"/>
        <v>9</v>
      </c>
      <c r="BN62" s="428">
        <f t="shared" si="84"/>
        <v>10</v>
      </c>
      <c r="BO62" s="428">
        <f t="shared" si="84"/>
        <v>11</v>
      </c>
      <c r="BP62" s="428">
        <f t="shared" si="84"/>
        <v>12</v>
      </c>
      <c r="BQ62" s="428">
        <f t="shared" si="84"/>
        <v>13</v>
      </c>
      <c r="BR62" s="428">
        <f t="shared" si="84"/>
        <v>14</v>
      </c>
      <c r="BS62" s="428">
        <f t="shared" si="84"/>
        <v>15</v>
      </c>
      <c r="BT62" s="428">
        <f t="shared" si="84"/>
        <v>16</v>
      </c>
      <c r="BU62" s="428">
        <f t="shared" si="84"/>
        <v>17</v>
      </c>
      <c r="BV62" s="428">
        <f t="shared" si="84"/>
        <v>18</v>
      </c>
      <c r="BW62" s="428">
        <f t="shared" si="84"/>
        <v>19</v>
      </c>
      <c r="BX62" s="428">
        <f t="shared" si="84"/>
        <v>20</v>
      </c>
      <c r="BY62" s="428">
        <f t="shared" si="84"/>
        <v>21</v>
      </c>
      <c r="BZ62" s="428">
        <f t="shared" si="84"/>
        <v>22</v>
      </c>
      <c r="CA62" s="428">
        <f t="shared" si="84"/>
        <v>23</v>
      </c>
      <c r="CB62" s="428">
        <f t="shared" si="84"/>
        <v>24</v>
      </c>
      <c r="CC62" s="428">
        <f t="shared" si="84"/>
        <v>25</v>
      </c>
      <c r="CD62" s="428">
        <f t="shared" si="84"/>
        <v>26</v>
      </c>
      <c r="CE62" s="428">
        <f t="shared" si="84"/>
        <v>27</v>
      </c>
      <c r="CF62" s="428">
        <f t="shared" si="84"/>
        <v>28</v>
      </c>
      <c r="CG62" s="428">
        <f t="shared" si="84"/>
        <v>29</v>
      </c>
      <c r="CH62" s="428">
        <f t="shared" si="84"/>
        <v>30</v>
      </c>
      <c r="CI62" s="428">
        <f t="shared" si="84"/>
        <v>31</v>
      </c>
      <c r="CJ62" s="428">
        <f t="shared" si="84"/>
        <v>32</v>
      </c>
      <c r="CK62" s="428">
        <f t="shared" si="84"/>
        <v>33</v>
      </c>
      <c r="CL62" s="428">
        <f t="shared" si="84"/>
        <v>34</v>
      </c>
      <c r="CM62" s="431"/>
      <c r="CN62" s="263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</row>
    <row r="63" spans="1:110" s="245" customFormat="1" ht="21.75" customHeight="1" thickBot="1">
      <c r="A63" s="413" t="s">
        <v>3</v>
      </c>
      <c r="B63" s="683" t="str">
        <f>IF(B62="","",IF(K4="X - X",VLOOKUP(B62,Espesor!$C$8:$E$41,2,0),VLOOKUP(B62,Espesor!$C$8:$E$41,3,0)))</f>
        <v/>
      </c>
      <c r="C63" s="684"/>
      <c r="D63" s="685"/>
      <c r="E63" s="683" t="str">
        <f>IF(E62="","",IF(K4="X - X",VLOOKUP(E62,Espesor!$C$8:$E$41,2,0),VLOOKUP(E62,Espesor!$C$8:$E$41,3,0)))</f>
        <v/>
      </c>
      <c r="F63" s="684"/>
      <c r="G63" s="685"/>
      <c r="H63" s="683" t="str">
        <f>IF(H62="","",IF(K4="X - X",VLOOKUP(H62,Espesor!$C$8:$E$41,2,0),VLOOKUP(H62,Espesor!$C$8:$E$41,3,0)))</f>
        <v/>
      </c>
      <c r="I63" s="684"/>
      <c r="J63" s="685"/>
      <c r="K63" s="683" t="str">
        <f>IF(K62="","",IF(K4="X - X",VLOOKUP(K62,Espesor!$C$8:$E$41,2,0),VLOOKUP(K62,Espesor!$C$8:$E$41,3,0)))</f>
        <v/>
      </c>
      <c r="L63" s="684"/>
      <c r="M63" s="685"/>
      <c r="N63" s="683" t="str">
        <f>IF(N62="","",IF(K4="X - X",VLOOKUP(N62,Espesor!$C$8:$E$41,2,0),VLOOKUP(N62,Espesor!$C$8:$E$41,3,0)))</f>
        <v/>
      </c>
      <c r="O63" s="684"/>
      <c r="P63" s="685"/>
      <c r="Q63" s="683" t="str">
        <f>IF(Q62="","",IF(K4="X - X",VLOOKUP(Q62,Espesor!$C$8:$E$41,2,0),VLOOKUP(Q62,Espesor!$C$8:$E$41,3,0)))</f>
        <v/>
      </c>
      <c r="R63" s="684"/>
      <c r="S63" s="685"/>
      <c r="T63" s="683" t="str">
        <f>IF(T62="","",IF(K4="X - X",VLOOKUP(T62,Espesor!$C$8:$E$41,2,0),VLOOKUP(T62,Espesor!$C$8:$E$41,3,0)))</f>
        <v/>
      </c>
      <c r="U63" s="684"/>
      <c r="V63" s="685"/>
      <c r="W63" s="683" t="str">
        <f>IF(W62="","",IF(K4="X - X",VLOOKUP(W62,Espesor!$C$8:$E$41,2,0),VLOOKUP(W62,Espesor!$C$8:$E$41,3,0)))</f>
        <v/>
      </c>
      <c r="X63" s="684"/>
      <c r="Y63" s="685"/>
      <c r="Z63" s="683" t="str">
        <f>IF(Z62="","",IF(K4="X - X",VLOOKUP(Z62,Espesor!$C$8:$E$41,2,0),VLOOKUP(Z62,Espesor!$C$8:$E$41,3,0)))</f>
        <v/>
      </c>
      <c r="AA63" s="684"/>
      <c r="AB63" s="685"/>
      <c r="AC63" s="380"/>
      <c r="AD63" s="338" t="s">
        <v>4</v>
      </c>
      <c r="AE63" s="322" t="s">
        <v>3</v>
      </c>
      <c r="AF63" s="339" t="s">
        <v>138</v>
      </c>
      <c r="AG63" s="637" t="s">
        <v>139</v>
      </c>
      <c r="AH63" s="638"/>
      <c r="AI63" s="638"/>
      <c r="AJ63" s="639"/>
      <c r="AK63" s="640" t="s">
        <v>142</v>
      </c>
      <c r="AL63" s="641"/>
      <c r="AM63" s="637" t="s">
        <v>143</v>
      </c>
      <c r="AN63" s="639"/>
      <c r="AO63" s="642" t="s">
        <v>144</v>
      </c>
      <c r="AP63" s="643"/>
      <c r="AQ63" s="643"/>
      <c r="AR63" s="644"/>
      <c r="AS63" s="642" t="s">
        <v>145</v>
      </c>
      <c r="AT63" s="643"/>
      <c r="AU63" s="644"/>
      <c r="AV63" s="645" t="s">
        <v>157</v>
      </c>
      <c r="AW63" s="646"/>
      <c r="AX63" s="646"/>
      <c r="AY63" s="646"/>
      <c r="AZ63" s="646"/>
      <c r="BA63" s="647"/>
      <c r="BB63" s="242"/>
      <c r="BC63" s="422">
        <f>+A59</f>
        <v>3</v>
      </c>
      <c r="BD63" s="398" t="s">
        <v>153</v>
      </c>
      <c r="BE63" s="429">
        <f>IF(BE62=$B$62,$B$74,IF(BE62=$E$62,$E$74,IF(BE62=$H$62,$H$74,IF(BE62=$K$62,$K$74,IF(BE62=$N$62,$N$74,IF(BE62=$Q$62,$Q$74,IF(BE62=$T$62,$T$74,IF(BE62=$W$62,$W$74,IF(BE62=$Z$62,$Z$74,0)))))))))</f>
        <v>0</v>
      </c>
      <c r="BF63" s="429">
        <f t="shared" ref="BF63:CL63" si="85">IF(BF62=$B$62,$B$74,IF(BF62=$E$62,$E$74,IF(BF62=$H$62,$H$74,IF(BF62=$K$62,$K$74,IF(BF62=$N$62,$N$74,IF(BF62=$Q$62,$Q$74,IF(BF62=$T$62,$T$74,IF(BF62=$W$62,$W$74,IF(BF62=$Z$62,$Z$74,0)))))))))</f>
        <v>0</v>
      </c>
      <c r="BG63" s="429">
        <f t="shared" si="85"/>
        <v>0</v>
      </c>
      <c r="BH63" s="429">
        <f t="shared" si="85"/>
        <v>0</v>
      </c>
      <c r="BI63" s="429">
        <f t="shared" si="85"/>
        <v>0</v>
      </c>
      <c r="BJ63" s="429">
        <f t="shared" si="85"/>
        <v>0</v>
      </c>
      <c r="BK63" s="429">
        <f t="shared" si="85"/>
        <v>0</v>
      </c>
      <c r="BL63" s="429">
        <f t="shared" si="85"/>
        <v>0</v>
      </c>
      <c r="BM63" s="429">
        <f t="shared" si="85"/>
        <v>0</v>
      </c>
      <c r="BN63" s="429">
        <f t="shared" si="85"/>
        <v>0</v>
      </c>
      <c r="BO63" s="429">
        <f t="shared" si="85"/>
        <v>0</v>
      </c>
      <c r="BP63" s="429">
        <f t="shared" si="85"/>
        <v>0</v>
      </c>
      <c r="BQ63" s="429">
        <f t="shared" si="85"/>
        <v>0</v>
      </c>
      <c r="BR63" s="429">
        <f t="shared" si="85"/>
        <v>0</v>
      </c>
      <c r="BS63" s="429">
        <f t="shared" si="85"/>
        <v>0</v>
      </c>
      <c r="BT63" s="429">
        <f t="shared" si="85"/>
        <v>0</v>
      </c>
      <c r="BU63" s="429">
        <f t="shared" si="85"/>
        <v>0</v>
      </c>
      <c r="BV63" s="429">
        <f t="shared" si="85"/>
        <v>0</v>
      </c>
      <c r="BW63" s="429">
        <f t="shared" si="85"/>
        <v>0</v>
      </c>
      <c r="BX63" s="429">
        <f t="shared" si="85"/>
        <v>0</v>
      </c>
      <c r="BY63" s="429">
        <f t="shared" si="85"/>
        <v>0</v>
      </c>
      <c r="BZ63" s="429">
        <f t="shared" si="85"/>
        <v>0</v>
      </c>
      <c r="CA63" s="429">
        <f t="shared" si="85"/>
        <v>0</v>
      </c>
      <c r="CB63" s="429">
        <f t="shared" si="85"/>
        <v>0</v>
      </c>
      <c r="CC63" s="429">
        <f t="shared" si="85"/>
        <v>0</v>
      </c>
      <c r="CD63" s="429">
        <f t="shared" si="85"/>
        <v>0</v>
      </c>
      <c r="CE63" s="429">
        <f t="shared" si="85"/>
        <v>0</v>
      </c>
      <c r="CF63" s="429">
        <f t="shared" si="85"/>
        <v>0</v>
      </c>
      <c r="CG63" s="429">
        <f t="shared" si="85"/>
        <v>0</v>
      </c>
      <c r="CH63" s="429">
        <f t="shared" si="85"/>
        <v>0</v>
      </c>
      <c r="CI63" s="429">
        <f t="shared" si="85"/>
        <v>0</v>
      </c>
      <c r="CJ63" s="429">
        <f t="shared" si="85"/>
        <v>0</v>
      </c>
      <c r="CK63" s="429">
        <f t="shared" si="85"/>
        <v>0</v>
      </c>
      <c r="CL63" s="429">
        <f t="shared" si="85"/>
        <v>0</v>
      </c>
      <c r="CM63" s="473"/>
      <c r="CN63" s="27"/>
      <c r="CO63" s="242"/>
      <c r="CP63" s="242"/>
      <c r="CQ63" s="242"/>
      <c r="CR63" s="242"/>
      <c r="CS63" s="242"/>
      <c r="CT63" s="242"/>
      <c r="CU63" s="242"/>
      <c r="CV63" s="242"/>
      <c r="CW63" s="242"/>
      <c r="CX63" s="242"/>
      <c r="CY63" s="242"/>
      <c r="CZ63" s="242"/>
      <c r="DA63" s="242"/>
      <c r="DB63" s="242"/>
      <c r="DC63" s="242"/>
      <c r="DD63" s="242"/>
      <c r="DE63" s="242"/>
      <c r="DF63" s="242"/>
    </row>
    <row r="64" spans="1:110" s="246" customFormat="1" ht="23.25" customHeight="1">
      <c r="A64" s="257" t="s">
        <v>65</v>
      </c>
      <c r="B64" s="679" t="str">
        <f>+IF(B62="","",IF(LOOKUP(B62,Espesor!$C$8:$C$41,Espesor!$K$8:$K$41)="en voladizo","",0.75/B63))</f>
        <v/>
      </c>
      <c r="C64" s="680"/>
      <c r="D64" s="681"/>
      <c r="E64" s="679" t="str">
        <f>IF(E62="","",IF(LOOKUP(E62,Espesor!$C$8:$C$41,Espesor!$K$8:$K$41)="en voladizo","",IF(H62="",0.75/E63,1/E63)))</f>
        <v/>
      </c>
      <c r="F64" s="680"/>
      <c r="G64" s="681"/>
      <c r="H64" s="679" t="str">
        <f>IF(H62="","",IF(LOOKUP(H62,Espesor!$C$8:$C$41,Espesor!$K$8:$K$41)="en voladizo","",IF(K62="",0.75/H63,1/H63)))</f>
        <v/>
      </c>
      <c r="I64" s="680"/>
      <c r="J64" s="681"/>
      <c r="K64" s="679" t="str">
        <f>IF(K62="","",IF(LOOKUP(K62,Espesor!$C$8:$C$41,Espesor!$K$8:$K$41)="en voladizo","",IF(N62="",0.75/K63,1/K63)))</f>
        <v/>
      </c>
      <c r="L64" s="680"/>
      <c r="M64" s="681"/>
      <c r="N64" s="679" t="str">
        <f>IF(N62="","",IF(LOOKUP(N62,Espesor!$C$8:$C$41,Espesor!$K$8:$K$41)="en voladizo","",IF(Q62="",0.75/N63,1/N63)))</f>
        <v/>
      </c>
      <c r="O64" s="680"/>
      <c r="P64" s="681"/>
      <c r="Q64" s="679" t="str">
        <f>IF(Q62="","",IF(LOOKUP(Q62,Espesor!$C$8:$C$41,Espesor!$K$8:$K$41)="en voladizo","",IF(T62="",0.75/Q63,1/Q63)))</f>
        <v/>
      </c>
      <c r="R64" s="680"/>
      <c r="S64" s="681"/>
      <c r="T64" s="679" t="str">
        <f>IF(T62="","",IF(LOOKUP(T62,Espesor!$C$8:$C$41,Espesor!$K$8:$K$41)="en voladizo","",IF(W62="",0.75/T63,1/T63)))</f>
        <v/>
      </c>
      <c r="U64" s="680"/>
      <c r="V64" s="681"/>
      <c r="W64" s="679" t="str">
        <f>IF(W62="","",IF(LOOKUP(W62,Espesor!$C$8:$C$41,Espesor!$K$8:$K$41)="en voladizo","",IF(Z62="",0.75/W63,1/W63)))</f>
        <v/>
      </c>
      <c r="X64" s="680"/>
      <c r="Y64" s="681"/>
      <c r="Z64" s="679" t="str">
        <f>IF(Z62="","",IF(LOOKUP(Z62,Espesor!$C$8:$C$41,Espesor!$K$8:$K$41)="en voladizo","",IF(AC62="",0.75/Z63,1/Z63)))</f>
        <v/>
      </c>
      <c r="AA64" s="680"/>
      <c r="AB64" s="681"/>
      <c r="AC64" s="210"/>
      <c r="AD64" s="320">
        <f>+IF(AE62="","",AE62)</f>
        <v>0.76990000000000003</v>
      </c>
      <c r="AE64" s="323" t="str">
        <f>IF(B38="","",IF($K$2="X - X",VLOOKUP(B38,Espesor!$C$8:$E$41,2,0),VLOOKUP(B38,Espesor!$C$8:$E$41,3,0)))</f>
        <v/>
      </c>
      <c r="AF64" s="318" t="e">
        <f>+IF(AD64="","",IF(LOOKUP(AD64,Espesor!$C$8:$C$41,Espesor!$K$8:$K$41)="en voladizo","",0.75/AE64))</f>
        <v>#N/A</v>
      </c>
      <c r="AG64" s="648" t="e">
        <f>IF(AF64="","",IF(AF65="","",ROUND(AF64/(AF64+AF65),3)))</f>
        <v>#N/A</v>
      </c>
      <c r="AH64" s="343"/>
      <c r="AI64" s="648" t="str">
        <f>IF(AF65="","",IF(AF64="","",ROUND(AF65/(AF65+AF64),3)))</f>
        <v/>
      </c>
      <c r="AJ64" s="343"/>
      <c r="AK64" s="342">
        <v>0</v>
      </c>
      <c r="AL64" s="316" t="e">
        <f>-IF(B37="","",IF($K$2="X - X",VLOOKUP(B37,'Moms de Empt'!$P$3:$T$36,3,0),VLOOKUP(B37,'Moms de Empt'!$P$3:$T$36,5,0)))</f>
        <v>#N/A</v>
      </c>
      <c r="AM64" s="649">
        <f>IF(AD65="",0,IF(LOOKUP(AD65,Espesor!$C$8:$C$41,Espesor!$K$8:$K$41)="en voladizo",MAX(ABS(AL64),ABS(AK65)),-(AK65+AL64)))</f>
        <v>0</v>
      </c>
      <c r="AN64" s="345"/>
      <c r="AO64" s="650" t="e">
        <f>IF(AG64="","",AM64*AG64)</f>
        <v>#N/A</v>
      </c>
      <c r="AP64" s="342"/>
      <c r="AQ64" s="650" t="str">
        <f>IF(AI64="","",AM64*AI64)</f>
        <v/>
      </c>
      <c r="AR64" s="342"/>
      <c r="AS64" s="651" t="e">
        <f>-IF(AM64="","",IF(AL64="",IF(AO64="",0,AO64),IF(AO64="",AL64,AL64+AO64)))</f>
        <v>#N/A</v>
      </c>
      <c r="AT64" s="341"/>
      <c r="AU64" s="341" t="e">
        <f>+AS64</f>
        <v>#N/A</v>
      </c>
      <c r="AV64" s="329" t="e">
        <f>IF(B37="","",IF(L37="X - X",VLOOKUP(B62,'Moms de Empt'!$P$3:$T$36,2,0),VLOOKUP(B62,'Moms de Empt'!$P$3:$T$36,4,0)))</f>
        <v>#N/A</v>
      </c>
      <c r="AW64" s="653" t="str">
        <f>IF(B64="","",IF(D66="","",IF(ABS(D70)&gt;ABS(D66),-0.5*ABS(D68),0.5*ABS(D68))))</f>
        <v/>
      </c>
      <c r="AX64" s="330"/>
      <c r="AY64" s="653" t="str">
        <f>IF(AV65="","",IF(AV64="","",ROUND(AV65/(AV65+AV64),3)))</f>
        <v/>
      </c>
      <c r="AZ64" s="330"/>
      <c r="BA64" s="331" t="e">
        <f t="shared" ref="BA64:BA71" si="86">+AV64</f>
        <v>#N/A</v>
      </c>
      <c r="BB64" s="245"/>
      <c r="BC64" s="422"/>
      <c r="BD64" s="398"/>
      <c r="BE64" s="429"/>
      <c r="BF64" s="30"/>
      <c r="BG64" s="30"/>
      <c r="BH64" s="389"/>
      <c r="BI64" s="389"/>
      <c r="BJ64" s="389"/>
      <c r="BK64" s="389"/>
      <c r="BL64" s="389"/>
      <c r="BM64" s="389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90"/>
      <c r="CC64" s="30"/>
      <c r="CD64" s="30"/>
      <c r="CE64" s="30"/>
      <c r="CF64" s="390"/>
      <c r="CG64" s="30"/>
      <c r="CH64" s="30"/>
      <c r="CI64" s="30"/>
      <c r="CJ64" s="30"/>
      <c r="CK64" s="30"/>
      <c r="CL64" s="30"/>
      <c r="CM64" s="432"/>
      <c r="CN64" s="242"/>
      <c r="CO64" s="245"/>
      <c r="CP64" s="245"/>
      <c r="CQ64" s="245"/>
      <c r="CR64" s="245"/>
      <c r="CS64" s="245"/>
      <c r="CT64" s="245"/>
      <c r="CU64" s="245"/>
      <c r="CV64" s="245"/>
      <c r="CW64" s="245"/>
      <c r="CX64" s="245"/>
      <c r="CY64" s="245"/>
      <c r="CZ64" s="245"/>
      <c r="DA64" s="245"/>
      <c r="DB64" s="245"/>
      <c r="DC64" s="245"/>
      <c r="DD64" s="245"/>
      <c r="DE64" s="245"/>
      <c r="DF64" s="245"/>
    </row>
    <row r="65" spans="1:110" s="32" customFormat="1" ht="21.75" customHeight="1">
      <c r="A65" s="247" t="s">
        <v>123</v>
      </c>
      <c r="B65" s="29"/>
      <c r="C65" s="30"/>
      <c r="D65" s="31">
        <f>IF(B64="",0,IF(E64="",0,ROUND(B64/(B64+E64),3)))</f>
        <v>0</v>
      </c>
      <c r="E65" s="29">
        <f>IF(E64="",0,IF(B64="",0,ROUND(E64/(E64+B64),3)))</f>
        <v>0</v>
      </c>
      <c r="F65" s="30"/>
      <c r="G65" s="31">
        <f>IF(E64="",0,IF(H64="",0,ROUND(E64/(E64+H64),3)))</f>
        <v>0</v>
      </c>
      <c r="H65" s="29">
        <f>IF(H64="",0,IF(E64="",0,ROUND(H64/(H64+E64),3)))</f>
        <v>0</v>
      </c>
      <c r="I65" s="30"/>
      <c r="J65" s="31">
        <f>IF(H64="",0,IF(K64="",0,ROUND(H64/(H64+K64),3)))</f>
        <v>0</v>
      </c>
      <c r="K65" s="29">
        <f>IF(K64="",0,IF(H64="",0,ROUND(K64/(K64+H64),3)))</f>
        <v>0</v>
      </c>
      <c r="L65" s="30"/>
      <c r="M65" s="31">
        <f>IF(K64="",0,IF(N64="",0,ROUND(K64/(K64+N64),3)))</f>
        <v>0</v>
      </c>
      <c r="N65" s="29">
        <f>IF(N64="",0,IF(K64="",0,ROUND(N64/(N64+K64),3)))</f>
        <v>0</v>
      </c>
      <c r="O65" s="30"/>
      <c r="P65" s="31">
        <f>IF(N64="",0,IF(Q64="",0,ROUND(N64/(N64+Q64),3)))</f>
        <v>0</v>
      </c>
      <c r="Q65" s="29">
        <f>IF(Q64="",0,IF(N64="",0,ROUND(Q64/(Q64+N64),3)))</f>
        <v>0</v>
      </c>
      <c r="R65" s="30"/>
      <c r="S65" s="31">
        <f>IF(Q64="",0,IF(T64="",0,ROUND(Q64/(Q64+T64),3)))</f>
        <v>0</v>
      </c>
      <c r="T65" s="29">
        <f>IF(T64="",0,IF(Q64="",0,ROUND(T64/(T64+Q64),3)))</f>
        <v>0</v>
      </c>
      <c r="U65" s="30"/>
      <c r="V65" s="31">
        <f>IF(T64="",0,IF(W64="",0,ROUND(T64/(T64+W64),3)))</f>
        <v>0</v>
      </c>
      <c r="W65" s="29">
        <f>IF(W64="",0,IF(T64="",0,ROUND(W64/(W64+T64),3)))</f>
        <v>0</v>
      </c>
      <c r="X65" s="30"/>
      <c r="Y65" s="31">
        <f>IF(W64="",0,IF(Z64="",0,ROUND(W64/(W64+Z64),3)))</f>
        <v>0</v>
      </c>
      <c r="Z65" s="29">
        <f>IF(Z64="",0,IF(W64="",0,ROUND(Z64/(Z64+W64),3)))</f>
        <v>0</v>
      </c>
      <c r="AA65" s="30"/>
      <c r="AB65" s="31">
        <f>IF(Z64="",0,IF(AC64="",0,ROUND(Z64/(Z64+AC64),3)))</f>
        <v>0</v>
      </c>
      <c r="AC65" s="29"/>
      <c r="AD65" s="321" t="str">
        <f>+IF(AF62="","",AF62)</f>
        <v/>
      </c>
      <c r="AE65" s="324" t="str">
        <f>IF(C37="","",IF($K$2="X - X",VLOOKUP(C37,Espesor!$C$8:$E$41,2,0),VLOOKUP(C37,Espesor!$C$8:$E$41,3,0)))</f>
        <v/>
      </c>
      <c r="AF65" s="319" t="str">
        <f>IF(AD65="","",IF(LOOKUP(AD65,Espesor!$C$8:$C$41,Espesor!$K$8:$K$41)="en voladizo","",IF(AD66="",0.75/AE65,1/AE65)))</f>
        <v/>
      </c>
      <c r="AG65" s="634"/>
      <c r="AH65" s="634" t="str">
        <f>IF(AF65="","",IF(AF66="","",ROUND(AF65/(AF65+AF66),3)))</f>
        <v/>
      </c>
      <c r="AI65" s="634"/>
      <c r="AJ65" s="634" t="str">
        <f>IF(AF65="","",IF(AF66="","",ROUND(AF66/(AF65+AF66),3)))</f>
        <v/>
      </c>
      <c r="AK65" s="317">
        <f>IF(C37="",0,IF($K$2="X - X",VLOOKUP(C37,'Moms de Empt'!$P$3:$T$36,3,0),VLOOKUP(C37,'Moms de Empt'!$P$3:$T$36,5,0)))</f>
        <v>0</v>
      </c>
      <c r="AL65" s="317">
        <f>+IF(AD66="",0,-AK65)</f>
        <v>0</v>
      </c>
      <c r="AM65" s="629"/>
      <c r="AN65" s="629">
        <f>IF(AD66="",0,IF(LOOKUP(AD66,Espesor!$C$8:$C$41,Espesor!$K$8:$K$41)="en voladizo",MAX(ABS(AL65),ABS(AK66)),-(AK66+AL65)))</f>
        <v>0</v>
      </c>
      <c r="AO65" s="630"/>
      <c r="AP65" s="630" t="str">
        <f>IF(AH65="","",AN65*AH65)</f>
        <v/>
      </c>
      <c r="AQ65" s="630"/>
      <c r="AR65" s="630" t="str">
        <f>IF(AJ65="","",AN65*AJ65)</f>
        <v/>
      </c>
      <c r="AS65" s="652"/>
      <c r="AT65" s="631">
        <f>-IF(AN65="","",IF(AL65="",IF(AP65="",0,AP65),IF(AP65="",AL65,AL65+AP65)))</f>
        <v>0</v>
      </c>
      <c r="AU65" s="341">
        <f>+AT65</f>
        <v>0</v>
      </c>
      <c r="AV65" s="332" t="str">
        <f>IF(E62="","",IF(L37="X - X",VLOOKUP(E62,'Moms de Empt'!$P$3:$T$36,2,0),VLOOKUP(E62,'Moms de Empt'!$P$3:$T$36,4,0)))</f>
        <v/>
      </c>
      <c r="AW65" s="635"/>
      <c r="AX65" s="633" t="str">
        <f>IF(AV65="","",IF(AV66="","",ROUND(AV65/(AV65+AV66),3)))</f>
        <v/>
      </c>
      <c r="AY65" s="635"/>
      <c r="AZ65" s="633" t="str">
        <f>IF(AV65="","",IF(AV66="","",ROUND(AV66/(AV65+AV66),3)))</f>
        <v/>
      </c>
      <c r="BA65" s="331" t="str">
        <f t="shared" si="86"/>
        <v/>
      </c>
      <c r="BB65" s="246"/>
      <c r="BC65" s="422"/>
      <c r="BD65" s="398"/>
      <c r="BE65" s="429"/>
      <c r="BF65" s="392"/>
      <c r="BG65" s="392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90"/>
      <c r="CC65" s="30"/>
      <c r="CD65" s="30"/>
      <c r="CE65" s="30"/>
      <c r="CF65" s="390"/>
      <c r="CG65" s="30"/>
      <c r="CH65" s="30"/>
      <c r="CI65" s="30"/>
      <c r="CJ65" s="30"/>
      <c r="CK65" s="30"/>
      <c r="CL65" s="30"/>
      <c r="CM65" s="477"/>
      <c r="CN65" s="245"/>
      <c r="CO65" s="246"/>
      <c r="CP65" s="246"/>
      <c r="CQ65" s="246"/>
      <c r="CR65" s="246"/>
      <c r="CS65" s="246"/>
      <c r="CT65" s="246"/>
      <c r="CU65" s="246"/>
      <c r="CV65" s="246"/>
      <c r="CW65" s="246"/>
      <c r="CX65" s="246"/>
      <c r="CY65" s="246"/>
      <c r="CZ65" s="246"/>
      <c r="DA65" s="246"/>
      <c r="DB65" s="246"/>
      <c r="DC65" s="246"/>
      <c r="DD65" s="246"/>
      <c r="DE65" s="246"/>
      <c r="DF65" s="246"/>
    </row>
    <row r="66" spans="1:110" s="35" customFormat="1" ht="21.75" customHeight="1">
      <c r="A66" s="303" t="s">
        <v>142</v>
      </c>
      <c r="B66" s="249"/>
      <c r="C66" s="34"/>
      <c r="D66" s="33" t="str">
        <f>IF(B62="","",-VLOOKUP(B62,'Moms de Empt'!$P$3:$T$36,3,0))</f>
        <v/>
      </c>
      <c r="E66" s="34" t="str">
        <f>IF(E62="","",IF($K$4="X - X",VLOOKUP(E62,'Moms de Empt'!$P$3:$T$36,3,0),VLOOKUP(E62,'Moms de Empt'!$P$3:$T$36,5,0)))</f>
        <v/>
      </c>
      <c r="F66" s="34"/>
      <c r="G66" s="33" t="str">
        <f>+IF(H62="","",-E66)</f>
        <v/>
      </c>
      <c r="H66" s="34" t="str">
        <f>IF(H62="","",IF($K$4="X - X",VLOOKUP(H62,'Moms de Empt'!$P$3:$T$36,3,0),VLOOKUP(H62,'Moms de Empt'!$P$3:$T$36,5,0)))</f>
        <v/>
      </c>
      <c r="I66" s="34"/>
      <c r="J66" s="33" t="str">
        <f>+IF(K62="","",-H66)</f>
        <v/>
      </c>
      <c r="K66" s="34" t="str">
        <f>IF(K62="","",IF($K$4="X - X",VLOOKUP(K62,'Moms de Empt'!$P$3:$T$36,3,0),VLOOKUP(K62,'Moms de Empt'!$P$3:$T$36,5,0)))</f>
        <v/>
      </c>
      <c r="L66" s="34"/>
      <c r="M66" s="33" t="str">
        <f>+IF(N62="","",-K66)</f>
        <v/>
      </c>
      <c r="N66" s="34" t="str">
        <f>IF(N62="","",IF($K$4="X - X",VLOOKUP(N62,'Moms de Empt'!$P$3:$T$36,3,0),VLOOKUP(N62,'Moms de Empt'!$P$3:$T$36,5,0)))</f>
        <v/>
      </c>
      <c r="O66" s="34"/>
      <c r="P66" s="33" t="str">
        <f>+IF(Q62="","",-N66)</f>
        <v/>
      </c>
      <c r="Q66" s="34" t="str">
        <f>IF(Q62="","",IF($K$4="X - X",VLOOKUP(Q62,'Moms de Empt'!$P$3:$T$36,3,0),VLOOKUP(Q62,'Moms de Empt'!$P$3:$T$36,5,0)))</f>
        <v/>
      </c>
      <c r="R66" s="34"/>
      <c r="S66" s="33" t="str">
        <f>+IF(T62="","",-Q66)</f>
        <v/>
      </c>
      <c r="T66" s="34" t="str">
        <f>IF(T62="","",IF($K$4="X - X",VLOOKUP(T62,'Moms de Empt'!$P$3:$T$36,3,0),VLOOKUP(T62,'Moms de Empt'!$P$3:$T$36,5,0)))</f>
        <v/>
      </c>
      <c r="U66" s="34"/>
      <c r="V66" s="33" t="str">
        <f>+IF(W62="","",-T66)</f>
        <v/>
      </c>
      <c r="W66" s="34" t="str">
        <f>IF(W62="","",IF($K$4="X - X",VLOOKUP(W62,'Moms de Empt'!$P$3:$T$36,3,0),VLOOKUP(W62,'Moms de Empt'!$P$3:$T$36,5,0)))</f>
        <v/>
      </c>
      <c r="X66" s="34"/>
      <c r="Y66" s="33" t="str">
        <f>+IF(Z62="","",-W66)</f>
        <v/>
      </c>
      <c r="Z66" s="34" t="str">
        <f>IF(Z62="","",IF($K$4="X - X",VLOOKUP(Z62,'Moms de Empt'!$P$3:$T$36,3,0),VLOOKUP(Z62,'Moms de Empt'!$P$3:$T$36,5,0)))</f>
        <v/>
      </c>
      <c r="AA66" s="34"/>
      <c r="AB66" s="33"/>
      <c r="AD66" s="321" t="str">
        <f>+IF(AG62="","",AG62)</f>
        <v/>
      </c>
      <c r="AE66" s="324" t="str">
        <f>IF(C38="","",IF($K$2="X - X",VLOOKUP(C38,Espesor!$C$8:$E$41,2,0),VLOOKUP(C38,Espesor!$C$8:$E$41,3,0)))</f>
        <v/>
      </c>
      <c r="AF66" s="319" t="str">
        <f>IF(AD66="","",IF(LOOKUP(AD66,Espesor!$C$8:$C$41,Espesor!$K$8:$K$41)="en voladizo","",IF(AD67="",0.75/AE66,1/AE66)))</f>
        <v/>
      </c>
      <c r="AG66" s="634" t="str">
        <f>IF(AF66="","",IF(AF67="","",ROUND(AF66/(AF66+AF67),3)))</f>
        <v/>
      </c>
      <c r="AH66" s="634"/>
      <c r="AI66" s="634" t="e">
        <f>IF(AF67="","",IF(AF66="","",ROUND(AF67/(AF67+AF66),3)))</f>
        <v>#N/A</v>
      </c>
      <c r="AJ66" s="634"/>
      <c r="AK66" s="317">
        <f>IF(D37="",0,IF($K$2="X - X",VLOOKUP(D37,'Moms de Empt'!$P$3:$T$36,3,0),VLOOKUP(D37,'Moms de Empt'!$P$3:$T$36,5,0)))</f>
        <v>0</v>
      </c>
      <c r="AL66" s="317">
        <f>+IF(AD67="",0,-AK66)</f>
        <v>0</v>
      </c>
      <c r="AM66" s="629" t="e">
        <f>IF(AD67="",0,IF(LOOKUP(AD67,Espesor!$C$8:$C$41,Espesor!$K$8:$K$41)="en voladizo",MAX(ABS(AL66),ABS(AK67)),-(AK67+AL66)))</f>
        <v>#N/A</v>
      </c>
      <c r="AN66" s="629"/>
      <c r="AO66" s="630" t="str">
        <f>IF(AG66="","",AM66*AG66)</f>
        <v/>
      </c>
      <c r="AP66" s="630"/>
      <c r="AQ66" s="630" t="e">
        <f>IF(AI66="","",AM66*AI66)</f>
        <v>#N/A</v>
      </c>
      <c r="AR66" s="630"/>
      <c r="AS66" s="631" t="e">
        <f>-IF(AM66="","",IF(AL66="",IF(AO66="",0,AO66),IF(AO66="",AL66,AL66+AO66)))</f>
        <v>#N/A</v>
      </c>
      <c r="AT66" s="632"/>
      <c r="AU66" s="341" t="e">
        <f>+AS66</f>
        <v>#N/A</v>
      </c>
      <c r="AV66" s="332" t="str">
        <f>IF(H62="","",IF(L37="X - X",VLOOKUP(H62,'Moms de Empt'!$P$3:$T$36,2,0),VLOOKUP(H62,'Moms de Empt'!$P$3:$T$36,4,0)))</f>
        <v/>
      </c>
      <c r="AW66" s="635" t="str">
        <f>IF(AV66="","",IF(AV67="","",ROUND(AV66/(AV66+AV67),3)))</f>
        <v/>
      </c>
      <c r="AX66" s="633"/>
      <c r="AY66" s="635" t="str">
        <f>IF(AV67="","",IF(AV66="","",ROUND(AV67/(AV67+AV66),3)))</f>
        <v/>
      </c>
      <c r="AZ66" s="633"/>
      <c r="BA66" s="331" t="str">
        <f t="shared" si="86"/>
        <v/>
      </c>
      <c r="BB66" s="32"/>
      <c r="BC66" s="422"/>
      <c r="BD66" s="398"/>
      <c r="BE66" s="429"/>
      <c r="BF66" s="293"/>
      <c r="BG66" s="406"/>
      <c r="BH66" s="392"/>
      <c r="BI66" s="392"/>
      <c r="BJ66" s="392"/>
      <c r="BK66" s="392"/>
      <c r="BL66" s="392"/>
      <c r="BM66" s="392"/>
      <c r="BN66" s="393"/>
      <c r="BO66" s="393"/>
      <c r="BP66" s="393"/>
      <c r="BQ66" s="393"/>
      <c r="BR66" s="393"/>
      <c r="BS66" s="393"/>
      <c r="BT66" s="393"/>
      <c r="BU66" s="393"/>
      <c r="BV66" s="393"/>
      <c r="BW66" s="393"/>
      <c r="BX66" s="393"/>
      <c r="BY66" s="393"/>
      <c r="BZ66" s="393"/>
      <c r="CA66" s="393"/>
      <c r="CB66" s="390"/>
      <c r="CC66" s="393"/>
      <c r="CD66" s="393"/>
      <c r="CE66" s="393"/>
      <c r="CF66" s="390"/>
      <c r="CG66" s="393"/>
      <c r="CH66" s="393"/>
      <c r="CI66" s="393"/>
      <c r="CJ66" s="393"/>
      <c r="CK66" s="393"/>
      <c r="CL66" s="393"/>
      <c r="CM66" s="474"/>
      <c r="CN66" s="246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</row>
    <row r="67" spans="1:110" s="279" customFormat="1" ht="21.75" customHeight="1">
      <c r="A67" s="250" t="s">
        <v>125</v>
      </c>
      <c r="B67" s="272"/>
      <c r="C67" s="406"/>
      <c r="D67" s="678">
        <f>+IF(E62="",0,IF(LOOKUP(E62,Espesor!$C$8:$C$41,Espesor!$K$8:$K$41)="en voladizo",IF(LOOKUP(B62,Espesor!$C$8:$C$41,Espesor!$K$8:$K$41)="en voladizo","Inestable",MAX(ABS(D66),ABS(E66))),IF(LOOKUP(B62,Espesor!$C$8:$C$41,Espesor!$K$8:$K$41)="en voladizo",MAX(ABS(D66),ABS(E66)),-(E66+D66))))</f>
        <v>0</v>
      </c>
      <c r="E67" s="678"/>
      <c r="F67" s="406"/>
      <c r="G67" s="678">
        <f>+IF(H62="",0,IF(LOOKUP(H62,Espesor!$C$8:$C$41,Espesor!$K$8:$K$41)="en voladizo",IF(LOOKUP(E62,Espesor!$C$8:$C$41,Espesor!$K$8:$K$41)="en voladizo","Inestable",MAX(ABS(G66),ABS(H66))),IF(LOOKUP(E62,Espesor!$C$8:$C$41,Espesor!$K$8:$K$41)="en voladizo",MAX(ABS(G66),ABS(H66)),-(H66+G66))))</f>
        <v>0</v>
      </c>
      <c r="H67" s="678"/>
      <c r="I67" s="406"/>
      <c r="J67" s="678">
        <f>+IF(K62="",0,IF(LOOKUP(K62,Espesor!$C$8:$C$41,Espesor!$K$8:$K$41)="en voladizo",IF(LOOKUP(H62,Espesor!$C$8:$C$41,Espesor!$K$8:$K$41)="en voladizo","Inestable",MAX(ABS(J66),ABS(K66))),IF(LOOKUP(H62,Espesor!$C$8:$C$41,Espesor!$K$8:$K$41)="en voladizo",MAX(ABS(J66),ABS(K66)),-(K66+J66))))</f>
        <v>0</v>
      </c>
      <c r="K67" s="678"/>
      <c r="L67" s="406"/>
      <c r="M67" s="678">
        <f>+IF(N62="",0,IF(LOOKUP(N62,Espesor!$C$8:$C$41,Espesor!$K$8:$K$41)="en voladizo",IF(LOOKUP(K62,Espesor!$C$8:$C$41,Espesor!$K$8:$K$41)="en voladizo","Inestable",MAX(ABS(M66),ABS(N66))),IF(LOOKUP(K62,Espesor!$C$8:$C$41,Espesor!$K$8:$K$41)="en voladizo",MAX(ABS(M66),ABS(N66)),-(N66+M66))))</f>
        <v>0</v>
      </c>
      <c r="N67" s="678"/>
      <c r="O67" s="406"/>
      <c r="P67" s="678">
        <f>+IF(Q62="",0,IF(LOOKUP(Q62,Espesor!$C$8:$C$41,Espesor!$K$8:$K$41)="en voladizo",IF(LOOKUP(N62,Espesor!$C$8:$C$41,Espesor!$K$8:$K$41)="en voladizo","Inestable",MAX(ABS(P66),ABS(Q66))),IF(LOOKUP(N62,Espesor!$C$8:$C$41,Espesor!$K$8:$K$41)="en voladizo",MAX(ABS(P66),ABS(Q66)),-(Q66+P66))))</f>
        <v>0</v>
      </c>
      <c r="Q67" s="678"/>
      <c r="R67" s="406"/>
      <c r="S67" s="678">
        <f>+IF(T62="",0,IF(LOOKUP(T62,Espesor!$C$8:$C$41,Espesor!$K$8:$K$41)="en voladizo",IF(LOOKUP(Q62,Espesor!$C$8:$C$41,Espesor!$K$8:$K$41)="en voladizo","Inestable",MAX(ABS(S66),ABS(T66))),IF(LOOKUP(Q62,Espesor!$C$8:$C$41,Espesor!$K$8:$K$41)="en voladizo",MAX(ABS(S66),ABS(T66)),-(T66+S66))))</f>
        <v>0</v>
      </c>
      <c r="T67" s="678"/>
      <c r="U67" s="406"/>
      <c r="V67" s="678">
        <f>+IF(W62="",0,IF(LOOKUP(W62,Espesor!$C$8:$C$41,Espesor!$K$8:$K$41)="en voladizo",IF(LOOKUP(T62,Espesor!$C$8:$C$41,Espesor!$K$8:$K$41)="en voladizo","Inestable",MAX(ABS(V66),ABS(W66))),IF(LOOKUP(T62,Espesor!$C$8:$C$41,Espesor!$K$8:$K$41)="en voladizo",MAX(ABS(V66),ABS(W66)),-(W66+V66))))</f>
        <v>0</v>
      </c>
      <c r="W67" s="678"/>
      <c r="X67" s="406"/>
      <c r="Y67" s="678">
        <f>+IF(Z62="",0,IF(LOOKUP(Z62,Espesor!$C$8:$C$41,Espesor!$K$8:$K$41)="en voladizo",IF(LOOKUP(W62,Espesor!$C$8:$C$41,Espesor!$K$8:$K$41)="en voladizo","Inestable",MAX(ABS(Y66),ABS(Z66))),IF(LOOKUP(W62,Espesor!$C$8:$C$41,Espesor!$K$8:$K$41)="en voladizo",MAX(ABS(Y66),ABS(Z66)),-(Z66+Y66))))</f>
        <v>0</v>
      </c>
      <c r="Z67" s="678"/>
      <c r="AA67" s="406"/>
      <c r="AB67" s="252"/>
      <c r="AC67" s="292"/>
      <c r="AD67" s="321">
        <f>+IF(AH62="","",AH62)</f>
        <v>0.34739999999999999</v>
      </c>
      <c r="AE67" s="324" t="str">
        <f>IF(K62="","",IF($K$2="X - X",VLOOKUP(K62,Espesor!$C$8:$E$41,2,0),VLOOKUP(K62,Espesor!$C$8:$E$41,3,0)))</f>
        <v/>
      </c>
      <c r="AF67" s="319" t="e">
        <f>IF(AD67="","",IF(LOOKUP(AD67,Espesor!$C$8:$C$41,Espesor!$K$8:$K$41)="en voladizo","",IF(AD68="",0.75/AE67,1/AE67)))</f>
        <v>#N/A</v>
      </c>
      <c r="AG67" s="634"/>
      <c r="AH67" s="634" t="e">
        <f>IF(AF67="","",IF(AF68="","",ROUND(AF67/(AF67+AF68),3)))</f>
        <v>#N/A</v>
      </c>
      <c r="AI67" s="634"/>
      <c r="AJ67" s="634" t="e">
        <f>IF(AF67="","",IF(AF68="","",ROUND(AF68/(AF67+AF68),3)))</f>
        <v>#N/A</v>
      </c>
      <c r="AK67" s="317" t="e">
        <f>IF(E37="",0,IF($K$2="X - X",VLOOKUP(E37,'Moms de Empt'!$P$3:$T$36,3,0),VLOOKUP(E37,'Moms de Empt'!$P$3:$T$36,5,0)))</f>
        <v>#N/A</v>
      </c>
      <c r="AL67" s="317">
        <f t="shared" ref="AL67:AL69" si="87">+IF(AD68="",0,-AK67)</f>
        <v>0</v>
      </c>
      <c r="AM67" s="629"/>
      <c r="AN67" s="629">
        <f>IF(AD68="",0,IF(LOOKUP(AD68,Espesor!$C$8:$C$41,Espesor!$K$8:$K$41)="en voladizo",MAX(ABS(AL67),ABS(AK68)),-(AK68+AL67)))</f>
        <v>0</v>
      </c>
      <c r="AO67" s="630"/>
      <c r="AP67" s="630" t="e">
        <f t="shared" ref="AP67" si="88">IF(AH67="","",AN67*AH67)</f>
        <v>#N/A</v>
      </c>
      <c r="AQ67" s="630"/>
      <c r="AR67" s="630" t="e">
        <f t="shared" ref="AR67" si="89">IF(AJ67="","",AN67*AJ67)</f>
        <v>#N/A</v>
      </c>
      <c r="AS67" s="632"/>
      <c r="AT67" s="631" t="e">
        <f t="shared" ref="AT67" si="90">-IF(AN67="","",IF(AL67="",IF(AP67="",0,AP67),IF(AP67="",AL67,AL67+AP67)))</f>
        <v>#N/A</v>
      </c>
      <c r="AU67" s="341" t="e">
        <f>+AT67</f>
        <v>#N/A</v>
      </c>
      <c r="AV67" s="332" t="str">
        <f>IF(K62="","",IF(L37="X - X",VLOOKUP(K62,'Moms de Empt'!$P$3:$T$36,2,0),VLOOKUP(K62,'Moms de Empt'!$P$3:$T$36,4,0)))</f>
        <v/>
      </c>
      <c r="AW67" s="635"/>
      <c r="AX67" s="633" t="str">
        <f>IF(AV67="","",IF(AV68="","",ROUND(AV67/(AV67+AV68),3)))</f>
        <v/>
      </c>
      <c r="AY67" s="635"/>
      <c r="AZ67" s="633" t="str">
        <f>IF(AV67="","",IF(AV68="","",ROUND(AV68/(AV67+AV68),3)))</f>
        <v/>
      </c>
      <c r="BA67" s="331" t="str">
        <f t="shared" si="86"/>
        <v/>
      </c>
      <c r="BB67" s="35"/>
      <c r="BC67" s="401"/>
      <c r="BD67" s="398"/>
      <c r="BE67" s="391"/>
      <c r="BF67" s="30"/>
      <c r="BG67" s="30"/>
      <c r="BH67" s="406"/>
      <c r="BI67" s="406"/>
      <c r="BJ67" s="406"/>
      <c r="BK67" s="406"/>
      <c r="BL67" s="406"/>
      <c r="BM67" s="406"/>
      <c r="BN67" s="393"/>
      <c r="BO67" s="393"/>
      <c r="BP67" s="393"/>
      <c r="BQ67" s="393"/>
      <c r="BR67" s="393"/>
      <c r="BS67" s="393"/>
      <c r="BT67" s="393"/>
      <c r="BU67" s="393"/>
      <c r="BV67" s="393"/>
      <c r="BW67" s="393"/>
      <c r="BX67" s="393"/>
      <c r="BY67" s="393"/>
      <c r="BZ67" s="393"/>
      <c r="CA67" s="393"/>
      <c r="CB67" s="393"/>
      <c r="CC67" s="393"/>
      <c r="CD67" s="393"/>
      <c r="CE67" s="393"/>
      <c r="CF67" s="393"/>
      <c r="CG67" s="393"/>
      <c r="CH67" s="393"/>
      <c r="CI67" s="393"/>
      <c r="CJ67" s="393"/>
      <c r="CK67" s="393"/>
      <c r="CL67" s="393"/>
      <c r="CM67" s="475"/>
      <c r="CN67" s="32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</row>
    <row r="68" spans="1:110" s="30" customFormat="1" ht="21.75" customHeight="1">
      <c r="A68" s="253" t="s">
        <v>126</v>
      </c>
      <c r="B68" s="29"/>
      <c r="D68" s="254">
        <f>IF(D65="","",D67*D65)</f>
        <v>0</v>
      </c>
      <c r="E68" s="30">
        <f>IF(E65="","",D67*E65)</f>
        <v>0</v>
      </c>
      <c r="G68" s="277">
        <f>IF(G65="","",G67*G65)</f>
        <v>0</v>
      </c>
      <c r="H68" s="278">
        <f>IF(H65="","",G67*H65)</f>
        <v>0</v>
      </c>
      <c r="J68" s="254">
        <f>IF(J65="","",J67*J65)</f>
        <v>0</v>
      </c>
      <c r="K68" s="30">
        <f>IF(K65="","",J67*K65)</f>
        <v>0</v>
      </c>
      <c r="M68" s="254">
        <f>IF(M65="","",M67*M65)</f>
        <v>0</v>
      </c>
      <c r="N68" s="30">
        <f>IF(N65="","",M67*N65)</f>
        <v>0</v>
      </c>
      <c r="P68" s="254">
        <f>IF(P65="","",P67*P65)</f>
        <v>0</v>
      </c>
      <c r="Q68" s="30">
        <f>IF(Q65="","",P67*Q65)</f>
        <v>0</v>
      </c>
      <c r="S68" s="254">
        <f>IF(S65="","",S67*S65)</f>
        <v>0</v>
      </c>
      <c r="T68" s="30">
        <f>IF(T65="","",S67*T65)</f>
        <v>0</v>
      </c>
      <c r="V68" s="254">
        <f>IF(V65="","",V67*V65)</f>
        <v>0</v>
      </c>
      <c r="W68" s="30">
        <f>IF(W65="","",V67*W65)</f>
        <v>0</v>
      </c>
      <c r="Y68" s="254">
        <f>IF(Y65="","",Y67*Y65)</f>
        <v>0</v>
      </c>
      <c r="Z68" s="30">
        <f>IF(Z65="","",Y67*Z65)</f>
        <v>0</v>
      </c>
      <c r="AB68" s="31"/>
      <c r="AD68" s="321" t="str">
        <f>+IF(AI62="","",AI62)</f>
        <v/>
      </c>
      <c r="AE68" s="324" t="str">
        <f>IF(N62="","",IF($K$2="X - X",VLOOKUP(N62,Espesor!$C$8:$E$41,2,0),VLOOKUP(N62,Espesor!$C$8:$E$41,3,0)))</f>
        <v/>
      </c>
      <c r="AF68" s="319" t="str">
        <f>IF(AD68="","",IF(LOOKUP(AD68,Espesor!$C$8:$C$41,Espesor!$K$8:$K$41)="en voladizo","",IF(AD69="",0.75/AE68,1/AE68)))</f>
        <v/>
      </c>
      <c r="AG68" s="634" t="str">
        <f>IF(AF68="","",IF(AF69="","",ROUND(AF68/(AF68+AF69),3)))</f>
        <v/>
      </c>
      <c r="AH68" s="634"/>
      <c r="AI68" s="634" t="str">
        <f>IF(AF69="","",IF(AF68="","",ROUND(AF69/(AF69+AF68),3)))</f>
        <v/>
      </c>
      <c r="AJ68" s="634"/>
      <c r="AK68" s="317">
        <f>IF(F37="",0,IF($K$2="X - X",VLOOKUP(F37,'Moms de Empt'!$P$3:$T$36,3,0),VLOOKUP(F37,'Moms de Empt'!$P$3:$T$36,5,0)))</f>
        <v>0</v>
      </c>
      <c r="AL68" s="317">
        <f t="shared" si="87"/>
        <v>0</v>
      </c>
      <c r="AM68" s="629">
        <f>IF(AD69="",0,IF(LOOKUP(AD69,Espesor!$C$8:$C$41,Espesor!$K$8:$K$41)="en voladizo",MAX(ABS(AL68),ABS(AK69)),-(AK69+AL68)))</f>
        <v>0</v>
      </c>
      <c r="AN68" s="629"/>
      <c r="AO68" s="630" t="str">
        <f t="shared" ref="AO68" si="91">IF(AG68="","",AM68*AG68)</f>
        <v/>
      </c>
      <c r="AP68" s="630"/>
      <c r="AQ68" s="630" t="str">
        <f t="shared" ref="AQ68" si="92">IF(AI68="","",AM68*AI68)</f>
        <v/>
      </c>
      <c r="AR68" s="630"/>
      <c r="AS68" s="631">
        <f>-IF(AM68="","",IF(AL68="",IF(AO68="",0,AO68),IF(AO68="",AL68,AL68+AO68)))</f>
        <v>0</v>
      </c>
      <c r="AT68" s="632"/>
      <c r="AU68" s="341">
        <f>+AS68</f>
        <v>0</v>
      </c>
      <c r="AV68" s="332" t="str">
        <f>IF(N62="","",IF(L37="X - X",VLOOKUP(N62,'Moms de Empt'!$P$3:$T$36,2,0),VLOOKUP(N62,'Moms de Empt'!$P$3:$T$36,4,0)))</f>
        <v/>
      </c>
      <c r="AW68" s="635" t="str">
        <f>IF(AV68="","",IF(AV69="","",ROUND(AV68/(AV68+AV69),3)))</f>
        <v/>
      </c>
      <c r="AX68" s="633"/>
      <c r="AY68" s="635" t="str">
        <f>IF(AV69="","",IF(AV68="","",ROUND(AV69/(AV69+AV68),3)))</f>
        <v/>
      </c>
      <c r="AZ68" s="633"/>
      <c r="BA68" s="331" t="str">
        <f t="shared" si="86"/>
        <v/>
      </c>
      <c r="BB68" s="279"/>
      <c r="BC68" s="401"/>
      <c r="BD68" s="398"/>
      <c r="BE68" s="391"/>
      <c r="BN68" s="278"/>
      <c r="BO68" s="278"/>
      <c r="BP68" s="278"/>
      <c r="BQ68" s="278"/>
      <c r="BR68" s="278"/>
      <c r="BS68" s="278"/>
      <c r="BT68" s="278"/>
      <c r="BU68" s="278"/>
      <c r="BV68" s="278"/>
      <c r="BW68" s="278"/>
      <c r="BX68" s="278"/>
      <c r="BY68" s="278"/>
      <c r="BZ68" s="278"/>
      <c r="CA68" s="278"/>
      <c r="CB68" s="390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476"/>
      <c r="CN68" s="35"/>
      <c r="CO68" s="279"/>
      <c r="CP68" s="279"/>
      <c r="CQ68" s="279"/>
      <c r="CR68" s="279"/>
      <c r="CS68" s="279"/>
      <c r="CT68" s="279"/>
      <c r="CU68" s="279"/>
      <c r="CV68" s="279"/>
      <c r="CW68" s="279"/>
      <c r="CX68" s="279"/>
      <c r="CY68" s="279"/>
      <c r="CZ68" s="279"/>
      <c r="DA68" s="279"/>
      <c r="DB68" s="279"/>
      <c r="DC68" s="279"/>
      <c r="DD68" s="279"/>
      <c r="DE68" s="279"/>
      <c r="DF68" s="279"/>
    </row>
    <row r="69" spans="1:110" s="32" customFormat="1" ht="21.75" customHeight="1" thickBot="1">
      <c r="B69" s="29"/>
      <c r="C69" s="30"/>
      <c r="D69" s="255">
        <f>IF(D67="",0,IF(D66="",IF(D68="",0,D68),IF(D68="",D66,D66+D68)))</f>
        <v>0</v>
      </c>
      <c r="E69" s="256">
        <f>IF(D67="",0,IF(E66="",IF(E68="",0,E68),IF(E68="",E66,E66+E68)))</f>
        <v>0</v>
      </c>
      <c r="F69" s="30"/>
      <c r="G69" s="276">
        <f>IF(G67="",0,IF(G66="",IF(G68="",0,G68),IF(G68="",G66,G66+G68)))</f>
        <v>0</v>
      </c>
      <c r="H69" s="256">
        <f>IF(G67="",0,IF(H66="",IF(H68="",0,H68),IF(H68="",H66,H66+H68)))</f>
        <v>0</v>
      </c>
      <c r="I69" s="30"/>
      <c r="J69" s="276">
        <f>IF(J67="",0,IF(J66="",IF(J68="",0,J68),IF(J68="",J66,J66+J68)))</f>
        <v>0</v>
      </c>
      <c r="K69" s="256">
        <f>IF(J67="",0,IF(K66="",IF(K68="",0,K68),IF(K68="",K66,K66+K68)))</f>
        <v>0</v>
      </c>
      <c r="L69" s="30"/>
      <c r="M69" s="276">
        <f>IF(M67="",0,IF(M66="",IF(M68="",0,M68),IF(M68="",M66,M66+M68)))</f>
        <v>0</v>
      </c>
      <c r="N69" s="256">
        <f>IF(M67="",0,IF(N66="",IF(N68="",0,N68),IF(N68="",N66,N66+N68)))</f>
        <v>0</v>
      </c>
      <c r="O69" s="30"/>
      <c r="P69" s="276">
        <f>IF(P67="",0,IF(P66="",IF(P68="",0,P68),IF(P68="",P66,P66+P68)))</f>
        <v>0</v>
      </c>
      <c r="Q69" s="256">
        <f>IF(P67="",0,IF(Q66="",IF(Q68="",0,Q68),IF(Q68="",Q66,Q66+Q68)))</f>
        <v>0</v>
      </c>
      <c r="R69" s="30"/>
      <c r="S69" s="276">
        <f>IF(S67="",0,IF(S66="",IF(S68="",0,S68),IF(S68="",S66,S66+S68)))</f>
        <v>0</v>
      </c>
      <c r="T69" s="256">
        <f>IF(S67="",0,IF(T66="",IF(T68="",0,T68),IF(T68="",T66,T66+T68)))</f>
        <v>0</v>
      </c>
      <c r="U69" s="30"/>
      <c r="V69" s="276">
        <f>IF(V67="",0,IF(V66="",IF(V68="",0,V68),IF(V68="",V66,V66+V68)))</f>
        <v>0</v>
      </c>
      <c r="W69" s="256">
        <f>IF(V67="",0,IF(W66="",IF(W68="",0,W68),IF(W68="",W66,W66+W68)))</f>
        <v>0</v>
      </c>
      <c r="X69" s="30"/>
      <c r="Y69" s="276">
        <f>IF(Y67="",0,IF(Y66="",IF(Y68="",0,Y68),IF(Y68="",Y66,Y66+Y68)))</f>
        <v>0</v>
      </c>
      <c r="Z69" s="256">
        <f>IF(Y67="",0,IF(Z66="",IF(Z68="",0,Z68),IF(Z68="",Z66,Z66+Z68)))</f>
        <v>0</v>
      </c>
      <c r="AA69" s="30"/>
      <c r="AB69" s="31"/>
      <c r="AC69" s="30"/>
      <c r="AD69" s="321" t="str">
        <f>+IF(AJ62="","",AJ62)</f>
        <v/>
      </c>
      <c r="AE69" s="324" t="str">
        <f>IF(Q62="","",IF($K$2="X - X",VLOOKUP(Q62,Espesor!$C$8:$E$41,2,0),VLOOKUP(Q62,Espesor!$C$8:$E$41,3,0)))</f>
        <v/>
      </c>
      <c r="AF69" s="319" t="str">
        <f>IF(AD69="","",IF(LOOKUP(AD69,Espesor!$C$8:$C$41,Espesor!$K$8:$K$41)="en voladizo","",IF(AD70="",0.75/AE69,1/AE69)))</f>
        <v/>
      </c>
      <c r="AG69" s="634"/>
      <c r="AH69" s="634" t="str">
        <f>IF(AF69="","",IF(AF70="","",ROUND(AF69/(AF69+AF70),3)))</f>
        <v/>
      </c>
      <c r="AI69" s="634"/>
      <c r="AJ69" s="634" t="str">
        <f>IF(AF69="","",IF(AF70="","",ROUND(AF70/(AF69+AF70),3)))</f>
        <v/>
      </c>
      <c r="AK69" s="317">
        <f>IF(G37="",0,IF($K$2="X - X",VLOOKUP(G37,'Moms de Empt'!$P$3:$T$36,3,0),VLOOKUP(G37,'Moms de Empt'!$P$3:$T$36,5,0)))</f>
        <v>0</v>
      </c>
      <c r="AL69" s="317">
        <f t="shared" si="87"/>
        <v>0</v>
      </c>
      <c r="AM69" s="629"/>
      <c r="AN69" s="629">
        <f>IF(AD70="",0,IF(LOOKUP(AD70,Espesor!$C$8:$C$41,Espesor!$K$8:$K$41)="en voladizo",MAX(ABS(AL69),ABS(AK70)),-(AK70+AL69)))</f>
        <v>0</v>
      </c>
      <c r="AO69" s="630"/>
      <c r="AP69" s="630" t="str">
        <f t="shared" ref="AP69" si="93">IF(AH69="","",AN69*AH69)</f>
        <v/>
      </c>
      <c r="AQ69" s="630"/>
      <c r="AR69" s="630" t="str">
        <f t="shared" ref="AR69" si="94">IF(AJ69="","",AN69*AJ69)</f>
        <v/>
      </c>
      <c r="AS69" s="632"/>
      <c r="AT69" s="631">
        <f t="shared" ref="AT69" si="95">-IF(AN69="","",IF(AL69="",IF(AP69="",0,AP69),IF(AP69="",AL69,AL69+AP69)))</f>
        <v>0</v>
      </c>
      <c r="AU69" s="341">
        <f>+AT69</f>
        <v>0</v>
      </c>
      <c r="AV69" s="332" t="str">
        <f>IF(Q62="","",IF(L37="X - X",VLOOKUP(Q62,'Moms de Empt'!$P$3:$T$36,2,0),VLOOKUP(Q62,'Moms de Empt'!$P$3:$T$36,4,0)))</f>
        <v/>
      </c>
      <c r="AW69" s="635"/>
      <c r="AX69" s="633" t="str">
        <f>IF(AV69="","",IF(AV70="","",ROUND(AV69/(AV69+AV70),3)))</f>
        <v/>
      </c>
      <c r="AY69" s="635"/>
      <c r="AZ69" s="633" t="str">
        <f>IF(AV69="","",IF(AV70="","",ROUND(AV70/(AV69+AV70),3)))</f>
        <v/>
      </c>
      <c r="BA69" s="331" t="str">
        <f t="shared" si="86"/>
        <v/>
      </c>
      <c r="BB69" s="30"/>
      <c r="BC69" s="401"/>
      <c r="BD69" s="398"/>
      <c r="BE69" s="391"/>
      <c r="BF69" s="394"/>
      <c r="BG69" s="393"/>
      <c r="BH69" s="30"/>
      <c r="BI69" s="30"/>
      <c r="BJ69" s="30"/>
      <c r="BK69" s="30"/>
      <c r="BL69" s="30"/>
      <c r="BM69" s="30"/>
      <c r="BN69" s="396"/>
      <c r="BO69" s="396"/>
      <c r="BP69" s="396"/>
      <c r="BQ69" s="396"/>
      <c r="BR69" s="396"/>
      <c r="BS69" s="396"/>
      <c r="BT69" s="396"/>
      <c r="BU69" s="396"/>
      <c r="BV69" s="396"/>
      <c r="BW69" s="396"/>
      <c r="BX69" s="396"/>
      <c r="BY69" s="396"/>
      <c r="BZ69" s="396"/>
      <c r="CA69" s="396"/>
      <c r="CB69" s="390"/>
      <c r="CC69" s="396"/>
      <c r="CD69" s="396"/>
      <c r="CE69" s="396"/>
      <c r="CF69" s="396"/>
      <c r="CG69" s="396"/>
      <c r="CH69" s="396"/>
      <c r="CI69" s="396"/>
      <c r="CJ69" s="396"/>
      <c r="CK69" s="396"/>
      <c r="CL69" s="396"/>
      <c r="CM69" s="474"/>
      <c r="CN69" s="279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</row>
    <row r="70" spans="1:110" s="36" customFormat="1" ht="21.75" customHeight="1" thickBot="1">
      <c r="A70" s="306" t="s">
        <v>150</v>
      </c>
      <c r="B70" s="273"/>
      <c r="D70" s="672">
        <f>IF(E62="",0,IF(D69=0,IF(E69=0,MAX(ABS(D66),ABS(E66)),E69),MAX(ABS(D69),ABS(E69))))</f>
        <v>0</v>
      </c>
      <c r="E70" s="674"/>
      <c r="G70" s="672">
        <f>IF(H62="",0,IF(G69=0,IF(H69=0,MAX(ABS(G66),ABS(H66)),H69),MAX(ABS(G69),ABS(H69))))</f>
        <v>0</v>
      </c>
      <c r="H70" s="674"/>
      <c r="J70" s="672">
        <f>IF(K62="",0,IF(J69=0,IF(K69=0,MAX(ABS(J66),ABS(K66)),K69),MAX(ABS(J69),ABS(K69))))</f>
        <v>0</v>
      </c>
      <c r="K70" s="674"/>
      <c r="M70" s="672">
        <f>IF(N62="",0,IF(M69=0,IF(N69=0,MAX(ABS(M66),ABS(N66)),N69),MAX(ABS(M69),ABS(N69))))</f>
        <v>0</v>
      </c>
      <c r="N70" s="674"/>
      <c r="P70" s="672">
        <f>IF(Q62="",0,IF(P69=0,IF(Q69=0,MAX(ABS(P66),ABS(Q66)),Q69),MAX(ABS(P69),ABS(Q69))))</f>
        <v>0</v>
      </c>
      <c r="Q70" s="674"/>
      <c r="S70" s="672">
        <f>IF(T62="",0,IF(S69=0,IF(T69=0,MAX(ABS(S66),ABS(T66)),T69),MAX(ABS(S69),ABS(T69))))</f>
        <v>0</v>
      </c>
      <c r="T70" s="674"/>
      <c r="U70" s="265"/>
      <c r="V70" s="672">
        <f>IF(W62="",0,IF(V69=0,IF(W69=0,MAX(ABS(V66),ABS(W66)),W69),MAX(ABS(V69),ABS(W69))))</f>
        <v>0</v>
      </c>
      <c r="W70" s="674"/>
      <c r="Y70" s="672">
        <f>IF(Z62="",0,IF(Y69=0,IF(Z69=0,MAX(ABS(Y66),ABS(Z66)),Z69),MAX(ABS(Y69),ABS(Z69))))</f>
        <v>0</v>
      </c>
      <c r="Z70" s="674"/>
      <c r="AA70" s="37"/>
      <c r="AB70" s="38"/>
      <c r="AC70" s="39"/>
      <c r="AD70" s="321" t="str">
        <f>+IF(AK62="","",AK62)</f>
        <v/>
      </c>
      <c r="AE70" s="324" t="str">
        <f>IF(T62="","",IF($K$2="X - X",VLOOKUP(T62,Espesor!$C$8:$E$41,2,0),VLOOKUP(T62,Espesor!$C$8:$E$41,3,0)))</f>
        <v/>
      </c>
      <c r="AF70" s="319" t="str">
        <f>IF(AD70="","",IF(LOOKUP(AD70,Espesor!$C$8:$C$41,Espesor!$K$8:$K$41)="en voladizo","",IF(AD71="",0.75/AE70,1/AE70)))</f>
        <v/>
      </c>
      <c r="AG70" s="634" t="str">
        <f>IF(AF70="","",IF(AF71="","",ROUND(AF70/(AF70+AF71),3)))</f>
        <v/>
      </c>
      <c r="AH70" s="634"/>
      <c r="AI70" s="634" t="str">
        <f>IF(AF71="","",IF(AF70="","",ROUND(AF71/(AF71+AF70),3)))</f>
        <v/>
      </c>
      <c r="AJ70" s="634"/>
      <c r="AK70" s="317">
        <f>IF(H37="",0,IF($K$2="X - X",VLOOKUP(H37,'Moms de Empt'!$P$3:$T$36,3,0),VLOOKUP(H37,'Moms de Empt'!$P$3:$T$36,5,0)))</f>
        <v>0</v>
      </c>
      <c r="AL70" s="317">
        <f>+IF(AD71="",0,-AK70)</f>
        <v>0</v>
      </c>
      <c r="AM70" s="629">
        <f>IF(AD71="",0,IF(LOOKUP(AD71,Espesor!$C$8:$C$41,Espesor!$K$8:$K$41)="en voladizo",MAX(ABS(AL70),ABS(AK71)),-(AK71+AL70)))</f>
        <v>0</v>
      </c>
      <c r="AN70" s="629"/>
      <c r="AO70" s="630" t="str">
        <f>IF(AG70="","",AM70*AG70)</f>
        <v/>
      </c>
      <c r="AP70" s="630"/>
      <c r="AQ70" s="630" t="str">
        <f t="shared" ref="AQ70" si="96">IF(AI70="","",AM70*AI70)</f>
        <v/>
      </c>
      <c r="AR70" s="630"/>
      <c r="AS70" s="631">
        <f>-IF(AM70="","",IF(AL70="",IF(AO70="",0,AO70),IF(AO70="",AL70,AL70+AO70)))</f>
        <v>0</v>
      </c>
      <c r="AT70" s="632"/>
      <c r="AU70" s="341">
        <f>+AS70</f>
        <v>0</v>
      </c>
      <c r="AV70" s="332" t="str">
        <f>IF(T62="","",IF(L37="X - X",VLOOKUP(T62,'Moms de Empt'!$P$3:$T$36,2,0),VLOOKUP(T62,'Moms de Empt'!$P$3:$T$36,4,0)))</f>
        <v/>
      </c>
      <c r="AW70" s="635" t="str">
        <f>IF(AV70="","",IF(AV71="","",ROUND(AV70/(AV70+AV71),3)))</f>
        <v/>
      </c>
      <c r="AX70" s="633"/>
      <c r="AY70" s="635" t="str">
        <f>IF(AV71="","",IF(AV70="","",ROUND(AV71/(AV71+AV70),3)))</f>
        <v/>
      </c>
      <c r="AZ70" s="633"/>
      <c r="BA70" s="331" t="str">
        <f t="shared" si="86"/>
        <v/>
      </c>
      <c r="BB70" s="32"/>
      <c r="BC70" s="401"/>
      <c r="BD70" s="398"/>
      <c r="BE70" s="391"/>
      <c r="BF70" s="394"/>
      <c r="BG70" s="393"/>
      <c r="BH70" s="393"/>
      <c r="BI70" s="393"/>
      <c r="BJ70" s="393"/>
      <c r="BK70" s="393"/>
      <c r="BL70" s="393"/>
      <c r="BM70" s="393"/>
      <c r="BN70" s="395"/>
      <c r="BO70" s="395"/>
      <c r="BP70" s="395"/>
      <c r="BQ70" s="395"/>
      <c r="BR70" s="395"/>
      <c r="BS70" s="395"/>
      <c r="BT70" s="395"/>
      <c r="BU70" s="395"/>
      <c r="BV70" s="395"/>
      <c r="BW70" s="395"/>
      <c r="BX70" s="395"/>
      <c r="BY70" s="395"/>
      <c r="BZ70" s="395"/>
      <c r="CA70" s="395"/>
      <c r="CB70" s="390"/>
      <c r="CC70" s="395"/>
      <c r="CD70" s="395"/>
      <c r="CE70" s="395"/>
      <c r="CF70" s="395"/>
      <c r="CG70" s="395"/>
      <c r="CH70" s="395"/>
      <c r="CI70" s="395"/>
      <c r="CJ70" s="395"/>
      <c r="CK70" s="395"/>
      <c r="CL70" s="395"/>
      <c r="CM70" s="474"/>
      <c r="CN70" s="30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</row>
    <row r="71" spans="1:110" s="36" customFormat="1" ht="21.75" customHeight="1" thickBot="1">
      <c r="B71" s="274"/>
      <c r="D71" s="690">
        <f>IF(D70="","",D70*100000)</f>
        <v>0</v>
      </c>
      <c r="E71" s="690"/>
      <c r="G71" s="690">
        <f>IF(G70="","",G70*100000)</f>
        <v>0</v>
      </c>
      <c r="H71" s="690"/>
      <c r="I71" s="388"/>
      <c r="J71" s="690">
        <f>IF(J70="","",J70*100000)</f>
        <v>0</v>
      </c>
      <c r="K71" s="690"/>
      <c r="L71" s="388"/>
      <c r="M71" s="690">
        <f>IF(M70="","",M70*100000)</f>
        <v>0</v>
      </c>
      <c r="N71" s="690"/>
      <c r="O71" s="388"/>
      <c r="P71" s="690">
        <f>IF(P70="","",P70*100000)</f>
        <v>0</v>
      </c>
      <c r="Q71" s="690"/>
      <c r="R71" s="388"/>
      <c r="S71" s="690">
        <f>IF(S70="","",S70*100000)</f>
        <v>0</v>
      </c>
      <c r="T71" s="690"/>
      <c r="U71" s="387"/>
      <c r="V71" s="690">
        <f>IF(V70="","",V70*100000)</f>
        <v>0</v>
      </c>
      <c r="W71" s="690"/>
      <c r="X71" s="388"/>
      <c r="Y71" s="690">
        <f>IF(Y70="","",Y70*100000)</f>
        <v>0</v>
      </c>
      <c r="Z71" s="690"/>
      <c r="AA71" s="37"/>
      <c r="AB71" s="275"/>
      <c r="AC71" s="39"/>
      <c r="AD71" s="321" t="str">
        <f>+IF(AL62="","",AL62)</f>
        <v/>
      </c>
      <c r="AE71" s="324" t="str">
        <f>IF(W62="","",IF($K$2="X - X",VLOOKUP(W62,Espesor!$C$8:$E$41,2,0),VLOOKUP(W62,Espesor!$C$8:$E$41,3,0)))</f>
        <v/>
      </c>
      <c r="AF71" s="319" t="str">
        <f>IF(AD71="","",IF(LOOKUP(AD71,Espesor!$C$8:$C$41,Espesor!$K$8:$K$41)="en voladizo","",IF(AD72="",0.75/AE71,1/AE71)))</f>
        <v/>
      </c>
      <c r="AG71" s="634"/>
      <c r="AH71" s="634" t="str">
        <f>IF(AF71="","",IF(AF72="","",ROUND(AF71/(AF71+AF72),3)))</f>
        <v/>
      </c>
      <c r="AI71" s="634"/>
      <c r="AJ71" s="634" t="str">
        <f>IF(AF71="","",IF(AF72="","",ROUND(AF72/(AF71+AF72),3)))</f>
        <v/>
      </c>
      <c r="AK71" s="317">
        <f>IF(I37="",0,IF($K$2="X - X",VLOOKUP(I37,'Moms de Empt'!$P$3:$T$36,3,0),VLOOKUP(I37,'Moms de Empt'!$P$3:$T$36,5,0)))</f>
        <v>0</v>
      </c>
      <c r="AL71" s="317">
        <f t="shared" ref="AL71:AL72" si="97">+IF(AD72="",0,-AK71)</f>
        <v>0</v>
      </c>
      <c r="AM71" s="629"/>
      <c r="AN71" s="629">
        <f>IF(AD72="",0,IF(LOOKUP(AD72,Espesor!$C$8:$C$41,Espesor!$K$8:$K$41)="en voladizo",MAX(ABS(AL71),ABS(AK72)),-(AK72+AL71)))</f>
        <v>0</v>
      </c>
      <c r="AO71" s="630"/>
      <c r="AP71" s="630" t="str">
        <f t="shared" ref="AP71" si="98">IF(AH71="","",AN71*AH71)</f>
        <v/>
      </c>
      <c r="AQ71" s="630"/>
      <c r="AR71" s="630" t="str">
        <f t="shared" ref="AR71" si="99">IF(AJ71="","",AN71*AJ71)</f>
        <v/>
      </c>
      <c r="AS71" s="632"/>
      <c r="AT71" s="631">
        <f t="shared" ref="AT71" si="100">-IF(AN71="","",IF(AL71="",IF(AP71="",0,AP71),IF(AP71="",AL71,AL71+AP71)))</f>
        <v>0</v>
      </c>
      <c r="AU71" s="341">
        <f>+AT71</f>
        <v>0</v>
      </c>
      <c r="AV71" s="332" t="str">
        <f>IF(W62="","",IF(L37="X - X",VLOOKUP(W62,'Moms de Empt'!$P$3:$T$36,2,0),VLOOKUP(W62,'Moms de Empt'!$P$3:$T$36,4,0)))</f>
        <v/>
      </c>
      <c r="AW71" s="635"/>
      <c r="AX71" s="633" t="str">
        <f>IF(AV71="","",IF(AV72="","",ROUND(AV71/(AV71+AV72),3)))</f>
        <v/>
      </c>
      <c r="AY71" s="635"/>
      <c r="AZ71" s="633" t="str">
        <f>IF(AV71="","",IF(AV72="","",ROUND(AV72/(AV71+AV72),3)))</f>
        <v/>
      </c>
      <c r="BA71" s="331" t="str">
        <f t="shared" si="86"/>
        <v/>
      </c>
      <c r="BC71" s="401"/>
      <c r="BD71" s="398"/>
      <c r="BE71" s="391"/>
      <c r="BF71" s="258"/>
      <c r="BG71" s="278"/>
      <c r="BH71" s="393"/>
      <c r="BI71" s="393"/>
      <c r="BJ71" s="393"/>
      <c r="BK71" s="393"/>
      <c r="BL71" s="393"/>
      <c r="BM71" s="393"/>
      <c r="BN71" s="395"/>
      <c r="BO71" s="395"/>
      <c r="BP71" s="395"/>
      <c r="BQ71" s="395"/>
      <c r="BR71" s="395"/>
      <c r="BS71" s="395"/>
      <c r="BT71" s="395"/>
      <c r="BU71" s="395"/>
      <c r="BV71" s="395"/>
      <c r="BW71" s="395"/>
      <c r="BX71" s="395"/>
      <c r="BY71" s="395"/>
      <c r="BZ71" s="395"/>
      <c r="CA71" s="395"/>
      <c r="CB71" s="395"/>
      <c r="CC71" s="395"/>
      <c r="CD71" s="395"/>
      <c r="CE71" s="395"/>
      <c r="CF71" s="395"/>
      <c r="CG71" s="395"/>
      <c r="CH71" s="395"/>
      <c r="CI71" s="395"/>
      <c r="CJ71" s="395"/>
      <c r="CK71" s="395"/>
      <c r="CL71" s="395"/>
      <c r="CM71" s="430"/>
      <c r="CN71" s="32"/>
    </row>
    <row r="72" spans="1:110" s="210" customFormat="1" ht="21.75" customHeight="1" thickBot="1">
      <c r="A72" s="304" t="s">
        <v>148</v>
      </c>
      <c r="B72" s="675" t="str">
        <f>IF(B62="","",IF(K4="X - X",VLOOKUP(B62,'Moms de Empt'!$P$3:$T$36,2,0),VLOOKUP(B62,'Moms de Empt'!$P$3:$T$36,4,0)))</f>
        <v/>
      </c>
      <c r="C72" s="676"/>
      <c r="D72" s="677"/>
      <c r="E72" s="675" t="str">
        <f>IF(E62="","",IF(K4="X - X",VLOOKUP(E62,'Moms de Empt'!$P$3:$T$36,2,0),VLOOKUP(E62,'Moms de Empt'!$P$3:$T$36,4,0)))</f>
        <v/>
      </c>
      <c r="F72" s="676"/>
      <c r="G72" s="677"/>
      <c r="H72" s="675" t="str">
        <f>IF(H62="","",IF(K4="X - X",VLOOKUP(H62,'Moms de Empt'!$P$3:$T$36,2,0),VLOOKUP(H62,'Moms de Empt'!$P$3:$T$36,4,0)))</f>
        <v/>
      </c>
      <c r="I72" s="676"/>
      <c r="J72" s="677"/>
      <c r="K72" s="675" t="str">
        <f>IF(K62="","",IF(K4="X - X",VLOOKUP(K62,'Moms de Empt'!$P$3:$T$36,2,0),VLOOKUP(K62,'Moms de Empt'!$P$3:$T$36,4,0)))</f>
        <v/>
      </c>
      <c r="L72" s="676"/>
      <c r="M72" s="677"/>
      <c r="N72" s="675" t="str">
        <f>IF(N62="","",IF(K4="X - X",VLOOKUP(N62,'Moms de Empt'!$P$3:$T$36,2,0),VLOOKUP(N62,'Moms de Empt'!$P$3:$T$36,4,0)))</f>
        <v/>
      </c>
      <c r="O72" s="676"/>
      <c r="P72" s="677"/>
      <c r="Q72" s="675" t="str">
        <f>IF(Q62="","",IF(K4="X - X",VLOOKUP(Q62,'Moms de Empt'!$P$3:$T$36,2,0),VLOOKUP(Q62,'Moms de Empt'!$P$3:$T$36,4,0)))</f>
        <v/>
      </c>
      <c r="R72" s="676"/>
      <c r="S72" s="677"/>
      <c r="T72" s="675" t="str">
        <f>IF(T62="","",IF(K4="X - X",VLOOKUP(T62,'Moms de Empt'!$P$3:$T$36,2,0),VLOOKUP(T62,'Moms de Empt'!$P$3:$T$36,4,0)))</f>
        <v/>
      </c>
      <c r="U72" s="676"/>
      <c r="V72" s="677"/>
      <c r="W72" s="675" t="str">
        <f>IF(W62="","",IF(K4="X - X",VLOOKUP(W62,'Moms de Empt'!$P$3:$T$36,2,0),VLOOKUP(W62,'Moms de Empt'!$P$3:$T$36,4,0)))</f>
        <v/>
      </c>
      <c r="X72" s="676"/>
      <c r="Y72" s="677"/>
      <c r="Z72" s="675" t="str">
        <f>IF(Z62="","",IF(K4="X - X",VLOOKUP(Z62,'Moms de Empt'!$P$3:$T$36,2,0),VLOOKUP(Z62,'Moms de Empt'!$P$3:$T$36,4,0)))</f>
        <v/>
      </c>
      <c r="AA72" s="676"/>
      <c r="AB72" s="677"/>
      <c r="AC72" s="40"/>
      <c r="AD72" s="321" t="str">
        <f>+IF(AM62="","",AM62)</f>
        <v/>
      </c>
      <c r="AE72" s="324" t="str">
        <f>IF(Z62="","",IF($K$2="X - X",VLOOKUP(Z62,Espesor!$C$8:$E$41,2,0),VLOOKUP(Z62,Espesor!$C$8:$E$41,3,0)))</f>
        <v/>
      </c>
      <c r="AF72" s="319" t="str">
        <f>IF(AD72="","",IF(LOOKUP(AD72,Espesor!$C$8:$C$41,Espesor!$K$8:$K$41)="en voladizo","",IF(AD73="",0.75/AE72,1/AE72)))</f>
        <v/>
      </c>
      <c r="AG72" s="344" t="str">
        <f>IF(AF72="","",IF(AK46="","",ROUND(AF72/(AF72+AK46),3)))</f>
        <v/>
      </c>
      <c r="AH72" s="634"/>
      <c r="AI72" s="344" t="str">
        <f>IF(AK46="","",IF(AF72="","",ROUND(AK46/(AK46+AF72),3)))</f>
        <v/>
      </c>
      <c r="AJ72" s="634"/>
      <c r="AK72" s="317">
        <f>IF(J37="",0,IF($K$2="X - X",VLOOKUP(J37,'Moms de Empt'!$P$3:$T$36,3,0),VLOOKUP(J37,'Moms de Empt'!$P$3:$T$36,5,0)))</f>
        <v>0</v>
      </c>
      <c r="AL72" s="317">
        <f t="shared" si="97"/>
        <v>0</v>
      </c>
      <c r="AM72" s="307" t="str">
        <f>IF(AI46="","",IF(LOOKUP(AI46,[6]Espesor!$C$8:$C$41,[6]Espesor!$K$8:$K$41)="en voladizo",MAX(ABS(AL72),ABS(AQ46)),-(AQ46-AL72)))</f>
        <v/>
      </c>
      <c r="AN72" s="629"/>
      <c r="AO72" s="340" t="str">
        <f t="shared" ref="AO72" si="101">IF(AG72="","",AM72*AG72)</f>
        <v/>
      </c>
      <c r="AP72" s="630"/>
      <c r="AQ72" s="315" t="str">
        <f t="shared" ref="AQ72" si="102">IF(AI72="","",AM72*AI72)</f>
        <v/>
      </c>
      <c r="AR72" s="630"/>
      <c r="AS72" s="312" t="str">
        <f t="shared" ref="AS72" si="103">IF(AM72="","",IF(AL72="",IF(AO72="",0,AO72),IF(AO72="",AL72,AL72+AO72)))</f>
        <v/>
      </c>
      <c r="AT72" s="632"/>
      <c r="AU72" s="341"/>
      <c r="AV72" s="333" t="str">
        <f>IF(Z62="","",IF(L37="X - X",VLOOKUP(Z62,'Moms de Empt'!$P$3:$T$36,2,0),VLOOKUP(Z62,'Moms de Empt'!$P$3:$T$36,4,0)))</f>
        <v/>
      </c>
      <c r="AW72" s="337" t="str">
        <f>IF(AV72="","",IF(BA46="","",ROUND(AV72/(AV72+BA46),3)))</f>
        <v/>
      </c>
      <c r="AX72" s="633"/>
      <c r="AY72" s="337" t="str">
        <f>IF(BA46="","",IF(AV72="","",ROUND(BA46/(BA46+AV72),3)))</f>
        <v/>
      </c>
      <c r="AZ72" s="633"/>
      <c r="BA72" s="331"/>
      <c r="BB72" s="36"/>
      <c r="BC72" s="401"/>
      <c r="BD72" s="398"/>
      <c r="BE72" s="391"/>
      <c r="BF72" s="396"/>
      <c r="BG72" s="396"/>
      <c r="BH72" s="278"/>
      <c r="BI72" s="278"/>
      <c r="BJ72" s="278"/>
      <c r="BK72" s="278"/>
      <c r="BL72" s="278"/>
      <c r="BM72" s="278"/>
      <c r="BN72" s="397"/>
      <c r="BO72" s="397"/>
      <c r="BP72" s="397"/>
      <c r="BQ72" s="397"/>
      <c r="BR72" s="397"/>
      <c r="BS72" s="397"/>
      <c r="BT72" s="397"/>
      <c r="BU72" s="397"/>
      <c r="BV72" s="397"/>
      <c r="BW72" s="397"/>
      <c r="BX72" s="397"/>
      <c r="BY72" s="397"/>
      <c r="BZ72" s="397"/>
      <c r="CA72" s="397"/>
      <c r="CB72" s="397"/>
      <c r="CC72" s="397"/>
      <c r="CD72" s="397"/>
      <c r="CE72" s="397"/>
      <c r="CF72" s="397"/>
      <c r="CG72" s="397"/>
      <c r="CH72" s="397"/>
      <c r="CI72" s="397"/>
      <c r="CJ72" s="397"/>
      <c r="CK72" s="397"/>
      <c r="CL72" s="397"/>
      <c r="CM72" s="430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</row>
    <row r="73" spans="1:110" ht="21.75" customHeight="1" thickBot="1">
      <c r="A73" s="258"/>
      <c r="B73" s="209"/>
      <c r="C73" s="209"/>
      <c r="D73" s="209" t="str">
        <f>IF(B64="","",IF(D66="","",IF(ABS(D70)&gt;ABS(D66),-0.5*ABS(D68),0.5*ABS(D68))))</f>
        <v/>
      </c>
      <c r="E73" s="209" t="str">
        <f>IF(E64="","",IF(E66="","",IF(ABS(D70)&gt;ABS(E66),-0.5*ABS(E68),0.5*ABS(E68))))</f>
        <v/>
      </c>
      <c r="F73" s="209"/>
      <c r="G73" s="209" t="str">
        <f>IF(E64="","",IF(G66="","",IF(ABS(G70)&gt;ABS(G66),-0.5*ABS(G68),0.5*ABS(G68))))</f>
        <v/>
      </c>
      <c r="H73" s="209" t="str">
        <f>IF(H64="","",IF(H66="","",IF(ABS(G70)&gt;ABS(H66),-0.5*ABS(H68),0.5*ABS(H68))))</f>
        <v/>
      </c>
      <c r="I73" s="209"/>
      <c r="J73" s="209" t="str">
        <f>IF(H64="","",IF(J66="","",IF(ABS(J70)&gt;ABS(J66),-0.5*ABS(J68),0.5*ABS(J68))))</f>
        <v/>
      </c>
      <c r="K73" s="209" t="str">
        <f>IF(K64="","",IF(K66="","",IF(ABS(J70)&gt;ABS(K66),-0.5*ABS(K68),0.5*ABS(K68))))</f>
        <v/>
      </c>
      <c r="L73" s="209"/>
      <c r="M73" s="209" t="str">
        <f>IF(K64="","",IF(M66="","",IF(ABS(M70)&gt;ABS(M66),-0.5*ABS(M68),0.5*ABS(M68))))</f>
        <v/>
      </c>
      <c r="N73" s="209" t="str">
        <f>IF(N64="","",IF(N66="","",IF(ABS(M70)&gt;ABS(N66),-0.5*ABS(N68),0.5*ABS(N68))))</f>
        <v/>
      </c>
      <c r="O73" s="209"/>
      <c r="P73" s="209" t="str">
        <f>IF(N64="","",IF(P66="","",IF(ABS(P70)&gt;ABS(P66),-0.5*ABS(P68),0.5*ABS(P68))))</f>
        <v/>
      </c>
      <c r="Q73" s="209" t="str">
        <f>IF(Q64="","",IF(Q66="","",IF(ABS(P70)&gt;ABS(Q66),-0.5*ABS(Q68),0.5*ABS(Q68))))</f>
        <v/>
      </c>
      <c r="R73" s="209"/>
      <c r="S73" s="209" t="str">
        <f>IF(Q64="","",IF(S66="","",IF(ABS(S70)&gt;ABS(S66),-0.5*ABS(S68),0.5*ABS(S68))))</f>
        <v/>
      </c>
      <c r="T73" s="209" t="str">
        <f>IF(T64="","",IF(T66="","",IF(ABS(S70)&gt;ABS(T66),-0.5*ABS(T68),0.5*ABS(T68))))</f>
        <v/>
      </c>
      <c r="U73" s="209"/>
      <c r="V73" s="209" t="str">
        <f>IF(T64="","",IF(V66="","",IF(ABS(V70)&gt;ABS(V66),-0.5*ABS(V68),0.5*ABS(V68))))</f>
        <v/>
      </c>
      <c r="W73" s="209" t="str">
        <f>IF(W64="","",IF(W66="","",IF(ABS(V70)&gt;ABS(W66),-0.5*ABS(W68),0.5*ABS(W68))))</f>
        <v/>
      </c>
      <c r="X73" s="209"/>
      <c r="Y73" s="209" t="str">
        <f>IF(W64="","",IF(Y66="","",IF(ABS(Y70)&gt;ABS(Y66),-0.5*ABS(Y68),0.5*ABS(Y68))))</f>
        <v/>
      </c>
      <c r="Z73" s="209" t="str">
        <f>IF(Z64="","",IF(Z66="","",IF(ABS(Y70)&gt;ABS(Z66),-0.5*ABS(Z68),0.5*ABS(Z68))))</f>
        <v/>
      </c>
      <c r="AA73" s="209"/>
      <c r="AB73" s="209" t="str">
        <f>IF(Z64="","",IF(AB66="","",IF(AB70&gt;-AB66,IF(AB68&lt;0,0.5*AB68,-0.5*AB68),0.5*AB68)))</f>
        <v/>
      </c>
      <c r="AD73" s="210"/>
      <c r="AE73" s="210"/>
      <c r="AF73" s="210"/>
      <c r="AG73" s="210"/>
      <c r="AH73" s="210"/>
      <c r="AI73" s="210"/>
      <c r="AJ73" s="210"/>
      <c r="AK73" s="40"/>
      <c r="AL73" s="210"/>
      <c r="AM73" s="40"/>
      <c r="AN73" s="40"/>
      <c r="AO73" s="40"/>
      <c r="AP73" s="40"/>
      <c r="AQ73" s="40"/>
      <c r="AR73" s="40"/>
      <c r="AS73" s="40"/>
      <c r="AT73" s="40"/>
      <c r="AU73" s="210"/>
      <c r="AV73" s="210"/>
      <c r="AW73" s="210"/>
      <c r="AX73" s="210"/>
      <c r="AY73" s="210"/>
      <c r="AZ73" s="210"/>
      <c r="BA73" s="210"/>
      <c r="BB73" s="210"/>
      <c r="BC73" s="401"/>
      <c r="BD73" s="398"/>
      <c r="BE73" s="391"/>
      <c r="BF73" s="394"/>
      <c r="BG73" s="395"/>
      <c r="BN73" s="397"/>
      <c r="BO73" s="397"/>
      <c r="BP73" s="397"/>
      <c r="BQ73" s="397"/>
      <c r="BR73" s="397"/>
      <c r="BS73" s="397"/>
      <c r="BT73" s="397"/>
      <c r="BU73" s="397"/>
      <c r="BV73" s="397"/>
      <c r="BW73" s="397"/>
      <c r="BX73" s="397"/>
      <c r="BY73" s="397"/>
      <c r="BZ73" s="397"/>
      <c r="CA73" s="397"/>
      <c r="CB73" s="397"/>
      <c r="CC73" s="397"/>
      <c r="CD73" s="397"/>
      <c r="CE73" s="397"/>
      <c r="CF73" s="397"/>
      <c r="CG73" s="397"/>
      <c r="CH73" s="397"/>
      <c r="CI73" s="397"/>
      <c r="CJ73" s="397"/>
      <c r="CK73" s="397"/>
      <c r="CL73" s="397"/>
      <c r="CM73" s="477"/>
      <c r="CN73" s="36"/>
      <c r="CO73" s="210"/>
      <c r="CP73" s="210"/>
      <c r="CQ73" s="210"/>
      <c r="CR73" s="210"/>
      <c r="CS73" s="210"/>
      <c r="CT73" s="210"/>
      <c r="CU73" s="210"/>
      <c r="CV73" s="210"/>
      <c r="CW73" s="210"/>
      <c r="CX73" s="210"/>
      <c r="CY73" s="210"/>
      <c r="CZ73" s="210"/>
      <c r="DA73" s="210"/>
      <c r="DB73" s="210"/>
      <c r="DC73" s="210"/>
      <c r="DD73" s="210"/>
      <c r="DE73" s="210"/>
      <c r="DF73" s="210"/>
    </row>
    <row r="74" spans="1:110" s="260" customFormat="1" ht="21.75" customHeight="1" thickBot="1">
      <c r="A74" s="305" t="s">
        <v>149</v>
      </c>
      <c r="B74" s="672" t="str">
        <f>IF(B73="",IF(D73="",B72,B72+D73),IF(D73="",B72+B73,B72+B73+D73))</f>
        <v/>
      </c>
      <c r="C74" s="673"/>
      <c r="D74" s="674"/>
      <c r="E74" s="672" t="str">
        <f>IF(E73="",IF(G73="",E72,E72+G73),IF(G73="",E72+E73,E72+E73+G73))</f>
        <v/>
      </c>
      <c r="F74" s="673"/>
      <c r="G74" s="674"/>
      <c r="H74" s="672" t="str">
        <f>IF(H73="",IF(J73="",H72,H72+J73),IF(J73="",H72+H73,H72+H73+J73))</f>
        <v/>
      </c>
      <c r="I74" s="673"/>
      <c r="J74" s="674"/>
      <c r="K74" s="672" t="str">
        <f>IF(K73="",IF(M73="",K72,K72+M73),IF(M73="",K72+K73,K72+K73+M73))</f>
        <v/>
      </c>
      <c r="L74" s="673"/>
      <c r="M74" s="674"/>
      <c r="N74" s="672" t="str">
        <f>IF(N73="",IF(P73="",N72,N72+P73),IF(P73="",N72+N73,N72+N73+P73))</f>
        <v/>
      </c>
      <c r="O74" s="673"/>
      <c r="P74" s="674"/>
      <c r="Q74" s="672" t="str">
        <f>IF(Q73="",IF(S73="",Q72,Q72+S73),IF(S73="",Q72+Q73,Q72+Q73+S73))</f>
        <v/>
      </c>
      <c r="R74" s="673"/>
      <c r="S74" s="674"/>
      <c r="T74" s="672" t="str">
        <f>IF(T73="",IF(V73="",T72,T72+V73),IF(V73="",T72+T73,T72+T73+V73))</f>
        <v/>
      </c>
      <c r="U74" s="673"/>
      <c r="V74" s="674"/>
      <c r="W74" s="672" t="str">
        <f>IF(W73="",IF(Y73="",W72,W72+Y73),IF(Y73="",W72+W73,W72+W73+Y73))</f>
        <v/>
      </c>
      <c r="X74" s="673"/>
      <c r="Y74" s="674"/>
      <c r="Z74" s="672" t="str">
        <f>IF(Z73="",IF(AB73="",Z72,Z72+AB73),IF(AB73="",Z72+Z73,Z72+Z73+AB73))</f>
        <v/>
      </c>
      <c r="AA74" s="673"/>
      <c r="AB74" s="674"/>
      <c r="AC74" s="39"/>
      <c r="AK74" s="39"/>
      <c r="AL74" s="39"/>
      <c r="AO74" s="39"/>
      <c r="AP74" s="39"/>
      <c r="AQ74" s="39"/>
      <c r="AR74" s="39"/>
      <c r="BB74" s="27"/>
      <c r="BC74" s="401"/>
      <c r="BD74" s="398"/>
      <c r="BE74" s="391"/>
      <c r="BF74" s="394"/>
      <c r="BG74" s="395"/>
      <c r="BH74" s="395"/>
      <c r="BI74" s="395"/>
      <c r="BJ74" s="395"/>
      <c r="BK74" s="395"/>
      <c r="BL74" s="395"/>
      <c r="BM74" s="395"/>
      <c r="BN74" s="396"/>
      <c r="BO74" s="396"/>
      <c r="BP74" s="396"/>
      <c r="BQ74" s="396"/>
      <c r="BR74" s="396"/>
      <c r="BS74" s="396"/>
      <c r="BT74" s="396"/>
      <c r="BU74" s="396"/>
      <c r="BV74" s="396"/>
      <c r="BW74" s="396"/>
      <c r="BX74" s="396"/>
      <c r="BY74" s="396"/>
      <c r="BZ74" s="396"/>
      <c r="CA74" s="396"/>
      <c r="CB74" s="396"/>
      <c r="CC74" s="396"/>
      <c r="CD74" s="396"/>
      <c r="CE74" s="396"/>
      <c r="CF74" s="396"/>
      <c r="CG74" s="396"/>
      <c r="CH74" s="396"/>
      <c r="CI74" s="396"/>
      <c r="CJ74" s="396"/>
      <c r="CK74" s="396"/>
      <c r="CL74" s="396"/>
      <c r="CM74" s="431"/>
      <c r="CN74" s="210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</row>
    <row r="75" spans="1:110" ht="21.75" customHeight="1">
      <c r="BB75" s="260"/>
      <c r="BC75" s="401"/>
      <c r="BD75" s="398"/>
      <c r="BE75" s="391"/>
      <c r="BF75" s="397"/>
      <c r="BG75" s="397"/>
      <c r="BH75" s="395"/>
      <c r="BI75" s="395"/>
      <c r="BJ75" s="395"/>
      <c r="BK75" s="395"/>
      <c r="BL75" s="395"/>
      <c r="BM75" s="395"/>
      <c r="BN75" s="243"/>
      <c r="BO75" s="243"/>
      <c r="BP75" s="243"/>
      <c r="BQ75" s="243"/>
      <c r="BR75" s="243"/>
      <c r="BS75" s="243"/>
      <c r="BT75" s="243"/>
      <c r="BU75" s="243"/>
      <c r="BV75" s="243"/>
      <c r="BW75" s="243"/>
      <c r="BX75" s="243"/>
      <c r="BY75" s="243"/>
      <c r="BZ75" s="243"/>
      <c r="CA75" s="243"/>
      <c r="CB75" s="243"/>
      <c r="CC75" s="243"/>
      <c r="CD75" s="243"/>
      <c r="CE75" s="243"/>
      <c r="CF75" s="243"/>
      <c r="CG75" s="243"/>
      <c r="CH75" s="243"/>
      <c r="CI75" s="243"/>
      <c r="CJ75" s="243"/>
      <c r="CK75" s="243"/>
      <c r="CL75" s="243"/>
      <c r="CM75" s="478"/>
      <c r="CO75" s="260"/>
      <c r="CP75" s="260"/>
      <c r="CQ75" s="260"/>
      <c r="CR75" s="260"/>
      <c r="CS75" s="260"/>
      <c r="CT75" s="260"/>
      <c r="CU75" s="260"/>
      <c r="CV75" s="260"/>
      <c r="CW75" s="260"/>
      <c r="CX75" s="260"/>
      <c r="CY75" s="260"/>
      <c r="CZ75" s="260"/>
      <c r="DA75" s="260"/>
      <c r="DB75" s="260"/>
      <c r="DC75" s="260"/>
      <c r="DD75" s="260"/>
      <c r="DE75" s="260"/>
      <c r="DF75" s="260"/>
    </row>
    <row r="76" spans="1:110" s="263" customFormat="1" ht="21.75" customHeight="1" thickBot="1">
      <c r="A76" s="626">
        <f>+A5</f>
        <v>4</v>
      </c>
      <c r="B76" s="626"/>
      <c r="C76" s="626"/>
      <c r="D76" s="626"/>
      <c r="E76" s="626"/>
      <c r="F76" s="627"/>
      <c r="G76" s="627"/>
      <c r="H76" s="627"/>
      <c r="I76" s="627"/>
      <c r="J76" s="628" t="s">
        <v>134</v>
      </c>
      <c r="K76" s="628"/>
      <c r="L76" s="271" t="str">
        <f>+K5</f>
        <v>X - X</v>
      </c>
      <c r="M76" s="262"/>
      <c r="N76" s="404"/>
      <c r="O76" s="402"/>
      <c r="P76" s="262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401"/>
      <c r="BD76" s="398"/>
      <c r="BE76" s="391"/>
      <c r="BF76" s="397"/>
      <c r="BG76" s="397"/>
      <c r="BH76" s="397"/>
      <c r="BI76" s="397"/>
      <c r="BJ76" s="397"/>
      <c r="BK76" s="397"/>
      <c r="BL76" s="397"/>
      <c r="BM76" s="397"/>
      <c r="BN76" s="244"/>
      <c r="BO76" s="244"/>
      <c r="BP76" s="244"/>
      <c r="BQ76" s="244"/>
      <c r="BR76" s="244"/>
      <c r="BS76" s="244"/>
      <c r="BT76" s="244"/>
      <c r="BU76" s="244"/>
      <c r="BV76" s="244"/>
      <c r="BW76" s="244"/>
      <c r="BX76" s="244"/>
      <c r="BY76" s="244"/>
      <c r="BZ76" s="244"/>
      <c r="CA76" s="244"/>
      <c r="CB76" s="244"/>
      <c r="CC76" s="244"/>
      <c r="CD76" s="244"/>
      <c r="CE76" s="244"/>
      <c r="CF76" s="244"/>
      <c r="CG76" s="244"/>
      <c r="CH76" s="244"/>
      <c r="CI76" s="244"/>
      <c r="CJ76" s="244"/>
      <c r="CK76" s="244"/>
      <c r="CL76" s="244"/>
      <c r="CM76" s="431"/>
      <c r="CN76" s="260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</row>
    <row r="77" spans="1:110" s="263" customFormat="1" ht="21.75" customHeight="1" thickTop="1">
      <c r="A77" s="686" t="str">
        <f>+Espesor!$J$3</f>
        <v>Techo</v>
      </c>
      <c r="B77" s="686"/>
      <c r="C77" s="688" t="s">
        <v>136</v>
      </c>
      <c r="D77" s="688"/>
      <c r="E77" s="264" t="str">
        <f>IF(B5="","",B5)</f>
        <v/>
      </c>
      <c r="F77" s="264" t="str">
        <f>IF(C5="","",C5)</f>
        <v/>
      </c>
      <c r="G77" s="264" t="str">
        <f t="shared" ref="G77:M77" si="104">IF(D5="","",D5)</f>
        <v/>
      </c>
      <c r="H77" s="264" t="str">
        <f t="shared" si="104"/>
        <v/>
      </c>
      <c r="I77" s="264" t="str">
        <f t="shared" si="104"/>
        <v/>
      </c>
      <c r="J77" s="264" t="str">
        <f t="shared" si="104"/>
        <v/>
      </c>
      <c r="K77" s="264" t="str">
        <f t="shared" si="104"/>
        <v/>
      </c>
      <c r="L77" s="264" t="str">
        <f t="shared" si="104"/>
        <v/>
      </c>
      <c r="M77" s="264" t="str">
        <f t="shared" si="104"/>
        <v/>
      </c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BC77" s="401"/>
      <c r="BD77" s="398"/>
      <c r="BE77" s="391"/>
      <c r="BF77" s="396"/>
      <c r="BG77" s="396"/>
      <c r="BH77" s="397"/>
      <c r="BI77" s="397"/>
      <c r="BJ77" s="397"/>
      <c r="BK77" s="397"/>
      <c r="BL77" s="397"/>
      <c r="BM77" s="397"/>
      <c r="BN77" s="389"/>
      <c r="BO77" s="389"/>
      <c r="BP77" s="389"/>
      <c r="BQ77" s="389"/>
      <c r="BR77" s="389"/>
      <c r="BS77" s="389"/>
      <c r="BT77" s="389"/>
      <c r="BU77" s="389"/>
      <c r="BV77" s="389"/>
      <c r="BW77" s="389"/>
      <c r="BX77" s="389"/>
      <c r="BY77" s="389"/>
      <c r="BZ77" s="389"/>
      <c r="CA77" s="389"/>
      <c r="CB77" s="389"/>
      <c r="CC77" s="389"/>
      <c r="CD77" s="389"/>
      <c r="CE77" s="389"/>
      <c r="CF77" s="389"/>
      <c r="CG77" s="389"/>
      <c r="CH77" s="389"/>
      <c r="CI77" s="389"/>
      <c r="CJ77" s="389"/>
      <c r="CK77" s="389"/>
      <c r="CL77" s="389"/>
      <c r="CM77" s="472"/>
      <c r="CN77" s="27"/>
    </row>
    <row r="78" spans="1:110" s="291" customFormat="1" ht="21.75" customHeight="1">
      <c r="A78" s="689"/>
      <c r="B78" s="689"/>
      <c r="C78" s="689"/>
      <c r="D78" s="689"/>
      <c r="E78" s="689"/>
      <c r="F78" s="689"/>
      <c r="G78" s="689"/>
      <c r="H78" s="689"/>
      <c r="I78" s="689"/>
      <c r="J78" s="689"/>
      <c r="K78" s="689"/>
      <c r="L78" s="689"/>
      <c r="M78" s="689"/>
      <c r="N78" s="689"/>
      <c r="O78" s="689"/>
      <c r="P78" s="689"/>
      <c r="Q78" s="689"/>
      <c r="R78" s="689"/>
      <c r="S78" s="689"/>
      <c r="T78" s="689"/>
      <c r="U78" s="689"/>
      <c r="V78" s="689"/>
      <c r="W78" s="689"/>
      <c r="X78" s="689"/>
      <c r="Y78" s="689"/>
      <c r="Z78" s="689"/>
      <c r="AA78" s="689"/>
      <c r="AB78" s="689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401"/>
      <c r="BD78" s="398"/>
      <c r="BE78" s="391"/>
      <c r="BF78" s="396"/>
      <c r="BG78" s="396"/>
      <c r="BH78" s="396"/>
      <c r="BI78" s="396"/>
      <c r="BJ78" s="396"/>
      <c r="BK78" s="396"/>
      <c r="BL78" s="396"/>
      <c r="BM78" s="396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472"/>
      <c r="CN78" s="263"/>
      <c r="CO78" s="263"/>
      <c r="CP78" s="263"/>
      <c r="CQ78" s="263"/>
      <c r="CR78" s="263"/>
      <c r="CS78" s="263"/>
      <c r="CT78" s="263"/>
      <c r="CU78" s="263"/>
      <c r="CV78" s="263"/>
      <c r="CW78" s="263"/>
      <c r="CX78" s="263"/>
      <c r="CY78" s="263"/>
      <c r="CZ78" s="263"/>
      <c r="DA78" s="263"/>
      <c r="DB78" s="263"/>
      <c r="DC78" s="263"/>
      <c r="DD78" s="263"/>
      <c r="DE78" s="263"/>
      <c r="DF78" s="263"/>
    </row>
    <row r="79" spans="1:110" s="242" customFormat="1" ht="21.75" customHeight="1" thickBot="1">
      <c r="A79" s="360"/>
      <c r="B79" s="682" t="str">
        <f>IF($E77="","",$E77)</f>
        <v/>
      </c>
      <c r="C79" s="682"/>
      <c r="D79" s="682"/>
      <c r="E79" s="682" t="str">
        <f>IF($F77="","",$F77)</f>
        <v/>
      </c>
      <c r="F79" s="682"/>
      <c r="G79" s="682"/>
      <c r="H79" s="682" t="str">
        <f>IF($G77="","",$G77)</f>
        <v/>
      </c>
      <c r="I79" s="682"/>
      <c r="J79" s="682"/>
      <c r="K79" s="682" t="str">
        <f>IF($H77="","",$H77)</f>
        <v/>
      </c>
      <c r="L79" s="682"/>
      <c r="M79" s="682"/>
      <c r="N79" s="682" t="str">
        <f>IF($I77="","",$I77)</f>
        <v/>
      </c>
      <c r="O79" s="682"/>
      <c r="P79" s="682"/>
      <c r="Q79" s="682" t="str">
        <f>IF($J77="","",$J77)</f>
        <v/>
      </c>
      <c r="R79" s="682"/>
      <c r="S79" s="682"/>
      <c r="T79" s="682" t="str">
        <f>IF($K77="","",$K77)</f>
        <v/>
      </c>
      <c r="U79" s="682"/>
      <c r="V79" s="682"/>
      <c r="W79" s="682" t="str">
        <f>IF($L77="","",$L77)</f>
        <v/>
      </c>
      <c r="X79" s="682"/>
      <c r="Y79" s="682"/>
      <c r="Z79" s="682" t="str">
        <f>IF($M77="","",$M77)</f>
        <v/>
      </c>
      <c r="AA79" s="682"/>
      <c r="AB79" s="682"/>
      <c r="AC79" s="420"/>
      <c r="AD79" s="624" t="s">
        <v>64</v>
      </c>
      <c r="AE79" s="624"/>
      <c r="AF79" s="624"/>
      <c r="AG79" s="624"/>
      <c r="AH79" s="624"/>
      <c r="AI79" s="624"/>
      <c r="AJ79" s="624"/>
      <c r="AK79" s="624"/>
      <c r="AL79" s="624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91"/>
      <c r="BC79" s="401"/>
      <c r="BD79" s="398"/>
      <c r="BE79" s="428">
        <f>BE$27</f>
        <v>1</v>
      </c>
      <c r="BF79" s="428">
        <f>BF$27</f>
        <v>2</v>
      </c>
      <c r="BG79" s="428">
        <f t="shared" ref="BG79:CL79" si="105">BG$27</f>
        <v>3</v>
      </c>
      <c r="BH79" s="428">
        <f t="shared" si="105"/>
        <v>4</v>
      </c>
      <c r="BI79" s="428">
        <f t="shared" si="105"/>
        <v>5</v>
      </c>
      <c r="BJ79" s="428">
        <f t="shared" si="105"/>
        <v>6</v>
      </c>
      <c r="BK79" s="428">
        <f t="shared" si="105"/>
        <v>7</v>
      </c>
      <c r="BL79" s="428">
        <f t="shared" si="105"/>
        <v>8</v>
      </c>
      <c r="BM79" s="428">
        <f t="shared" si="105"/>
        <v>9</v>
      </c>
      <c r="BN79" s="428">
        <f t="shared" si="105"/>
        <v>10</v>
      </c>
      <c r="BO79" s="428">
        <f t="shared" si="105"/>
        <v>11</v>
      </c>
      <c r="BP79" s="428">
        <f t="shared" si="105"/>
        <v>12</v>
      </c>
      <c r="BQ79" s="428">
        <f t="shared" si="105"/>
        <v>13</v>
      </c>
      <c r="BR79" s="428">
        <f t="shared" si="105"/>
        <v>14</v>
      </c>
      <c r="BS79" s="428">
        <f t="shared" si="105"/>
        <v>15</v>
      </c>
      <c r="BT79" s="428">
        <f t="shared" si="105"/>
        <v>16</v>
      </c>
      <c r="BU79" s="428">
        <f t="shared" si="105"/>
        <v>17</v>
      </c>
      <c r="BV79" s="428">
        <f t="shared" si="105"/>
        <v>18</v>
      </c>
      <c r="BW79" s="428">
        <f t="shared" si="105"/>
        <v>19</v>
      </c>
      <c r="BX79" s="428">
        <f t="shared" si="105"/>
        <v>20</v>
      </c>
      <c r="BY79" s="428">
        <f t="shared" si="105"/>
        <v>21</v>
      </c>
      <c r="BZ79" s="428">
        <f t="shared" si="105"/>
        <v>22</v>
      </c>
      <c r="CA79" s="428">
        <f t="shared" si="105"/>
        <v>23</v>
      </c>
      <c r="CB79" s="428">
        <f t="shared" si="105"/>
        <v>24</v>
      </c>
      <c r="CC79" s="428">
        <f t="shared" si="105"/>
        <v>25</v>
      </c>
      <c r="CD79" s="428">
        <f t="shared" si="105"/>
        <v>26</v>
      </c>
      <c r="CE79" s="428">
        <f t="shared" si="105"/>
        <v>27</v>
      </c>
      <c r="CF79" s="428">
        <f t="shared" si="105"/>
        <v>28</v>
      </c>
      <c r="CG79" s="428">
        <f t="shared" si="105"/>
        <v>29</v>
      </c>
      <c r="CH79" s="428">
        <f t="shared" si="105"/>
        <v>30</v>
      </c>
      <c r="CI79" s="428">
        <f t="shared" si="105"/>
        <v>31</v>
      </c>
      <c r="CJ79" s="428">
        <f t="shared" si="105"/>
        <v>32</v>
      </c>
      <c r="CK79" s="428">
        <f t="shared" si="105"/>
        <v>33</v>
      </c>
      <c r="CL79" s="428">
        <f t="shared" si="105"/>
        <v>34</v>
      </c>
      <c r="CM79" s="431"/>
      <c r="CN79" s="263"/>
      <c r="CO79" s="291"/>
      <c r="CP79" s="291"/>
      <c r="CQ79" s="291"/>
      <c r="CR79" s="291"/>
      <c r="CS79" s="291"/>
      <c r="CT79" s="291"/>
      <c r="CU79" s="291"/>
      <c r="CV79" s="291"/>
      <c r="CW79" s="291"/>
      <c r="CX79" s="291"/>
      <c r="CY79" s="291"/>
      <c r="CZ79" s="291"/>
      <c r="DA79" s="291"/>
      <c r="DB79" s="291"/>
      <c r="DC79" s="291"/>
      <c r="DD79" s="291"/>
      <c r="DE79" s="291"/>
      <c r="DF79" s="291"/>
    </row>
    <row r="80" spans="1:110" s="245" customFormat="1" ht="21.75" customHeight="1" thickBot="1">
      <c r="A80" s="413" t="s">
        <v>3</v>
      </c>
      <c r="B80" s="683" t="str">
        <f>IF(B79="","",IF(K5="X - X",VLOOKUP(B79,Espesor!$C$8:$E$41,2,0),VLOOKUP(B79,Espesor!$C$8:$E$41,3,0)))</f>
        <v/>
      </c>
      <c r="C80" s="684"/>
      <c r="D80" s="685"/>
      <c r="E80" s="683" t="str">
        <f>IF(E79="","",IF(K5="X - X",VLOOKUP(E79,Espesor!$C$8:$E$41,2,0),VLOOKUP(E79,Espesor!$C$8:$E$41,3,0)))</f>
        <v/>
      </c>
      <c r="F80" s="684"/>
      <c r="G80" s="685"/>
      <c r="H80" s="683" t="str">
        <f>IF(H79="","",IF(K5="X - X",VLOOKUP(H79,Espesor!$C$8:$E$41,2,0),VLOOKUP(H79,Espesor!$C$8:$E$41,3,0)))</f>
        <v/>
      </c>
      <c r="I80" s="684"/>
      <c r="J80" s="685"/>
      <c r="K80" s="683" t="str">
        <f>IF(K79="","",IF(K5="X - X",VLOOKUP(K79,Espesor!$C$8:$E$41,2,0),VLOOKUP(K79,Espesor!$C$8:$E$41,3,0)))</f>
        <v/>
      </c>
      <c r="L80" s="684"/>
      <c r="M80" s="685"/>
      <c r="N80" s="683" t="str">
        <f>IF(N79="","",IF(K5="X - X",VLOOKUP(N79,Espesor!$C$8:$E$41,2,0),VLOOKUP(N79,Espesor!$C$8:$E$41,3,0)))</f>
        <v/>
      </c>
      <c r="O80" s="684"/>
      <c r="P80" s="685"/>
      <c r="Q80" s="683" t="str">
        <f>IF(Q79="","",IF(K5="X - X",VLOOKUP(Q79,Espesor!$C$8:$E$41,2,0),VLOOKUP(Q79,Espesor!$C$8:$E$41,3,0)))</f>
        <v/>
      </c>
      <c r="R80" s="684"/>
      <c r="S80" s="685"/>
      <c r="T80" s="683" t="str">
        <f>IF(T79="","",IF(K5="X - X",VLOOKUP(T79,Espesor!$C$8:$E$41,2,0),VLOOKUP(T79,Espesor!$C$8:$E$41,3,0)))</f>
        <v/>
      </c>
      <c r="U80" s="684"/>
      <c r="V80" s="685"/>
      <c r="W80" s="683" t="str">
        <f>IF(W79="","",IF(K5="X - X",VLOOKUP(W79,Espesor!$C$8:$E$41,2,0),VLOOKUP(W79,Espesor!$C$8:$E$41,3,0)))</f>
        <v/>
      </c>
      <c r="X80" s="684"/>
      <c r="Y80" s="685"/>
      <c r="Z80" s="683" t="str">
        <f>IF(Z79="","",IF(K5="X - X",VLOOKUP(Z79,Espesor!$C$8:$E$41,2,0),VLOOKUP(Z79,Espesor!$C$8:$E$41,3,0)))</f>
        <v/>
      </c>
      <c r="AA80" s="684"/>
      <c r="AB80" s="685"/>
      <c r="AC80" s="380"/>
      <c r="AD80" s="287" t="str">
        <f>+A55</f>
        <v>M+ =</v>
      </c>
      <c r="AE80" s="325" t="str">
        <f>+IF(B55="","",B55)</f>
        <v/>
      </c>
      <c r="AF80" s="325" t="str">
        <f>+IF(C55="","",C55)</f>
        <v/>
      </c>
      <c r="AG80" s="325" t="str">
        <f t="shared" ref="AG80" si="106">+IF(D55="","",D55)</f>
        <v/>
      </c>
      <c r="AH80" s="325" t="str">
        <f t="shared" ref="AH80" si="107">+IF(E55="","",E55)</f>
        <v/>
      </c>
      <c r="AI80" s="325" t="str">
        <f t="shared" ref="AI80" si="108">+IF(F55="","",F55)</f>
        <v/>
      </c>
      <c r="AJ80" s="325" t="str">
        <f t="shared" ref="AJ80" si="109">+IF(G55="","",G55)</f>
        <v/>
      </c>
      <c r="AK80" s="325" t="str">
        <f t="shared" ref="AK80" si="110">+IF(H55="","",H55)</f>
        <v/>
      </c>
      <c r="AL80" s="325" t="str">
        <f t="shared" ref="AL80" si="111">+IF(I55="","",I55)</f>
        <v/>
      </c>
      <c r="AM80" s="325" t="str">
        <f t="shared" ref="AM80" si="112">+IF(J55="","",J55)</f>
        <v/>
      </c>
      <c r="AN80" s="242"/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422">
        <f>+A76</f>
        <v>4</v>
      </c>
      <c r="BD80" s="398" t="s">
        <v>153</v>
      </c>
      <c r="BE80" s="429">
        <f>IF(BE79=$B$79,$B$91,IF(BE79=$E$79,$E$91,IF(BE79=$H$79,$H$91,IF(BE79=$K$79,$K$91,IF(BE79=$N$79,$N$91,IF(BE79=$Q$79,$Q$91,IF(BE79=$T$79,$T$91,IF(BE79=$W$79,$W$91,IF(BE79=$Z$79,$Z$91,0)))))))))</f>
        <v>0</v>
      </c>
      <c r="BF80" s="429">
        <f t="shared" ref="BF80:CL80" si="113">IF(BF79=$B$79,$B$91,IF(BF79=$E$79,$E$91,IF(BF79=$H$79,$H$91,IF(BF79=$K$79,$K$91,IF(BF79=$N$79,$N$91,IF(BF79=$Q$79,$Q$91,IF(BF79=$T$79,$T$91,IF(BF79=$W$79,$W$91,IF(BF79=$Z$79,$Z$91,0)))))))))</f>
        <v>0</v>
      </c>
      <c r="BG80" s="429">
        <f t="shared" si="113"/>
        <v>0</v>
      </c>
      <c r="BH80" s="429">
        <f t="shared" si="113"/>
        <v>0</v>
      </c>
      <c r="BI80" s="429">
        <f t="shared" si="113"/>
        <v>0</v>
      </c>
      <c r="BJ80" s="429">
        <f t="shared" si="113"/>
        <v>0</v>
      </c>
      <c r="BK80" s="429">
        <f t="shared" si="113"/>
        <v>0</v>
      </c>
      <c r="BL80" s="429">
        <f t="shared" si="113"/>
        <v>0</v>
      </c>
      <c r="BM80" s="429">
        <f t="shared" si="113"/>
        <v>0</v>
      </c>
      <c r="BN80" s="429">
        <f t="shared" si="113"/>
        <v>0</v>
      </c>
      <c r="BO80" s="429">
        <f t="shared" si="113"/>
        <v>0</v>
      </c>
      <c r="BP80" s="429">
        <f t="shared" si="113"/>
        <v>0</v>
      </c>
      <c r="BQ80" s="429">
        <f t="shared" si="113"/>
        <v>0</v>
      </c>
      <c r="BR80" s="429">
        <f t="shared" si="113"/>
        <v>0</v>
      </c>
      <c r="BS80" s="429">
        <f t="shared" si="113"/>
        <v>0</v>
      </c>
      <c r="BT80" s="429">
        <f t="shared" si="113"/>
        <v>0</v>
      </c>
      <c r="BU80" s="429">
        <f t="shared" si="113"/>
        <v>0</v>
      </c>
      <c r="BV80" s="429">
        <f t="shared" si="113"/>
        <v>0</v>
      </c>
      <c r="BW80" s="429">
        <f t="shared" si="113"/>
        <v>0</v>
      </c>
      <c r="BX80" s="429">
        <f t="shared" si="113"/>
        <v>0</v>
      </c>
      <c r="BY80" s="429">
        <f t="shared" si="113"/>
        <v>0</v>
      </c>
      <c r="BZ80" s="429">
        <f t="shared" si="113"/>
        <v>0</v>
      </c>
      <c r="CA80" s="429">
        <f t="shared" si="113"/>
        <v>0</v>
      </c>
      <c r="CB80" s="429">
        <f t="shared" si="113"/>
        <v>0</v>
      </c>
      <c r="CC80" s="429">
        <f t="shared" si="113"/>
        <v>0</v>
      </c>
      <c r="CD80" s="429">
        <f t="shared" si="113"/>
        <v>0</v>
      </c>
      <c r="CE80" s="429">
        <f t="shared" si="113"/>
        <v>0</v>
      </c>
      <c r="CF80" s="429">
        <f t="shared" si="113"/>
        <v>0</v>
      </c>
      <c r="CG80" s="429">
        <f t="shared" si="113"/>
        <v>0</v>
      </c>
      <c r="CH80" s="429">
        <f t="shared" si="113"/>
        <v>0</v>
      </c>
      <c r="CI80" s="429">
        <f t="shared" si="113"/>
        <v>0</v>
      </c>
      <c r="CJ80" s="429">
        <f t="shared" si="113"/>
        <v>0</v>
      </c>
      <c r="CK80" s="429">
        <f t="shared" si="113"/>
        <v>0</v>
      </c>
      <c r="CL80" s="429">
        <f t="shared" si="113"/>
        <v>0</v>
      </c>
      <c r="CM80" s="473"/>
      <c r="CN80" s="291"/>
      <c r="CO80" s="242"/>
      <c r="CP80" s="242"/>
      <c r="CQ80" s="242"/>
      <c r="CR80" s="242"/>
      <c r="CS80" s="242"/>
      <c r="CT80" s="242"/>
      <c r="CU80" s="242"/>
      <c r="CV80" s="242"/>
      <c r="CW80" s="242"/>
      <c r="CX80" s="242"/>
      <c r="CY80" s="242"/>
      <c r="CZ80" s="242"/>
      <c r="DA80" s="242"/>
      <c r="DB80" s="242"/>
      <c r="DC80" s="242"/>
      <c r="DD80" s="242"/>
      <c r="DE80" s="242"/>
      <c r="DF80" s="242"/>
    </row>
    <row r="81" spans="1:110" s="246" customFormat="1" ht="23.25" customHeight="1" thickBot="1">
      <c r="A81" s="257" t="s">
        <v>65</v>
      </c>
      <c r="B81" s="679" t="str">
        <f>+IF(B79="","",IF(LOOKUP(B79,Espesor!$C$8:$C$41,Espesor!$K$8:$K$41)="en voladizo","",0.75/B80))</f>
        <v/>
      </c>
      <c r="C81" s="680"/>
      <c r="D81" s="681"/>
      <c r="E81" s="679" t="str">
        <f>IF(E79="","",IF(LOOKUP(E79,Espesor!$C$8:$C$41,Espesor!$K$8:$K$41)="en voladizo","",IF(H79="",0.75/E80,1/E80)))</f>
        <v/>
      </c>
      <c r="F81" s="680"/>
      <c r="G81" s="681"/>
      <c r="H81" s="679" t="str">
        <f>IF(H79="","",IF(LOOKUP(H79,Espesor!$C$8:$C$41,Espesor!$K$8:$K$41)="en voladizo","",IF(K79="",0.75/H80,1/H80)))</f>
        <v/>
      </c>
      <c r="I81" s="680"/>
      <c r="J81" s="681"/>
      <c r="K81" s="679" t="str">
        <f>IF(K79="","",IF(LOOKUP(K79,Espesor!$C$8:$C$41,Espesor!$K$8:$K$41)="en voladizo","",IF(N79="",0.75/K80,1/K80)))</f>
        <v/>
      </c>
      <c r="L81" s="680"/>
      <c r="M81" s="681"/>
      <c r="N81" s="679" t="str">
        <f>IF(N79="","",IF(LOOKUP(N79,Espesor!$C$8:$C$41,Espesor!$K$8:$K$41)="en voladizo","",IF(Q79="",0.75/N80,1/N80)))</f>
        <v/>
      </c>
      <c r="O81" s="680"/>
      <c r="P81" s="681"/>
      <c r="Q81" s="679" t="str">
        <f>IF(Q79="","",IF(LOOKUP(Q79,Espesor!$C$8:$C$41,Espesor!$K$8:$K$41)="en voladizo","",IF(T79="",0.75/Q80,1/Q80)))</f>
        <v/>
      </c>
      <c r="R81" s="680"/>
      <c r="S81" s="681"/>
      <c r="T81" s="679" t="str">
        <f>IF(T79="","",IF(LOOKUP(T79,Espesor!$C$8:$C$41,Espesor!$K$8:$K$41)="en voladizo","",IF(W79="",0.75/T80,1/T80)))</f>
        <v/>
      </c>
      <c r="U81" s="680"/>
      <c r="V81" s="681"/>
      <c r="W81" s="679" t="str">
        <f>IF(W79="","",IF(LOOKUP(W79,Espesor!$C$8:$C$41,Espesor!$K$8:$K$41)="en voladizo","",IF(Z79="",0.75/W80,1/W80)))</f>
        <v/>
      </c>
      <c r="X81" s="680"/>
      <c r="Y81" s="681"/>
      <c r="Z81" s="679" t="str">
        <f>IF(Z79="","",IF(LOOKUP(Z79,Espesor!$C$8:$C$41,Espesor!$K$8:$K$41)="en voladizo","",IF(AC79="",0.75/Z80,1/Z80)))</f>
        <v/>
      </c>
      <c r="AA81" s="680"/>
      <c r="AB81" s="681"/>
      <c r="AC81" s="210"/>
      <c r="AD81" s="338" t="s">
        <v>4</v>
      </c>
      <c r="AE81" s="322" t="s">
        <v>3</v>
      </c>
      <c r="AF81" s="339" t="s">
        <v>138</v>
      </c>
      <c r="AG81" s="637" t="s">
        <v>139</v>
      </c>
      <c r="AH81" s="638"/>
      <c r="AI81" s="638"/>
      <c r="AJ81" s="639"/>
      <c r="AK81" s="640" t="s">
        <v>142</v>
      </c>
      <c r="AL81" s="641"/>
      <c r="AM81" s="637" t="s">
        <v>143</v>
      </c>
      <c r="AN81" s="639"/>
      <c r="AO81" s="642" t="s">
        <v>144</v>
      </c>
      <c r="AP81" s="643"/>
      <c r="AQ81" s="643"/>
      <c r="AR81" s="644"/>
      <c r="AS81" s="642" t="s">
        <v>145</v>
      </c>
      <c r="AT81" s="643"/>
      <c r="AU81" s="644"/>
      <c r="AV81" s="645" t="s">
        <v>157</v>
      </c>
      <c r="AW81" s="646"/>
      <c r="AX81" s="646"/>
      <c r="AY81" s="646"/>
      <c r="AZ81" s="646"/>
      <c r="BA81" s="647"/>
      <c r="BB81" s="245"/>
      <c r="BC81" s="422"/>
      <c r="BD81" s="398"/>
      <c r="BE81" s="429"/>
      <c r="BF81" s="389"/>
      <c r="BG81" s="389"/>
      <c r="BH81" s="389"/>
      <c r="BI81" s="389"/>
      <c r="BJ81" s="389"/>
      <c r="BK81" s="389"/>
      <c r="BL81" s="389"/>
      <c r="BM81" s="389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432"/>
      <c r="CN81" s="242"/>
      <c r="CO81" s="245"/>
      <c r="CP81" s="245"/>
      <c r="CQ81" s="245"/>
      <c r="CR81" s="245"/>
      <c r="CS81" s="245"/>
      <c r="CT81" s="245"/>
      <c r="CU81" s="245"/>
      <c r="CV81" s="245"/>
      <c r="CW81" s="245"/>
      <c r="CX81" s="245"/>
      <c r="CY81" s="245"/>
      <c r="CZ81" s="245"/>
      <c r="DA81" s="245"/>
      <c r="DB81" s="245"/>
      <c r="DC81" s="245"/>
      <c r="DD81" s="245"/>
      <c r="DE81" s="245"/>
      <c r="DF81" s="245"/>
    </row>
    <row r="82" spans="1:110" s="32" customFormat="1" ht="21.75" customHeight="1">
      <c r="A82" s="247" t="s">
        <v>123</v>
      </c>
      <c r="B82" s="29"/>
      <c r="C82" s="30"/>
      <c r="D82" s="31">
        <f>IF(B81="",0,IF(E81="",0,ROUND(B81/(B81+E81),3)))</f>
        <v>0</v>
      </c>
      <c r="E82" s="29">
        <f>IF(E81="",0,IF(B81="",0,ROUND(E81/(E81+B81),3)))</f>
        <v>0</v>
      </c>
      <c r="F82" s="30"/>
      <c r="G82" s="31">
        <f>IF(E81="",0,IF(H81="",0,ROUND(E81/(E81+H81),3)))</f>
        <v>0</v>
      </c>
      <c r="H82" s="29">
        <f>IF(H81="",0,IF(E81="",0,ROUND(H81/(H81+E81),3)))</f>
        <v>0</v>
      </c>
      <c r="I82" s="30"/>
      <c r="J82" s="31">
        <f>IF(H81="",0,IF(K81="",0,ROUND(H81/(H81+K81),3)))</f>
        <v>0</v>
      </c>
      <c r="K82" s="29">
        <f>IF(K81="",0,IF(H81="",0,ROUND(K81/(K81+H81),3)))</f>
        <v>0</v>
      </c>
      <c r="L82" s="30"/>
      <c r="M82" s="31">
        <f>IF(K81="",0,IF(N81="",0,ROUND(K81/(K81+N81),3)))</f>
        <v>0</v>
      </c>
      <c r="N82" s="29">
        <f>IF(N81="",0,IF(K81="",0,ROUND(N81/(N81+K81),3)))</f>
        <v>0</v>
      </c>
      <c r="O82" s="30"/>
      <c r="P82" s="31">
        <f>IF(N81="",0,IF(Q81="",0,ROUND(N81/(N81+Q81),3)))</f>
        <v>0</v>
      </c>
      <c r="Q82" s="29">
        <f>IF(Q81="",0,IF(N81="",0,ROUND(Q81/(Q81+N81),3)))</f>
        <v>0</v>
      </c>
      <c r="R82" s="30"/>
      <c r="S82" s="31">
        <f>IF(Q81="",0,IF(T81="",0,ROUND(Q81/(Q81+T81),3)))</f>
        <v>0</v>
      </c>
      <c r="T82" s="29">
        <f>IF(T81="",0,IF(Q81="",0,ROUND(T81/(T81+Q81),3)))</f>
        <v>0</v>
      </c>
      <c r="U82" s="30"/>
      <c r="V82" s="31">
        <f>IF(T81="",0,IF(W81="",0,ROUND(T81/(T81+W81),3)))</f>
        <v>0</v>
      </c>
      <c r="W82" s="29">
        <f>IF(W81="",0,IF(T81="",0,ROUND(W81/(W81+T81),3)))</f>
        <v>0</v>
      </c>
      <c r="X82" s="30"/>
      <c r="Y82" s="31">
        <f>IF(W81="",0,IF(Z81="",0,ROUND(W81/(W81+Z81),3)))</f>
        <v>0</v>
      </c>
      <c r="Z82" s="29">
        <f>IF(Z81="",0,IF(W81="",0,ROUND(Z81/(Z81+W81),3)))</f>
        <v>0</v>
      </c>
      <c r="AA82" s="30"/>
      <c r="AB82" s="31">
        <f>IF(Z81="",0,IF(AC81="",0,ROUND(Z81/(Z81+AC81),3)))</f>
        <v>0</v>
      </c>
      <c r="AC82" s="29"/>
      <c r="AD82" s="320" t="str">
        <f>+IF(AE80="","",AE80)</f>
        <v/>
      </c>
      <c r="AE82" s="323" t="str">
        <f>IF(B56="","",IF($K$2="X - X",VLOOKUP(B56,Espesor!$C$8:$E$41,2,0),VLOOKUP(B56,Espesor!$C$8:$E$41,3,0)))</f>
        <v/>
      </c>
      <c r="AF82" s="318" t="str">
        <f>+IF(AD82="","",IF(LOOKUP(AD82,Espesor!$C$8:$C$41,Espesor!$K$8:$K$41)="en voladizo","",0.75/AE82))</f>
        <v/>
      </c>
      <c r="AG82" s="648" t="str">
        <f>IF(AF82="","",IF(AF83="","",ROUND(AF82/(AF82+AF83),3)))</f>
        <v/>
      </c>
      <c r="AH82" s="343"/>
      <c r="AI82" s="648" t="str">
        <f>IF(AF83="","",IF(AF82="","",ROUND(AF83/(AF83+AF82),3)))</f>
        <v/>
      </c>
      <c r="AJ82" s="343"/>
      <c r="AK82" s="342">
        <v>0</v>
      </c>
      <c r="AL82" s="316" t="e">
        <f>-IF(B55="","",IF($K$2="X - X",VLOOKUP(B55,'Moms de Empt'!$P$3:$T$36,3,0),VLOOKUP(B55,'Moms de Empt'!$P$3:$T$36,5,0)))</f>
        <v>#VALUE!</v>
      </c>
      <c r="AM82" s="649">
        <f>IF(AD83="",0,IF(LOOKUP(AD83,Espesor!$C$8:$C$41,Espesor!$K$8:$K$41)="en voladizo",MAX(ABS(AL82),ABS(AK83)),-(AK83+AL82)))</f>
        <v>0</v>
      </c>
      <c r="AN82" s="345"/>
      <c r="AO82" s="650" t="str">
        <f>IF(AG82="","",AM82*AG82)</f>
        <v/>
      </c>
      <c r="AP82" s="342"/>
      <c r="AQ82" s="650" t="str">
        <f>IF(AI82="","",AM82*AI82)</f>
        <v/>
      </c>
      <c r="AR82" s="342"/>
      <c r="AS82" s="651" t="e">
        <f>-IF(AM82="","",IF(AL82="",IF(AO82="",0,AO82),IF(AO82="",AL82,AL82+AO82)))</f>
        <v>#VALUE!</v>
      </c>
      <c r="AT82" s="341"/>
      <c r="AU82" s="341" t="e">
        <f>+AS82</f>
        <v>#VALUE!</v>
      </c>
      <c r="AV82" s="329" t="str">
        <f>IF(B55="","",IF(L55="X - X",VLOOKUP(B80,'Moms de Empt'!$P$3:$T$36,2,0),VLOOKUP(B80,'Moms de Empt'!$P$3:$T$36,4,0)))</f>
        <v/>
      </c>
      <c r="AW82" s="653" t="str">
        <f>IF(B82="","",IF(D84="","",IF(ABS(D88)&gt;ABS(D84),-0.5*ABS(D86),0.5*ABS(D86))))</f>
        <v/>
      </c>
      <c r="AX82" s="330"/>
      <c r="AY82" s="653" t="str">
        <f>IF(AV83="","",IF(AV82="","",ROUND(AV83/(AV83+AV82),3)))</f>
        <v/>
      </c>
      <c r="AZ82" s="330"/>
      <c r="BA82" s="331" t="str">
        <f t="shared" ref="BA82:BA89" si="114">+AV82</f>
        <v/>
      </c>
      <c r="BB82" s="246"/>
      <c r="BC82" s="422"/>
      <c r="BD82" s="398"/>
      <c r="BE82" s="429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477"/>
      <c r="CN82" s="245"/>
      <c r="CO82" s="246"/>
      <c r="CP82" s="246"/>
      <c r="CQ82" s="246"/>
      <c r="CR82" s="246"/>
      <c r="CS82" s="246"/>
      <c r="CT82" s="246"/>
      <c r="CU82" s="246"/>
      <c r="CV82" s="246"/>
      <c r="CW82" s="246"/>
      <c r="CX82" s="246"/>
      <c r="CY82" s="246"/>
      <c r="CZ82" s="246"/>
      <c r="DA82" s="246"/>
      <c r="DB82" s="246"/>
      <c r="DC82" s="246"/>
      <c r="DD82" s="246"/>
      <c r="DE82" s="246"/>
      <c r="DF82" s="246"/>
    </row>
    <row r="83" spans="1:110" s="35" customFormat="1" ht="21.75" customHeight="1">
      <c r="A83" s="248" t="s">
        <v>124</v>
      </c>
      <c r="B83" s="249"/>
      <c r="C83" s="34"/>
      <c r="D83" s="33" t="str">
        <f>IF(B79="","",-VLOOKUP(B79,'Moms de Empt'!$P$3:$T$36,3,0))</f>
        <v/>
      </c>
      <c r="E83" s="34" t="str">
        <f>IF(E79="","",IF($K$5="X - X",VLOOKUP(E79,'Moms de Empt'!$P$3:$T$36,3,0),VLOOKUP(E79,'Moms de Empt'!$P$3:$T$36,5,0)))</f>
        <v/>
      </c>
      <c r="F83" s="34"/>
      <c r="G83" s="33" t="str">
        <f>+IF(H79="","",-E83)</f>
        <v/>
      </c>
      <c r="H83" s="34" t="str">
        <f>IF(H79="","",IF($K$5="X - X",VLOOKUP(H79,'Moms de Empt'!$P$3:$T$36,3,0),VLOOKUP(H79,'Moms de Empt'!$P$3:$T$36,5,0)))</f>
        <v/>
      </c>
      <c r="I83" s="34"/>
      <c r="J83" s="33" t="str">
        <f>+IF(K79="","",-H83)</f>
        <v/>
      </c>
      <c r="K83" s="34" t="str">
        <f>IF(K79="","",IF($K$5="X - X",VLOOKUP(K79,'Moms de Empt'!$P$3:$T$36,3,0),VLOOKUP(K79,'Moms de Empt'!$P$3:$T$36,5,0)))</f>
        <v/>
      </c>
      <c r="L83" s="34"/>
      <c r="M83" s="33" t="str">
        <f>+IF(N79="","",-K83)</f>
        <v/>
      </c>
      <c r="N83" s="34" t="str">
        <f>IF(N79="","",IF($K$5="X - X",VLOOKUP(N79,'Moms de Empt'!$P$3:$T$36,3,0),VLOOKUP(N79,'Moms de Empt'!$P$3:$T$36,5,0)))</f>
        <v/>
      </c>
      <c r="O83" s="34"/>
      <c r="P83" s="33" t="str">
        <f>+IF(Q79="","",-N83)</f>
        <v/>
      </c>
      <c r="Q83" s="34" t="str">
        <f>IF(Q79="","",IF($K$5="X - X",VLOOKUP(Q79,'Moms de Empt'!$P$3:$T$36,3,0),VLOOKUP(Q79,'Moms de Empt'!$P$3:$T$36,5,0)))</f>
        <v/>
      </c>
      <c r="R83" s="34"/>
      <c r="S83" s="33" t="str">
        <f>+IF(T79="","",-Q83)</f>
        <v/>
      </c>
      <c r="T83" s="34" t="str">
        <f>IF(T79="","",IF($K$5="X - X",VLOOKUP(T79,'Moms de Empt'!$P$3:$T$36,3,0),VLOOKUP(T79,'Moms de Empt'!$P$3:$T$36,5,0)))</f>
        <v/>
      </c>
      <c r="U83" s="34"/>
      <c r="V83" s="33" t="str">
        <f>+IF(W79="","",-T83)</f>
        <v/>
      </c>
      <c r="W83" s="34" t="str">
        <f>IF(W79="","",IF($K$5="X - X",VLOOKUP(W79,'Moms de Empt'!$P$3:$T$36,3,0),VLOOKUP(W79,'Moms de Empt'!$P$3:$T$36,5,0)))</f>
        <v/>
      </c>
      <c r="X83" s="34"/>
      <c r="Y83" s="33" t="str">
        <f>+IF(Z79="","",-W83)</f>
        <v/>
      </c>
      <c r="Z83" s="34" t="str">
        <f>IF(Z79="","",IF($K$5="X - X",VLOOKUP(Z79,'Moms de Empt'!$P$3:$T$36,3,0),VLOOKUP(Z79,'Moms de Empt'!$P$3:$T$36,5,0)))</f>
        <v/>
      </c>
      <c r="AA83" s="34"/>
      <c r="AB83" s="33"/>
      <c r="AD83" s="321" t="str">
        <f>+IF(AF80="","",AF80)</f>
        <v/>
      </c>
      <c r="AE83" s="324" t="str">
        <f>IF(C55="","",IF($K$2="X - X",VLOOKUP(C55,Espesor!$C$8:$E$41,2,0),VLOOKUP(C55,Espesor!$C$8:$E$41,3,0)))</f>
        <v/>
      </c>
      <c r="AF83" s="319" t="str">
        <f>IF(AD83="","",IF(LOOKUP(AD83,Espesor!$C$8:$C$41,Espesor!$K$8:$K$41)="en voladizo","",IF(AD84="",0.75/AE83,1/AE83)))</f>
        <v/>
      </c>
      <c r="AG83" s="634"/>
      <c r="AH83" s="634" t="str">
        <f>IF(AF83="","",IF(AF84="","",ROUND(AF83/(AF83+AF84),3)))</f>
        <v/>
      </c>
      <c r="AI83" s="634"/>
      <c r="AJ83" s="634" t="str">
        <f>IF(AF83="","",IF(AF84="","",ROUND(AF84/(AF83+AF84),3)))</f>
        <v/>
      </c>
      <c r="AK83" s="317">
        <f>IF(C55="",0,IF($K$2="X - X",VLOOKUP(C55,'Moms de Empt'!$P$3:$T$36,3,0),VLOOKUP(C55,'Moms de Empt'!$P$3:$T$36,5,0)))</f>
        <v>0</v>
      </c>
      <c r="AL83" s="317">
        <f>+IF(AD84="",0,-AK83)</f>
        <v>0</v>
      </c>
      <c r="AM83" s="629"/>
      <c r="AN83" s="629">
        <f>IF(AD84="",0,IF(LOOKUP(AD84,Espesor!$C$8:$C$41,Espesor!$K$8:$K$41)="en voladizo",MAX(ABS(AL83),ABS(AK84)),-(AK84+AL83)))</f>
        <v>0</v>
      </c>
      <c r="AO83" s="630"/>
      <c r="AP83" s="630" t="str">
        <f>IF(AH83="","",AN83*AH83)</f>
        <v/>
      </c>
      <c r="AQ83" s="630"/>
      <c r="AR83" s="630" t="str">
        <f>IF(AJ83="","",AN83*AJ83)</f>
        <v/>
      </c>
      <c r="AS83" s="652"/>
      <c r="AT83" s="631">
        <f>-IF(AN83="","",IF(AL83="",IF(AP83="",0,AP83),IF(AP83="",AL83,AL83+AP83)))</f>
        <v>0</v>
      </c>
      <c r="AU83" s="341">
        <f>+AT83</f>
        <v>0</v>
      </c>
      <c r="AV83" s="332" t="str">
        <f>IF(E80="","",IF(L55="X - X",VLOOKUP(E80,'Moms de Empt'!$P$3:$T$36,2,0),VLOOKUP(E80,'Moms de Empt'!$P$3:$T$36,4,0)))</f>
        <v/>
      </c>
      <c r="AW83" s="635"/>
      <c r="AX83" s="633" t="str">
        <f>IF(AV83="","",IF(AV84="","",ROUND(AV83/(AV83+AV84),3)))</f>
        <v/>
      </c>
      <c r="AY83" s="635"/>
      <c r="AZ83" s="633" t="str">
        <f>IF(AV83="","",IF(AV84="","",ROUND(AV84/(AV83+AV84),3)))</f>
        <v/>
      </c>
      <c r="BA83" s="331" t="str">
        <f t="shared" si="114"/>
        <v/>
      </c>
      <c r="BB83" s="32"/>
      <c r="BC83" s="422"/>
      <c r="BD83" s="398"/>
      <c r="BE83" s="429"/>
      <c r="BF83" s="392"/>
      <c r="BG83" s="392"/>
      <c r="BH83" s="392"/>
      <c r="BI83" s="392"/>
      <c r="BJ83" s="392"/>
      <c r="BK83" s="392"/>
      <c r="BL83" s="392"/>
      <c r="BM83" s="392"/>
      <c r="BN83" s="393"/>
      <c r="BO83" s="393"/>
      <c r="BP83" s="393"/>
      <c r="BQ83" s="393"/>
      <c r="BR83" s="393"/>
      <c r="BS83" s="393"/>
      <c r="BT83" s="393"/>
      <c r="BU83" s="393"/>
      <c r="BV83" s="393"/>
      <c r="BW83" s="393"/>
      <c r="BX83" s="393"/>
      <c r="BY83" s="393"/>
      <c r="BZ83" s="393"/>
      <c r="CA83" s="393"/>
      <c r="CB83" s="393"/>
      <c r="CC83" s="393"/>
      <c r="CD83" s="393"/>
      <c r="CE83" s="393"/>
      <c r="CF83" s="393"/>
      <c r="CG83" s="393"/>
      <c r="CH83" s="393"/>
      <c r="CI83" s="393"/>
      <c r="CJ83" s="393"/>
      <c r="CK83" s="393"/>
      <c r="CL83" s="393"/>
      <c r="CM83" s="474"/>
      <c r="CN83" s="246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</row>
    <row r="84" spans="1:110" s="279" customFormat="1" ht="21.75" customHeight="1">
      <c r="A84" s="250" t="s">
        <v>125</v>
      </c>
      <c r="B84" s="272"/>
      <c r="C84" s="406"/>
      <c r="D84" s="678">
        <f>+IF(E79="",0,IF(LOOKUP(E79,Espesor!$C$8:$C$41,Espesor!$K$8:$K$41)="en voladizo",IF(LOOKUP(B79,Espesor!$C$8:$C$41,Espesor!$K$8:$K$41)="en voladizo","Inestable",MAX(ABS(D83),ABS(E83))),IF(LOOKUP(B79,Espesor!$C$8:$C$41,Espesor!$K$8:$K$41)="en voladizo",MAX(ABS(D83),ABS(E83)),-(E83+D83))))</f>
        <v>0</v>
      </c>
      <c r="E84" s="678"/>
      <c r="F84" s="406"/>
      <c r="G84" s="678">
        <f>+IF(H79="",0,IF(LOOKUP(H79,Espesor!$C$8:$C$41,Espesor!$K$8:$K$41)="en voladizo",IF(LOOKUP(E79,Espesor!$C$8:$C$41,Espesor!$K$8:$K$41)="en voladizo","Inestable",MAX(ABS(G83),ABS(H83))),IF(LOOKUP(E79,Espesor!$C$8:$C$41,Espesor!$K$8:$K$41)="en voladizo",MAX(ABS(G83),ABS(H83)),-(H83+G83))))</f>
        <v>0</v>
      </c>
      <c r="H84" s="678"/>
      <c r="I84" s="406"/>
      <c r="J84" s="678">
        <f>+IF(K79="",0,IF(LOOKUP(K79,Espesor!$C$8:$C$41,Espesor!$K$8:$K$41)="en voladizo",IF(LOOKUP(H79,Espesor!$C$8:$C$41,Espesor!$K$8:$K$41)="en voladizo","Inestable",MAX(ABS(J83),ABS(K83))),IF(LOOKUP(H79,Espesor!$C$8:$C$41,Espesor!$K$8:$K$41)="en voladizo",MAX(ABS(J83),ABS(K83)),-(K83+J83))))</f>
        <v>0</v>
      </c>
      <c r="K84" s="678"/>
      <c r="L84" s="406"/>
      <c r="M84" s="678">
        <f>+IF(N79="",0,IF(LOOKUP(N79,Espesor!$C$8:$C$41,Espesor!$K$8:$K$41)="en voladizo",IF(LOOKUP(K79,Espesor!$C$8:$C$41,Espesor!$K$8:$K$41)="en voladizo","Inestable",MAX(ABS(M83),ABS(N83))),IF(LOOKUP(K79,Espesor!$C$8:$C$41,Espesor!$K$8:$K$41)="en voladizo",MAX(ABS(M83),ABS(N83)),-(N83+M83))))</f>
        <v>0</v>
      </c>
      <c r="N84" s="678"/>
      <c r="O84" s="406"/>
      <c r="P84" s="678">
        <f>+IF(Q79="",0,IF(LOOKUP(Q79,Espesor!$C$8:$C$41,Espesor!$K$8:$K$41)="en voladizo",IF(LOOKUP(N79,Espesor!$C$8:$C$41,Espesor!$K$8:$K$41)="en voladizo","Inestable",MAX(ABS(P83),ABS(Q83))),IF(LOOKUP(N79,Espesor!$C$8:$C$41,Espesor!$K$8:$K$41)="en voladizo",MAX(ABS(P83),ABS(Q83)),-(Q83+P83))))</f>
        <v>0</v>
      </c>
      <c r="Q84" s="678"/>
      <c r="R84" s="406"/>
      <c r="S84" s="678">
        <f>+IF(T79="",0,IF(LOOKUP(T79,Espesor!$C$8:$C$41,Espesor!$K$8:$K$41)="en voladizo",IF(LOOKUP(Q79,Espesor!$C$8:$C$41,Espesor!$K$8:$K$41)="en voladizo","Inestable",MAX(ABS(S83),ABS(T83))),IF(LOOKUP(Q79,Espesor!$C$8:$C$41,Espesor!$K$8:$K$41)="en voladizo",MAX(ABS(S83),ABS(T83)),-(T83+S83))))</f>
        <v>0</v>
      </c>
      <c r="T84" s="678"/>
      <c r="U84" s="406"/>
      <c r="V84" s="678">
        <f>+IF(W79="",0,IF(LOOKUP(W79,Espesor!$C$8:$C$41,Espesor!$K$8:$K$41)="en voladizo",IF(LOOKUP(T79,Espesor!$C$8:$C$41,Espesor!$K$8:$K$41)="en voladizo","Inestable",MAX(ABS(V83),ABS(W83))),IF(LOOKUP(T79,Espesor!$C$8:$C$41,Espesor!$K$8:$K$41)="en voladizo",MAX(ABS(V83),ABS(W83)),-(W83+V83))))</f>
        <v>0</v>
      </c>
      <c r="W84" s="678"/>
      <c r="X84" s="406"/>
      <c r="Y84" s="678">
        <f>+IF(Z79="",0,IF(LOOKUP(Z79,Espesor!$C$8:$C$41,Espesor!$K$8:$K$41)="en voladizo",IF(LOOKUP(W79,Espesor!$C$8:$C$41,Espesor!$K$8:$K$41)="en voladizo","Inestable",MAX(ABS(Y83),ABS(Z83))),IF(LOOKUP(W79,Espesor!$C$8:$C$41,Espesor!$K$8:$K$41)="en voladizo",MAX(ABS(Y83),ABS(Z83)),-(Z83+Y83))))</f>
        <v>0</v>
      </c>
      <c r="Z84" s="678"/>
      <c r="AA84" s="406"/>
      <c r="AB84" s="252"/>
      <c r="AC84" s="292"/>
      <c r="AD84" s="321" t="str">
        <f>+IF(AG80="","",AG80)</f>
        <v/>
      </c>
      <c r="AE84" s="324" t="str">
        <f>IF(C56="","",IF($K$2="X - X",VLOOKUP(C56,Espesor!$C$8:$E$41,2,0),VLOOKUP(C56,Espesor!$C$8:$E$41,3,0)))</f>
        <v/>
      </c>
      <c r="AF84" s="319" t="str">
        <f>IF(AD84="","",IF(LOOKUP(AD84,Espesor!$C$8:$C$41,Espesor!$K$8:$K$41)="en voladizo","",IF(AD85="",0.75/AE84,1/AE84)))</f>
        <v/>
      </c>
      <c r="AG84" s="634" t="str">
        <f>IF(AF84="","",IF(AF85="","",ROUND(AF84/(AF84+AF85),3)))</f>
        <v/>
      </c>
      <c r="AH84" s="634"/>
      <c r="AI84" s="634" t="str">
        <f>IF(AF85="","",IF(AF84="","",ROUND(AF85/(AF85+AF84),3)))</f>
        <v/>
      </c>
      <c r="AJ84" s="634"/>
      <c r="AK84" s="317">
        <f>IF(D55="",0,IF($K$2="X - X",VLOOKUP(D55,'Moms de Empt'!$P$3:$T$36,3,0),VLOOKUP(D55,'Moms de Empt'!$P$3:$T$36,5,0)))</f>
        <v>0</v>
      </c>
      <c r="AL84" s="317">
        <f>+IF(AD85="",0,-AK84)</f>
        <v>0</v>
      </c>
      <c r="AM84" s="629">
        <f>IF(AD85="",0,IF(LOOKUP(AD85,Espesor!$C$8:$C$41,Espesor!$K$8:$K$41)="en voladizo",MAX(ABS(AL84),ABS(AK85)),-(AK85+AL84)))</f>
        <v>0</v>
      </c>
      <c r="AN84" s="629"/>
      <c r="AO84" s="630" t="str">
        <f>IF(AG84="","",AM84*AG84)</f>
        <v/>
      </c>
      <c r="AP84" s="630"/>
      <c r="AQ84" s="630" t="str">
        <f>IF(AI84="","",AM84*AI84)</f>
        <v/>
      </c>
      <c r="AR84" s="630"/>
      <c r="AS84" s="631">
        <f>-IF(AM84="","",IF(AL84="",IF(AO84="",0,AO84),IF(AO84="",AL84,AL84+AO84)))</f>
        <v>0</v>
      </c>
      <c r="AT84" s="632"/>
      <c r="AU84" s="341">
        <f>+AS84</f>
        <v>0</v>
      </c>
      <c r="AV84" s="332" t="str">
        <f>IF(H80="","",IF(L55="X - X",VLOOKUP(H80,'Moms de Empt'!$P$3:$T$36,2,0),VLOOKUP(H80,'Moms de Empt'!$P$3:$T$36,4,0)))</f>
        <v/>
      </c>
      <c r="AW84" s="635" t="str">
        <f>IF(AV84="","",IF(AV85="","",ROUND(AV84/(AV84+AV85),3)))</f>
        <v/>
      </c>
      <c r="AX84" s="633"/>
      <c r="AY84" s="635" t="str">
        <f>IF(AV85="","",IF(AV84="","",ROUND(AV85/(AV85+AV84),3)))</f>
        <v/>
      </c>
      <c r="AZ84" s="633"/>
      <c r="BA84" s="331" t="str">
        <f t="shared" si="114"/>
        <v/>
      </c>
      <c r="BB84" s="35"/>
      <c r="BC84" s="401"/>
      <c r="BD84" s="398"/>
      <c r="BE84" s="391"/>
      <c r="BF84" s="406"/>
      <c r="BG84" s="406"/>
      <c r="BH84" s="406"/>
      <c r="BI84" s="406"/>
      <c r="BJ84" s="406"/>
      <c r="BK84" s="406"/>
      <c r="BL84" s="406"/>
      <c r="BM84" s="406"/>
      <c r="BN84" s="393"/>
      <c r="BO84" s="393"/>
      <c r="BP84" s="393"/>
      <c r="BQ84" s="393"/>
      <c r="BR84" s="393"/>
      <c r="BS84" s="393"/>
      <c r="BT84" s="393"/>
      <c r="BU84" s="393"/>
      <c r="BV84" s="393"/>
      <c r="BW84" s="393"/>
      <c r="BX84" s="393"/>
      <c r="BY84" s="393"/>
      <c r="BZ84" s="393"/>
      <c r="CA84" s="393"/>
      <c r="CB84" s="393"/>
      <c r="CC84" s="393"/>
      <c r="CD84" s="393"/>
      <c r="CE84" s="393"/>
      <c r="CF84" s="393"/>
      <c r="CG84" s="393"/>
      <c r="CH84" s="393"/>
      <c r="CI84" s="393"/>
      <c r="CJ84" s="393"/>
      <c r="CK84" s="393"/>
      <c r="CL84" s="393"/>
      <c r="CM84" s="475"/>
      <c r="CN84" s="32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</row>
    <row r="85" spans="1:110" s="30" customFormat="1" ht="21.75" customHeight="1">
      <c r="A85" s="253" t="s">
        <v>126</v>
      </c>
      <c r="B85" s="29"/>
      <c r="D85" s="254">
        <f>IF(D82="","",D84*D82)</f>
        <v>0</v>
      </c>
      <c r="E85" s="30">
        <f>IF(E82="","",D84*E82)</f>
        <v>0</v>
      </c>
      <c r="G85" s="277">
        <f>IF(G82="","",G84*G82)</f>
        <v>0</v>
      </c>
      <c r="H85" s="278">
        <f>IF(H82="","",G84*H82)</f>
        <v>0</v>
      </c>
      <c r="J85" s="254">
        <f>IF(J82="","",J84*J82)</f>
        <v>0</v>
      </c>
      <c r="K85" s="30">
        <f>IF(K82="","",J84*K82)</f>
        <v>0</v>
      </c>
      <c r="M85" s="254">
        <f>IF(M82="","",M84*M82)</f>
        <v>0</v>
      </c>
      <c r="N85" s="30">
        <f>IF(N82="","",M84*N82)</f>
        <v>0</v>
      </c>
      <c r="P85" s="254">
        <f>IF(P82="","",P84*P82)</f>
        <v>0</v>
      </c>
      <c r="Q85" s="30">
        <f>IF(Q82="","",P84*Q82)</f>
        <v>0</v>
      </c>
      <c r="S85" s="254">
        <f>IF(S82="","",S84*S82)</f>
        <v>0</v>
      </c>
      <c r="T85" s="30">
        <f>IF(T82="","",S84*T82)</f>
        <v>0</v>
      </c>
      <c r="V85" s="254">
        <f>IF(V82="","",V84*V82)</f>
        <v>0</v>
      </c>
      <c r="W85" s="30">
        <f>IF(W82="","",V84*W82)</f>
        <v>0</v>
      </c>
      <c r="Y85" s="254">
        <f>IF(Y82="","",Y84*Y82)</f>
        <v>0</v>
      </c>
      <c r="Z85" s="30">
        <f>IF(Z82="","",Y84*Z82)</f>
        <v>0</v>
      </c>
      <c r="AB85" s="31"/>
      <c r="AD85" s="321" t="str">
        <f>+IF(AH80="","",AH80)</f>
        <v/>
      </c>
      <c r="AE85" s="324" t="str">
        <f>IF(K80="","",IF($K$2="X - X",VLOOKUP(K80,Espesor!$C$8:$E$41,2,0),VLOOKUP(K80,Espesor!$C$8:$E$41,3,0)))</f>
        <v/>
      </c>
      <c r="AF85" s="319" t="str">
        <f>IF(AD85="","",IF(LOOKUP(AD85,Espesor!$C$8:$C$41,Espesor!$K$8:$K$41)="en voladizo","",IF(AD86="",0.75/AE85,1/AE85)))</f>
        <v/>
      </c>
      <c r="AG85" s="634"/>
      <c r="AH85" s="634" t="str">
        <f>IF(AF85="","",IF(AF86="","",ROUND(AF85/(AF85+AF86),3)))</f>
        <v/>
      </c>
      <c r="AI85" s="634"/>
      <c r="AJ85" s="634" t="str">
        <f>IF(AF85="","",IF(AF86="","",ROUND(AF86/(AF85+AF86),3)))</f>
        <v/>
      </c>
      <c r="AK85" s="317">
        <f>IF(E55="",0,IF($K$2="X - X",VLOOKUP(E55,'Moms de Empt'!$P$3:$T$36,3,0),VLOOKUP(E55,'Moms de Empt'!$P$3:$T$36,5,0)))</f>
        <v>0</v>
      </c>
      <c r="AL85" s="317">
        <f t="shared" ref="AL85:AL87" si="115">+IF(AD86="",0,-AK85)</f>
        <v>0</v>
      </c>
      <c r="AM85" s="629"/>
      <c r="AN85" s="629">
        <f>IF(AD86="",0,IF(LOOKUP(AD86,Espesor!$C$8:$C$41,Espesor!$K$8:$K$41)="en voladizo",MAX(ABS(AL85),ABS(AK86)),-(AK86+AL85)))</f>
        <v>0</v>
      </c>
      <c r="AO85" s="630"/>
      <c r="AP85" s="630" t="str">
        <f t="shared" ref="AP85" si="116">IF(AH85="","",AN85*AH85)</f>
        <v/>
      </c>
      <c r="AQ85" s="630"/>
      <c r="AR85" s="630" t="str">
        <f t="shared" ref="AR85" si="117">IF(AJ85="","",AN85*AJ85)</f>
        <v/>
      </c>
      <c r="AS85" s="632"/>
      <c r="AT85" s="631">
        <f t="shared" ref="AT85" si="118">-IF(AN85="","",IF(AL85="",IF(AP85="",0,AP85),IF(AP85="",AL85,AL85+AP85)))</f>
        <v>0</v>
      </c>
      <c r="AU85" s="341">
        <f>+AT85</f>
        <v>0</v>
      </c>
      <c r="AV85" s="332" t="str">
        <f>IF(K80="","",IF(L55="X - X",VLOOKUP(K80,'Moms de Empt'!$P$3:$T$36,2,0),VLOOKUP(K80,'Moms de Empt'!$P$3:$T$36,4,0)))</f>
        <v/>
      </c>
      <c r="AW85" s="635"/>
      <c r="AX85" s="633" t="str">
        <f>IF(AV85="","",IF(AV86="","",ROUND(AV85/(AV85+AV86),3)))</f>
        <v/>
      </c>
      <c r="AY85" s="635"/>
      <c r="AZ85" s="633" t="str">
        <f>IF(AV85="","",IF(AV86="","",ROUND(AV86/(AV85+AV86),3)))</f>
        <v/>
      </c>
      <c r="BA85" s="331" t="str">
        <f t="shared" si="114"/>
        <v/>
      </c>
      <c r="BB85" s="279"/>
      <c r="BC85" s="401"/>
      <c r="BD85" s="398"/>
      <c r="BE85" s="391"/>
      <c r="BN85" s="278"/>
      <c r="BO85" s="278"/>
      <c r="BP85" s="278"/>
      <c r="BQ85" s="278"/>
      <c r="BR85" s="278"/>
      <c r="BS85" s="278"/>
      <c r="BT85" s="278"/>
      <c r="BU85" s="278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  <c r="CM85" s="476"/>
      <c r="CN85" s="35"/>
      <c r="CO85" s="279"/>
      <c r="CP85" s="279"/>
      <c r="CQ85" s="279"/>
      <c r="CR85" s="279"/>
      <c r="CS85" s="279"/>
      <c r="CT85" s="279"/>
      <c r="CU85" s="279"/>
      <c r="CV85" s="279"/>
      <c r="CW85" s="279"/>
      <c r="CX85" s="279"/>
      <c r="CY85" s="279"/>
      <c r="CZ85" s="279"/>
      <c r="DA85" s="279"/>
      <c r="DB85" s="279"/>
      <c r="DC85" s="279"/>
      <c r="DD85" s="279"/>
      <c r="DE85" s="279"/>
      <c r="DF85" s="279"/>
    </row>
    <row r="86" spans="1:110" s="32" customFormat="1" ht="21.75" customHeight="1" thickBot="1">
      <c r="B86" s="29"/>
      <c r="C86" s="30"/>
      <c r="D86" s="255">
        <f>IF(D84="",0,IF(D83="",IF(D85="",0,D85),IF(D85="",D83,D83+D85)))</f>
        <v>0</v>
      </c>
      <c r="E86" s="256">
        <f>IF(D84="",0,IF(E83="",IF(E85="",0,E85),IF(E85="",E83,E83+E85)))</f>
        <v>0</v>
      </c>
      <c r="F86" s="30"/>
      <c r="G86" s="276">
        <f>IF(G84="",0,IF(G83="",IF(G85="",0,G85),IF(G85="",G83,G83+G85)))</f>
        <v>0</v>
      </c>
      <c r="H86" s="256">
        <f>IF(G84="",0,IF(H83="",IF(H85="",0,H85),IF(H85="",H83,H83+H85)))</f>
        <v>0</v>
      </c>
      <c r="I86" s="30"/>
      <c r="J86" s="276">
        <f>IF(J84="",0,IF(J83="",IF(J85="",0,J85),IF(J85="",J83,J83+J85)))</f>
        <v>0</v>
      </c>
      <c r="K86" s="256">
        <f>IF(J84="",0,IF(K83="",IF(K85="",0,K85),IF(K85="",K83,K83+K85)))</f>
        <v>0</v>
      </c>
      <c r="L86" s="30"/>
      <c r="M86" s="276">
        <f>IF(M84="",0,IF(M83="",IF(M85="",0,M85),IF(M85="",M83,M83+M85)))</f>
        <v>0</v>
      </c>
      <c r="N86" s="256">
        <f>IF(M84="",0,IF(N83="",IF(N85="",0,N85),IF(N85="",N83,N83+N85)))</f>
        <v>0</v>
      </c>
      <c r="O86" s="30"/>
      <c r="P86" s="276">
        <f>IF(P84="",0,IF(P83="",IF(P85="",0,P85),IF(P85="",P83,P83+P85)))</f>
        <v>0</v>
      </c>
      <c r="Q86" s="256">
        <f>IF(P84="",0,IF(Q83="",IF(Q85="",0,Q85),IF(Q85="",Q83,Q83+Q85)))</f>
        <v>0</v>
      </c>
      <c r="R86" s="30"/>
      <c r="S86" s="276">
        <f>IF(S84="",0,IF(S83="",IF(S85="",0,S85),IF(S85="",S83,S83+S85)))</f>
        <v>0</v>
      </c>
      <c r="T86" s="256">
        <f>IF(S84="",0,IF(T83="",IF(T85="",0,T85),IF(T85="",T83,T83+T85)))</f>
        <v>0</v>
      </c>
      <c r="U86" s="30"/>
      <c r="V86" s="276">
        <f>IF(V84="",0,IF(V83="",IF(V85="",0,V85),IF(V85="",V83,V83+V85)))</f>
        <v>0</v>
      </c>
      <c r="W86" s="256">
        <f>IF(V84="",0,IF(W83="",IF(W85="",0,W85),IF(W85="",W83,W83+W85)))</f>
        <v>0</v>
      </c>
      <c r="X86" s="30"/>
      <c r="Y86" s="276">
        <f>IF(Y84="",0,IF(Y83="",IF(Y85="",0,Y85),IF(Y85="",Y83,Y83+Y85)))</f>
        <v>0</v>
      </c>
      <c r="Z86" s="256">
        <f>IF(Y84="",0,IF(Z83="",IF(Z85="",0,Z85),IF(Z85="",Z83,Z83+Z85)))</f>
        <v>0</v>
      </c>
      <c r="AA86" s="30"/>
      <c r="AB86" s="31"/>
      <c r="AC86" s="30"/>
      <c r="AD86" s="321" t="str">
        <f>+IF(AI80="","",AI80)</f>
        <v/>
      </c>
      <c r="AE86" s="324" t="str">
        <f>IF(N80="","",IF($K$2="X - X",VLOOKUP(N80,Espesor!$C$8:$E$41,2,0),VLOOKUP(N80,Espesor!$C$8:$E$41,3,0)))</f>
        <v/>
      </c>
      <c r="AF86" s="319" t="str">
        <f>IF(AD86="","",IF(LOOKUP(AD86,Espesor!$C$8:$C$41,Espesor!$K$8:$K$41)="en voladizo","",IF(AD87="",0.75/AE86,1/AE86)))</f>
        <v/>
      </c>
      <c r="AG86" s="634" t="str">
        <f>IF(AF86="","",IF(AF87="","",ROUND(AF86/(AF86+AF87),3)))</f>
        <v/>
      </c>
      <c r="AH86" s="634"/>
      <c r="AI86" s="634" t="str">
        <f>IF(AF87="","",IF(AF86="","",ROUND(AF87/(AF87+AF86),3)))</f>
        <v/>
      </c>
      <c r="AJ86" s="634"/>
      <c r="AK86" s="317">
        <f>IF(F55="",0,IF($K$2="X - X",VLOOKUP(F55,'Moms de Empt'!$P$3:$T$36,3,0),VLOOKUP(F55,'Moms de Empt'!$P$3:$T$36,5,0)))</f>
        <v>0</v>
      </c>
      <c r="AL86" s="317">
        <f t="shared" si="115"/>
        <v>0</v>
      </c>
      <c r="AM86" s="629">
        <f>IF(AD87="",0,IF(LOOKUP(AD87,Espesor!$C$8:$C$41,Espesor!$K$8:$K$41)="en voladizo",MAX(ABS(AL86),ABS(AK87)),-(AK87+AL86)))</f>
        <v>0</v>
      </c>
      <c r="AN86" s="629"/>
      <c r="AO86" s="630" t="str">
        <f t="shared" ref="AO86" si="119">IF(AG86="","",AM86*AG86)</f>
        <v/>
      </c>
      <c r="AP86" s="630"/>
      <c r="AQ86" s="630" t="str">
        <f t="shared" ref="AQ86" si="120">IF(AI86="","",AM86*AI86)</f>
        <v/>
      </c>
      <c r="AR86" s="630"/>
      <c r="AS86" s="631">
        <f>-IF(AM86="","",IF(AL86="",IF(AO86="",0,AO86),IF(AO86="",AL86,AL86+AO86)))</f>
        <v>0</v>
      </c>
      <c r="AT86" s="632"/>
      <c r="AU86" s="341">
        <f>+AS86</f>
        <v>0</v>
      </c>
      <c r="AV86" s="332" t="str">
        <f>IF(N80="","",IF(L55="X - X",VLOOKUP(N80,'Moms de Empt'!$P$3:$T$36,2,0),VLOOKUP(N80,'Moms de Empt'!$P$3:$T$36,4,0)))</f>
        <v/>
      </c>
      <c r="AW86" s="635" t="str">
        <f>IF(AV86="","",IF(AV87="","",ROUND(AV86/(AV86+AV87),3)))</f>
        <v/>
      </c>
      <c r="AX86" s="633"/>
      <c r="AY86" s="635" t="str">
        <f>IF(AV87="","",IF(AV86="","",ROUND(AV87/(AV87+AV86),3)))</f>
        <v/>
      </c>
      <c r="AZ86" s="633"/>
      <c r="BA86" s="331" t="str">
        <f t="shared" si="114"/>
        <v/>
      </c>
      <c r="BB86" s="30"/>
      <c r="BC86" s="401"/>
      <c r="BD86" s="398"/>
      <c r="BE86" s="391"/>
      <c r="BF86" s="30"/>
      <c r="BG86" s="30"/>
      <c r="BH86" s="30"/>
      <c r="BI86" s="30"/>
      <c r="BJ86" s="30"/>
      <c r="BK86" s="30"/>
      <c r="BL86" s="30"/>
      <c r="BM86" s="30"/>
      <c r="BN86" s="396"/>
      <c r="BO86" s="396"/>
      <c r="BP86" s="396"/>
      <c r="BQ86" s="396"/>
      <c r="BR86" s="396"/>
      <c r="BS86" s="396"/>
      <c r="BT86" s="396"/>
      <c r="BU86" s="396"/>
      <c r="BV86" s="396"/>
      <c r="BW86" s="396"/>
      <c r="BX86" s="396"/>
      <c r="BY86" s="396"/>
      <c r="BZ86" s="396"/>
      <c r="CA86" s="396"/>
      <c r="CB86" s="396"/>
      <c r="CC86" s="396"/>
      <c r="CD86" s="396"/>
      <c r="CE86" s="396"/>
      <c r="CF86" s="396"/>
      <c r="CG86" s="396"/>
      <c r="CH86" s="396"/>
      <c r="CI86" s="396"/>
      <c r="CJ86" s="396"/>
      <c r="CK86" s="396"/>
      <c r="CL86" s="396"/>
      <c r="CM86" s="474"/>
      <c r="CN86" s="279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</row>
    <row r="87" spans="1:110" s="36" customFormat="1" ht="21.75" customHeight="1" thickBot="1">
      <c r="A87" s="36" t="s">
        <v>66</v>
      </c>
      <c r="B87" s="273"/>
      <c r="D87" s="672">
        <f>IF(E79="",0,IF(D86=0,IF(E86=0,MAX(ABS(D83),ABS(E83)),E86),MAX(ABS(D86),ABS(E86))))</f>
        <v>0</v>
      </c>
      <c r="E87" s="674"/>
      <c r="G87" s="672">
        <f>IF(H79="",0,IF(G86=0,IF(H86=0,MAX(ABS(G83),ABS(H83)),H86),MAX(ABS(G86),ABS(H86))))</f>
        <v>0</v>
      </c>
      <c r="H87" s="674"/>
      <c r="J87" s="672">
        <f>IF(K79="",0,IF(J86=0,IF(K86=0,MAX(ABS(J83),ABS(K83)),K86),MAX(ABS(J86),ABS(K86))))</f>
        <v>0</v>
      </c>
      <c r="K87" s="674"/>
      <c r="M87" s="672">
        <f>IF(N79="",0,IF(M86=0,IF(N86=0,MAX(ABS(M83),ABS(N83)),N86),MAX(ABS(M86),ABS(N86))))</f>
        <v>0</v>
      </c>
      <c r="N87" s="674"/>
      <c r="P87" s="672">
        <f>IF(Q79="",0,IF(P86=0,IF(Q86=0,MAX(ABS(P83),ABS(Q83)),Q86),MAX(ABS(P86),ABS(Q86))))</f>
        <v>0</v>
      </c>
      <c r="Q87" s="674"/>
      <c r="S87" s="672">
        <f>IF(T79="",0,IF(S86=0,IF(T86=0,MAX(ABS(S83),ABS(T83)),T86),MAX(ABS(S86),ABS(T86))))</f>
        <v>0</v>
      </c>
      <c r="T87" s="674"/>
      <c r="U87" s="265"/>
      <c r="V87" s="672">
        <f>IF(W79="",0,IF(V86=0,IF(W86=0,MAX(ABS(V83),ABS(W83)),W86),MAX(ABS(V86),ABS(W86))))</f>
        <v>0</v>
      </c>
      <c r="W87" s="674"/>
      <c r="Y87" s="672">
        <f>IF(Z79="",0,IF(Y86=0,IF(Z86=0,MAX(ABS(Y83),ABS(Z83)),Z86),MAX(ABS(Y86),ABS(Z86))))</f>
        <v>0</v>
      </c>
      <c r="Z87" s="674"/>
      <c r="AA87" s="37"/>
      <c r="AB87" s="38"/>
      <c r="AC87" s="39"/>
      <c r="AD87" s="321" t="str">
        <f>+IF(AJ80="","",AJ80)</f>
        <v/>
      </c>
      <c r="AE87" s="324" t="str">
        <f>IF(Q80="","",IF($K$2="X - X",VLOOKUP(Q80,Espesor!$C$8:$E$41,2,0),VLOOKUP(Q80,Espesor!$C$8:$E$41,3,0)))</f>
        <v/>
      </c>
      <c r="AF87" s="319" t="str">
        <f>IF(AD87="","",IF(LOOKUP(AD87,Espesor!$C$8:$C$41,Espesor!$K$8:$K$41)="en voladizo","",IF(AD88="",0.75/AE87,1/AE87)))</f>
        <v/>
      </c>
      <c r="AG87" s="634"/>
      <c r="AH87" s="634" t="str">
        <f>IF(AF87="","",IF(AF88="","",ROUND(AF87/(AF87+AF88),3)))</f>
        <v/>
      </c>
      <c r="AI87" s="634"/>
      <c r="AJ87" s="634" t="str">
        <f>IF(AF87="","",IF(AF88="","",ROUND(AF88/(AF87+AF88),3)))</f>
        <v/>
      </c>
      <c r="AK87" s="317">
        <f>IF(G55="",0,IF($K$2="X - X",VLOOKUP(G55,'Moms de Empt'!$P$3:$T$36,3,0),VLOOKUP(G55,'Moms de Empt'!$P$3:$T$36,5,0)))</f>
        <v>0</v>
      </c>
      <c r="AL87" s="317">
        <f t="shared" si="115"/>
        <v>0</v>
      </c>
      <c r="AM87" s="629"/>
      <c r="AN87" s="629">
        <f>IF(AD88="",0,IF(LOOKUP(AD88,Espesor!$C$8:$C$41,Espesor!$K$8:$K$41)="en voladizo",MAX(ABS(AL87),ABS(AK88)),-(AK88+AL87)))</f>
        <v>0</v>
      </c>
      <c r="AO87" s="630"/>
      <c r="AP87" s="630" t="str">
        <f t="shared" ref="AP87" si="121">IF(AH87="","",AN87*AH87)</f>
        <v/>
      </c>
      <c r="AQ87" s="630"/>
      <c r="AR87" s="630" t="str">
        <f t="shared" ref="AR87" si="122">IF(AJ87="","",AN87*AJ87)</f>
        <v/>
      </c>
      <c r="AS87" s="632"/>
      <c r="AT87" s="631">
        <f t="shared" ref="AT87" si="123">-IF(AN87="","",IF(AL87="",IF(AP87="",0,AP87),IF(AP87="",AL87,AL87+AP87)))</f>
        <v>0</v>
      </c>
      <c r="AU87" s="341">
        <f>+AT87</f>
        <v>0</v>
      </c>
      <c r="AV87" s="332" t="str">
        <f>IF(Q80="","",IF(L55="X - X",VLOOKUP(Q80,'Moms de Empt'!$P$3:$T$36,2,0),VLOOKUP(Q80,'Moms de Empt'!$P$3:$T$36,4,0)))</f>
        <v/>
      </c>
      <c r="AW87" s="635"/>
      <c r="AX87" s="633" t="str">
        <f>IF(AV87="","",IF(AV88="","",ROUND(AV87/(AV87+AV88),3)))</f>
        <v/>
      </c>
      <c r="AY87" s="635"/>
      <c r="AZ87" s="633" t="str">
        <f>IF(AV87="","",IF(AV88="","",ROUND(AV88/(AV87+AV88),3)))</f>
        <v/>
      </c>
      <c r="BA87" s="331" t="str">
        <f t="shared" si="114"/>
        <v/>
      </c>
      <c r="BB87" s="32"/>
      <c r="BC87" s="401"/>
      <c r="BD87" s="398"/>
      <c r="BE87" s="391"/>
      <c r="BF87" s="393"/>
      <c r="BG87" s="393"/>
      <c r="BH87" s="393"/>
      <c r="BI87" s="393"/>
      <c r="BJ87" s="393"/>
      <c r="BK87" s="393"/>
      <c r="BL87" s="393"/>
      <c r="BM87" s="393"/>
      <c r="BN87" s="395"/>
      <c r="BO87" s="395"/>
      <c r="BP87" s="395"/>
      <c r="BQ87" s="395"/>
      <c r="BR87" s="395"/>
      <c r="BS87" s="395"/>
      <c r="BT87" s="395"/>
      <c r="BU87" s="395"/>
      <c r="BV87" s="395"/>
      <c r="BW87" s="395"/>
      <c r="BX87" s="395"/>
      <c r="BY87" s="395"/>
      <c r="BZ87" s="395"/>
      <c r="CA87" s="395"/>
      <c r="CB87" s="395"/>
      <c r="CC87" s="395"/>
      <c r="CD87" s="395"/>
      <c r="CE87" s="395"/>
      <c r="CF87" s="395"/>
      <c r="CG87" s="395"/>
      <c r="CH87" s="395"/>
      <c r="CI87" s="395"/>
      <c r="CJ87" s="395"/>
      <c r="CK87" s="395"/>
      <c r="CL87" s="395"/>
      <c r="CM87" s="474"/>
      <c r="CN87" s="30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</row>
    <row r="88" spans="1:110" s="36" customFormat="1" ht="21.75" customHeight="1" thickBot="1">
      <c r="B88" s="274"/>
      <c r="D88" s="690">
        <f>IF(D87="","",D87*100000)</f>
        <v>0</v>
      </c>
      <c r="E88" s="690"/>
      <c r="G88" s="690">
        <f>IF(G87="","",G87*100000)</f>
        <v>0</v>
      </c>
      <c r="H88" s="690"/>
      <c r="I88" s="388"/>
      <c r="J88" s="690">
        <f>IF(J87="","",J87*100000)</f>
        <v>0</v>
      </c>
      <c r="K88" s="690"/>
      <c r="L88" s="388"/>
      <c r="M88" s="690">
        <f>IF(M87="","",M87*100000)</f>
        <v>0</v>
      </c>
      <c r="N88" s="690"/>
      <c r="O88" s="388"/>
      <c r="P88" s="690">
        <f>IF(P87="","",P87*100000)</f>
        <v>0</v>
      </c>
      <c r="Q88" s="690"/>
      <c r="R88" s="388"/>
      <c r="S88" s="690">
        <f>IF(S87="","",S87*100000)</f>
        <v>0</v>
      </c>
      <c r="T88" s="690"/>
      <c r="U88" s="387"/>
      <c r="V88" s="690">
        <f>IF(V87="","",V87*100000)</f>
        <v>0</v>
      </c>
      <c r="W88" s="690"/>
      <c r="X88" s="388"/>
      <c r="Y88" s="690">
        <f>IF(Y87="","",Y87*100000)</f>
        <v>0</v>
      </c>
      <c r="Z88" s="690"/>
      <c r="AA88" s="37"/>
      <c r="AB88" s="275"/>
      <c r="AC88" s="39"/>
      <c r="AD88" s="321" t="str">
        <f>+IF(AK80="","",AK80)</f>
        <v/>
      </c>
      <c r="AE88" s="324" t="str">
        <f>IF(T80="","",IF($K$2="X - X",VLOOKUP(T80,Espesor!$C$8:$E$41,2,0),VLOOKUP(T80,Espesor!$C$8:$E$41,3,0)))</f>
        <v/>
      </c>
      <c r="AF88" s="319" t="str">
        <f>IF(AD88="","",IF(LOOKUP(AD88,Espesor!$C$8:$C$41,Espesor!$K$8:$K$41)="en voladizo","",IF(AD89="",0.75/AE88,1/AE88)))</f>
        <v/>
      </c>
      <c r="AG88" s="634" t="str">
        <f>IF(AF88="","",IF(AF89="","",ROUND(AF88/(AF88+AF89),3)))</f>
        <v/>
      </c>
      <c r="AH88" s="634"/>
      <c r="AI88" s="634" t="str">
        <f>IF(AF89="","",IF(AF88="","",ROUND(AF89/(AF89+AF88),3)))</f>
        <v/>
      </c>
      <c r="AJ88" s="634"/>
      <c r="AK88" s="317">
        <f>IF(H55="",0,IF($K$2="X - X",VLOOKUP(H55,'Moms de Empt'!$P$3:$T$36,3,0),VLOOKUP(H55,'Moms de Empt'!$P$3:$T$36,5,0)))</f>
        <v>0</v>
      </c>
      <c r="AL88" s="317">
        <f>+IF(AD89="",0,-AK88)</f>
        <v>0</v>
      </c>
      <c r="AM88" s="629">
        <f>IF(AD89="",0,IF(LOOKUP(AD89,Espesor!$C$8:$C$41,Espesor!$K$8:$K$41)="en voladizo",MAX(ABS(AL88),ABS(AK89)),-(AK89+AL88)))</f>
        <v>0</v>
      </c>
      <c r="AN88" s="629"/>
      <c r="AO88" s="630" t="str">
        <f>IF(AG88="","",AM88*AG88)</f>
        <v/>
      </c>
      <c r="AP88" s="630"/>
      <c r="AQ88" s="630" t="str">
        <f t="shared" ref="AQ88" si="124">IF(AI88="","",AM88*AI88)</f>
        <v/>
      </c>
      <c r="AR88" s="630"/>
      <c r="AS88" s="631">
        <f>-IF(AM88="","",IF(AL88="",IF(AO88="",0,AO88),IF(AO88="",AL88,AL88+AO88)))</f>
        <v>0</v>
      </c>
      <c r="AT88" s="632"/>
      <c r="AU88" s="341">
        <f>+AS88</f>
        <v>0</v>
      </c>
      <c r="AV88" s="332" t="str">
        <f>IF(T80="","",IF(L55="X - X",VLOOKUP(T80,'Moms de Empt'!$P$3:$T$36,2,0),VLOOKUP(T80,'Moms de Empt'!$P$3:$T$36,4,0)))</f>
        <v/>
      </c>
      <c r="AW88" s="635" t="str">
        <f>IF(AV88="","",IF(AV89="","",ROUND(AV88/(AV88+AV89),3)))</f>
        <v/>
      </c>
      <c r="AX88" s="633"/>
      <c r="AY88" s="635" t="str">
        <f>IF(AV89="","",IF(AV88="","",ROUND(AV89/(AV89+AV88),3)))</f>
        <v/>
      </c>
      <c r="AZ88" s="633"/>
      <c r="BA88" s="331" t="str">
        <f t="shared" si="114"/>
        <v/>
      </c>
      <c r="BC88" s="401"/>
      <c r="BD88" s="398"/>
      <c r="BE88" s="391"/>
      <c r="BF88" s="393"/>
      <c r="BG88" s="393"/>
      <c r="BH88" s="393"/>
      <c r="BI88" s="393"/>
      <c r="BJ88" s="393"/>
      <c r="BK88" s="393"/>
      <c r="BL88" s="393"/>
      <c r="BM88" s="393"/>
      <c r="BN88" s="396"/>
      <c r="BO88" s="396"/>
      <c r="BP88" s="396"/>
      <c r="BQ88" s="396"/>
      <c r="BR88" s="396"/>
      <c r="BS88" s="396"/>
      <c r="BT88" s="396"/>
      <c r="BU88" s="396"/>
      <c r="BV88" s="396"/>
      <c r="BW88" s="396"/>
      <c r="BX88" s="396"/>
      <c r="BY88" s="396"/>
      <c r="BZ88" s="396"/>
      <c r="CA88" s="396"/>
      <c r="CB88" s="396"/>
      <c r="CC88" s="396"/>
      <c r="CD88" s="396"/>
      <c r="CE88" s="396"/>
      <c r="CF88" s="396"/>
      <c r="CG88" s="396"/>
      <c r="CH88" s="396"/>
      <c r="CI88" s="396"/>
      <c r="CJ88" s="396"/>
      <c r="CK88" s="396"/>
      <c r="CL88" s="396"/>
      <c r="CM88" s="430"/>
      <c r="CN88" s="32"/>
    </row>
    <row r="89" spans="1:110" s="210" customFormat="1" ht="21.75" customHeight="1" thickBot="1">
      <c r="A89" s="257" t="s">
        <v>127</v>
      </c>
      <c r="B89" s="675" t="str">
        <f>IF(B79="","",IF(K5="X - X",VLOOKUP(B79,'Moms de Empt'!$P$3:$T$36,2,0),VLOOKUP(B79,'Moms de Empt'!$P$3:$T$36,4,0)))</f>
        <v/>
      </c>
      <c r="C89" s="676"/>
      <c r="D89" s="677"/>
      <c r="E89" s="675" t="str">
        <f>IF(E79="","",IF(K5="X - X",VLOOKUP(E79,'Moms de Empt'!$P$3:$T$36,2,0),VLOOKUP(E79,'Moms de Empt'!$P$3:$T$36,4,0)))</f>
        <v/>
      </c>
      <c r="F89" s="676"/>
      <c r="G89" s="677"/>
      <c r="H89" s="675" t="str">
        <f>IF(H79="","",IF(K5="X - X",VLOOKUP(H79,'Moms de Empt'!$P$3:$T$36,2,0),VLOOKUP(H79,'Moms de Empt'!$P$3:$T$36,4,0)))</f>
        <v/>
      </c>
      <c r="I89" s="676"/>
      <c r="J89" s="677"/>
      <c r="K89" s="675" t="str">
        <f>IF(K79="","",IF(K5="X - X",VLOOKUP(K79,'Moms de Empt'!$P$3:$T$36,2,0),VLOOKUP(K79,'Moms de Empt'!$P$3:$T$36,4,0)))</f>
        <v/>
      </c>
      <c r="L89" s="676"/>
      <c r="M89" s="677"/>
      <c r="N89" s="675" t="str">
        <f>IF(N79="","",IF(K5="X - X",VLOOKUP(N79,'Moms de Empt'!$P$3:$T$36,2,0),VLOOKUP(N79,'Moms de Empt'!$P$3:$T$36,4,0)))</f>
        <v/>
      </c>
      <c r="O89" s="676"/>
      <c r="P89" s="677"/>
      <c r="Q89" s="675" t="str">
        <f>IF(Q79="","",IF(K5="X - X",VLOOKUP(Q79,'Moms de Empt'!$P$3:$T$36,2,0),VLOOKUP(Q79,'Moms de Empt'!$P$3:$T$36,4,0)))</f>
        <v/>
      </c>
      <c r="R89" s="676"/>
      <c r="S89" s="677"/>
      <c r="T89" s="675" t="str">
        <f>IF(T79="","",IF(K5="X - X",VLOOKUP(T79,'Moms de Empt'!$P$3:$T$36,2,0),VLOOKUP(T79,'Moms de Empt'!$P$3:$T$36,4,0)))</f>
        <v/>
      </c>
      <c r="U89" s="676"/>
      <c r="V89" s="677"/>
      <c r="W89" s="675" t="str">
        <f>IF(W79="","",IF(K5="X - X",VLOOKUP(W79,'Moms de Empt'!$P$3:$T$36,2,0),VLOOKUP(W79,'Moms de Empt'!$P$3:$T$36,4,0)))</f>
        <v/>
      </c>
      <c r="X89" s="676"/>
      <c r="Y89" s="677"/>
      <c r="Z89" s="675" t="str">
        <f>IF(Z79="","",IF(K5="X - X",VLOOKUP(Z79,'Moms de Empt'!$P$3:$T$36,2,0),VLOOKUP(Z79,'Moms de Empt'!$P$3:$T$36,4,0)))</f>
        <v/>
      </c>
      <c r="AA89" s="676"/>
      <c r="AB89" s="677"/>
      <c r="AC89" s="40"/>
      <c r="AD89" s="321" t="str">
        <f>+IF(AL80="","",AL80)</f>
        <v/>
      </c>
      <c r="AE89" s="324" t="str">
        <f>IF(W80="","",IF($K$2="X - X",VLOOKUP(W80,Espesor!$C$8:$E$41,2,0),VLOOKUP(W80,Espesor!$C$8:$E$41,3,0)))</f>
        <v/>
      </c>
      <c r="AF89" s="319" t="str">
        <f>IF(AD89="","",IF(LOOKUP(AD89,Espesor!$C$8:$C$41,Espesor!$K$8:$K$41)="en voladizo","",IF(AD90="",0.75/AE89,1/AE89)))</f>
        <v/>
      </c>
      <c r="AG89" s="634"/>
      <c r="AH89" s="634" t="str">
        <f>IF(AF89="","",IF(AF90="","",ROUND(AF89/(AF89+AF90),3)))</f>
        <v/>
      </c>
      <c r="AI89" s="634"/>
      <c r="AJ89" s="634" t="str">
        <f>IF(AF89="","",IF(AF90="","",ROUND(AF90/(AF89+AF90),3)))</f>
        <v/>
      </c>
      <c r="AK89" s="317">
        <f>IF(I55="",0,IF($K$2="X - X",VLOOKUP(I55,'Moms de Empt'!$P$3:$T$36,3,0),VLOOKUP(I55,'Moms de Empt'!$P$3:$T$36,5,0)))</f>
        <v>0</v>
      </c>
      <c r="AL89" s="317">
        <f t="shared" ref="AL89:AL90" si="125">+IF(AD90="",0,-AK89)</f>
        <v>0</v>
      </c>
      <c r="AM89" s="629"/>
      <c r="AN89" s="629">
        <f>IF(AD90="",0,IF(LOOKUP(AD90,Espesor!$C$8:$C$41,Espesor!$K$8:$K$41)="en voladizo",MAX(ABS(AL89),ABS(AK90)),-(AK90+AL89)))</f>
        <v>0</v>
      </c>
      <c r="AO89" s="630"/>
      <c r="AP89" s="630" t="str">
        <f t="shared" ref="AP89" si="126">IF(AH89="","",AN89*AH89)</f>
        <v/>
      </c>
      <c r="AQ89" s="630"/>
      <c r="AR89" s="630" t="str">
        <f t="shared" ref="AR89" si="127">IF(AJ89="","",AN89*AJ89)</f>
        <v/>
      </c>
      <c r="AS89" s="632"/>
      <c r="AT89" s="631">
        <f t="shared" ref="AT89" si="128">-IF(AN89="","",IF(AL89="",IF(AP89="",0,AP89),IF(AP89="",AL89,AL89+AP89)))</f>
        <v>0</v>
      </c>
      <c r="AU89" s="341">
        <f>+AT89</f>
        <v>0</v>
      </c>
      <c r="AV89" s="332" t="str">
        <f>IF(W80="","",IF(L55="X - X",VLOOKUP(W80,'Moms de Empt'!$P$3:$T$36,2,0),VLOOKUP(W80,'Moms de Empt'!$P$3:$T$36,4,0)))</f>
        <v/>
      </c>
      <c r="AW89" s="635"/>
      <c r="AX89" s="633" t="str">
        <f>IF(AV89="","",IF(AV90="","",ROUND(AV89/(AV89+AV90),3)))</f>
        <v/>
      </c>
      <c r="AY89" s="635"/>
      <c r="AZ89" s="633" t="str">
        <f>IF(AV89="","",IF(AV90="","",ROUND(AV90/(AV89+AV90),3)))</f>
        <v/>
      </c>
      <c r="BA89" s="331" t="str">
        <f t="shared" si="114"/>
        <v/>
      </c>
      <c r="BB89" s="36"/>
      <c r="BC89" s="401"/>
      <c r="BD89" s="398"/>
      <c r="BE89" s="391"/>
      <c r="BF89" s="278"/>
      <c r="BG89" s="278"/>
      <c r="BH89" s="278"/>
      <c r="BI89" s="278"/>
      <c r="BJ89" s="278"/>
      <c r="BK89" s="278"/>
      <c r="BL89" s="278"/>
      <c r="BM89" s="278"/>
      <c r="BN89" s="397"/>
      <c r="BO89" s="397"/>
      <c r="BP89" s="397"/>
      <c r="BQ89" s="397"/>
      <c r="BR89" s="397"/>
      <c r="BS89" s="397"/>
      <c r="BT89" s="397"/>
      <c r="BU89" s="397"/>
      <c r="BV89" s="397"/>
      <c r="BW89" s="397"/>
      <c r="BX89" s="397"/>
      <c r="BY89" s="397"/>
      <c r="BZ89" s="397"/>
      <c r="CA89" s="397"/>
      <c r="CB89" s="397"/>
      <c r="CC89" s="397"/>
      <c r="CD89" s="397"/>
      <c r="CE89" s="397"/>
      <c r="CF89" s="397"/>
      <c r="CG89" s="397"/>
      <c r="CH89" s="397"/>
      <c r="CI89" s="397"/>
      <c r="CJ89" s="397"/>
      <c r="CK89" s="397"/>
      <c r="CL89" s="397"/>
      <c r="CM89" s="430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</row>
    <row r="90" spans="1:110" ht="21.75" customHeight="1" thickBot="1">
      <c r="A90" s="258"/>
      <c r="B90" s="209"/>
      <c r="C90" s="209"/>
      <c r="D90" s="209" t="str">
        <f>IF(B81="","",IF(D83="","",IF(ABS(D87)&gt;ABS(D83),-0.5*ABS(D85),0.5*ABS(D85))))</f>
        <v/>
      </c>
      <c r="E90" s="209" t="str">
        <f>IF(E81="","",IF(E83="","",IF(ABS(D87)&gt;ABS(E83),-0.5*ABS(E85),0.5*ABS(E85))))</f>
        <v/>
      </c>
      <c r="F90" s="209"/>
      <c r="G90" s="209" t="str">
        <f>IF(E81="","",IF(G83="","",IF(ABS(G87)&gt;ABS(G83),-0.5*ABS(G85),0.5*ABS(G85))))</f>
        <v/>
      </c>
      <c r="H90" s="209" t="str">
        <f>IF(H81="","",IF(H83="","",IF(ABS(G87)&gt;ABS(H83),-0.5*ABS(H85),0.5*ABS(H85))))</f>
        <v/>
      </c>
      <c r="I90" s="209"/>
      <c r="J90" s="209" t="str">
        <f>IF(H81="","",IF(J83="","",IF(ABS(J87)&gt;ABS(J83),-0.5*ABS(J85),0.5*ABS(J85))))</f>
        <v/>
      </c>
      <c r="K90" s="209" t="str">
        <f>IF(K81="","",IF(K83="","",IF(ABS(J87)&gt;ABS(K83),-0.5*ABS(K85),0.5*ABS(K85))))</f>
        <v/>
      </c>
      <c r="L90" s="209"/>
      <c r="M90" s="209" t="str">
        <f>IF(K81="","",IF(M83="","",IF(ABS(M87)&gt;ABS(M83),-0.5*ABS(M85),0.5*ABS(M85))))</f>
        <v/>
      </c>
      <c r="N90" s="209" t="str">
        <f>IF(N81="","",IF(N83="","",IF(ABS(M87)&gt;ABS(N83),-0.5*ABS(N85),0.5*ABS(N85))))</f>
        <v/>
      </c>
      <c r="O90" s="209"/>
      <c r="P90" s="209" t="str">
        <f>IF(N81="","",IF(P83="","",IF(ABS(P87)&gt;ABS(P83),-0.5*ABS(P85),0.5*ABS(P85))))</f>
        <v/>
      </c>
      <c r="Q90" s="209" t="str">
        <f>IF(Q81="","",IF(Q83="","",IF(ABS(P87)&gt;ABS(Q83),-0.5*ABS(Q85),0.5*ABS(Q85))))</f>
        <v/>
      </c>
      <c r="R90" s="209"/>
      <c r="S90" s="209" t="str">
        <f>IF(Q81="","",IF(S83="","",IF(ABS(S87)&gt;ABS(S83),-0.5*ABS(S85),0.5*ABS(S85))))</f>
        <v/>
      </c>
      <c r="T90" s="209" t="str">
        <f>IF(T81="","",IF(T83="","",IF(ABS(S87)&gt;ABS(T83),-0.5*ABS(T85),0.5*ABS(T85))))</f>
        <v/>
      </c>
      <c r="U90" s="209"/>
      <c r="V90" s="209" t="str">
        <f>IF(T81="","",IF(V83="","",IF(ABS(V87)&gt;ABS(V83),-0.5*ABS(V85),0.5*ABS(V85))))</f>
        <v/>
      </c>
      <c r="W90" s="209" t="str">
        <f>IF(W81="","",IF(W83="","",IF(ABS(V87)&gt;ABS(W83),-0.5*ABS(W85),0.5*ABS(W85))))</f>
        <v/>
      </c>
      <c r="X90" s="209"/>
      <c r="Y90" s="209" t="str">
        <f>IF(W81="","",IF(Y83="","",IF(ABS(Y87)&gt;ABS(Y83),-0.5*ABS(Y85),0.5*ABS(Y85))))</f>
        <v/>
      </c>
      <c r="Z90" s="209" t="str">
        <f>IF(Z81="","",IF(Z83="","",IF(ABS(Y87)&gt;ABS(Z83),-0.5*ABS(Z85),0.5*ABS(Z85))))</f>
        <v/>
      </c>
      <c r="AA90" s="209"/>
      <c r="AB90" s="209" t="str">
        <f>IF(Z81="","",IF(AB83="","",IF(AB87&gt;-AB83,IF(AB85&lt;0,0.5*AB85,-0.5*AB85),0.5*AB85)))</f>
        <v/>
      </c>
      <c r="AD90" s="321" t="str">
        <f>+IF(AM80="","",AM80)</f>
        <v/>
      </c>
      <c r="AE90" s="324" t="str">
        <f>IF(Z80="","",IF($K$2="X - X",VLOOKUP(Z80,Espesor!$C$8:$E$41,2,0),VLOOKUP(Z80,Espesor!$C$8:$E$41,3,0)))</f>
        <v/>
      </c>
      <c r="AF90" s="319" t="str">
        <f>IF(AD90="","",IF(LOOKUP(AD90,Espesor!$C$8:$C$41,Espesor!$K$8:$K$41)="en voladizo","",IF(AD91="",0.75/AE90,1/AE90)))</f>
        <v/>
      </c>
      <c r="AG90" s="344" t="str">
        <f>IF(AF90="","",IF(AK64="","",ROUND(AF90/(AF90+AK64),3)))</f>
        <v/>
      </c>
      <c r="AH90" s="634"/>
      <c r="AI90" s="344" t="str">
        <f>IF(AK64="","",IF(AF90="","",ROUND(AK64/(AK64+AF90),3)))</f>
        <v/>
      </c>
      <c r="AJ90" s="634"/>
      <c r="AK90" s="317">
        <f>IF(J55="",0,IF($K$2="X - X",VLOOKUP(J55,'Moms de Empt'!$P$3:$T$36,3,0),VLOOKUP(J55,'Moms de Empt'!$P$3:$T$36,5,0)))</f>
        <v>0</v>
      </c>
      <c r="AL90" s="317">
        <f t="shared" si="125"/>
        <v>0</v>
      </c>
      <c r="AM90" s="307" t="str">
        <f>IF(AI64="","",IF(LOOKUP(AI64,[6]Espesor!$C$8:$C$41,[6]Espesor!$K$8:$K$41)="en voladizo",MAX(ABS(AL90),ABS(AQ64)),-(AQ64-AL90)))</f>
        <v/>
      </c>
      <c r="AN90" s="629"/>
      <c r="AO90" s="340" t="str">
        <f t="shared" ref="AO90" si="129">IF(AG90="","",AM90*AG90)</f>
        <v/>
      </c>
      <c r="AP90" s="630"/>
      <c r="AQ90" s="315" t="str">
        <f t="shared" ref="AQ90" si="130">IF(AI90="","",AM90*AI90)</f>
        <v/>
      </c>
      <c r="AR90" s="630"/>
      <c r="AS90" s="312" t="str">
        <f t="shared" ref="AS90" si="131">IF(AM90="","",IF(AL90="",IF(AO90="",0,AO90),IF(AO90="",AL90,AL90+AO90)))</f>
        <v/>
      </c>
      <c r="AT90" s="632"/>
      <c r="AU90" s="341"/>
      <c r="AV90" s="333" t="str">
        <f>IF(Z80="","",IF(L55="X - X",VLOOKUP(Z80,'Moms de Empt'!$P$3:$T$36,2,0),VLOOKUP(Z80,'Moms de Empt'!$P$3:$T$36,4,0)))</f>
        <v/>
      </c>
      <c r="AW90" s="337" t="str">
        <f>IF(AV90="","",IF(BA64="","",ROUND(AV90/(AV90+BA64),3)))</f>
        <v/>
      </c>
      <c r="AX90" s="633"/>
      <c r="AY90" s="337" t="e">
        <f>IF(BA64="","",IF(AV90="","",ROUND(BA64/(BA64+AV90),3)))</f>
        <v>#N/A</v>
      </c>
      <c r="AZ90" s="633"/>
      <c r="BA90" s="331"/>
      <c r="BB90" s="210"/>
      <c r="BC90" s="401"/>
      <c r="BD90" s="398"/>
      <c r="BE90" s="391"/>
      <c r="BN90" s="397"/>
      <c r="BO90" s="397"/>
      <c r="BP90" s="397"/>
      <c r="BQ90" s="397"/>
      <c r="BR90" s="397"/>
      <c r="BS90" s="397"/>
      <c r="BT90" s="397"/>
      <c r="BU90" s="397"/>
      <c r="BV90" s="397"/>
      <c r="BW90" s="397"/>
      <c r="BX90" s="397"/>
      <c r="BY90" s="397"/>
      <c r="BZ90" s="397"/>
      <c r="CA90" s="397"/>
      <c r="CB90" s="397"/>
      <c r="CC90" s="397"/>
      <c r="CD90" s="397"/>
      <c r="CE90" s="397"/>
      <c r="CF90" s="397"/>
      <c r="CG90" s="397"/>
      <c r="CH90" s="397"/>
      <c r="CI90" s="397"/>
      <c r="CJ90" s="397"/>
      <c r="CK90" s="397"/>
      <c r="CL90" s="397"/>
      <c r="CM90" s="477"/>
      <c r="CN90" s="36"/>
      <c r="CO90" s="210"/>
      <c r="CP90" s="210"/>
      <c r="CQ90" s="210"/>
      <c r="CR90" s="210"/>
      <c r="CS90" s="210"/>
      <c r="CT90" s="210"/>
      <c r="CU90" s="210"/>
      <c r="CV90" s="210"/>
      <c r="CW90" s="210"/>
      <c r="CX90" s="210"/>
      <c r="CY90" s="210"/>
      <c r="CZ90" s="210"/>
      <c r="DA90" s="210"/>
      <c r="DB90" s="210"/>
      <c r="DC90" s="210"/>
      <c r="DD90" s="210"/>
      <c r="DE90" s="210"/>
      <c r="DF90" s="210"/>
    </row>
    <row r="91" spans="1:110" s="260" customFormat="1" ht="21.75" customHeight="1" thickBot="1">
      <c r="A91" s="259" t="s">
        <v>128</v>
      </c>
      <c r="B91" s="672" t="str">
        <f>IF(B90="",IF(D90="",B89,B89+D90),IF(D90="",B89+B90,B89+B90+D90))</f>
        <v/>
      </c>
      <c r="C91" s="673"/>
      <c r="D91" s="674"/>
      <c r="E91" s="672" t="str">
        <f>IF(E90="",IF(G90="",E89,E89+G90),IF(G90="",E89+E90,E89+E90+G90))</f>
        <v/>
      </c>
      <c r="F91" s="673"/>
      <c r="G91" s="674"/>
      <c r="H91" s="672" t="str">
        <f>IF(H90="",IF(J90="",H89,H89+J90),IF(J90="",H89+H90,H89+H90+J90))</f>
        <v/>
      </c>
      <c r="I91" s="673"/>
      <c r="J91" s="674"/>
      <c r="K91" s="672" t="str">
        <f>IF(K90="",IF(M90="",K89,K89+M90),IF(M90="",K89+K90,K89+K90+M90))</f>
        <v/>
      </c>
      <c r="L91" s="673"/>
      <c r="M91" s="674"/>
      <c r="N91" s="672" t="str">
        <f>IF(N90="",IF(P90="",N89,N89+P90),IF(P90="",N89+N90,N89+N90+P90))</f>
        <v/>
      </c>
      <c r="O91" s="673"/>
      <c r="P91" s="674"/>
      <c r="Q91" s="672" t="str">
        <f>IF(Q90="",IF(S90="",Q89,Q89+S90),IF(S90="",Q89+Q90,Q89+Q90+S90))</f>
        <v/>
      </c>
      <c r="R91" s="673"/>
      <c r="S91" s="674"/>
      <c r="T91" s="672" t="str">
        <f>IF(T90="",IF(V90="",T89,T89+V90),IF(V90="",T89+T90,T89+T90+V90))</f>
        <v/>
      </c>
      <c r="U91" s="673"/>
      <c r="V91" s="674"/>
      <c r="W91" s="672" t="str">
        <f>IF(W90="",IF(Y90="",W89,W89+Y90),IF(Y90="",W89+W90,W89+W90+Y90))</f>
        <v/>
      </c>
      <c r="X91" s="673"/>
      <c r="Y91" s="674"/>
      <c r="Z91" s="672" t="str">
        <f>IF(Z90="",IF(AB90="",Z89,Z89+AB90),IF(AB90="",Z89+Z90,Z89+Z90+AB90))</f>
        <v/>
      </c>
      <c r="AA91" s="673"/>
      <c r="AB91" s="674"/>
      <c r="AC91" s="39"/>
      <c r="AD91" s="39"/>
      <c r="AF91" s="39"/>
      <c r="AG91" s="39"/>
      <c r="AH91" s="39"/>
      <c r="AK91" s="39"/>
      <c r="AL91" s="39"/>
      <c r="AO91" s="39"/>
      <c r="AP91" s="39"/>
      <c r="AQ91" s="39"/>
      <c r="AR91" s="39"/>
      <c r="BB91" s="27"/>
      <c r="BC91" s="401"/>
      <c r="BD91" s="398"/>
      <c r="BE91" s="391"/>
      <c r="BF91" s="395"/>
      <c r="BG91" s="395"/>
      <c r="BH91" s="395"/>
      <c r="BI91" s="395"/>
      <c r="BJ91" s="395"/>
      <c r="BK91" s="395"/>
      <c r="BL91" s="395"/>
      <c r="BM91" s="395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431"/>
      <c r="CN91" s="210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</row>
    <row r="92" spans="1:110" ht="21.75" customHeight="1">
      <c r="A92" s="636"/>
      <c r="B92" s="636"/>
      <c r="C92" s="636"/>
      <c r="D92" s="636"/>
      <c r="E92" s="636"/>
      <c r="F92" s="636"/>
      <c r="G92" s="636"/>
      <c r="H92" s="636"/>
      <c r="I92" s="636"/>
      <c r="J92" s="636"/>
      <c r="BB92" s="260"/>
      <c r="BC92" s="401"/>
      <c r="BD92" s="398"/>
      <c r="BE92" s="391"/>
      <c r="BN92" s="243"/>
      <c r="BO92" s="243"/>
      <c r="BP92" s="243"/>
      <c r="BQ92" s="243"/>
      <c r="BR92" s="243"/>
      <c r="BS92" s="243"/>
      <c r="BT92" s="243"/>
      <c r="BU92" s="243"/>
      <c r="BV92" s="243"/>
      <c r="BW92" s="243"/>
      <c r="BX92" s="243"/>
      <c r="BY92" s="243"/>
      <c r="BZ92" s="243"/>
      <c r="CA92" s="243"/>
      <c r="CB92" s="243"/>
      <c r="CC92" s="243"/>
      <c r="CD92" s="243"/>
      <c r="CE92" s="243"/>
      <c r="CF92" s="243"/>
      <c r="CG92" s="243"/>
      <c r="CH92" s="243"/>
      <c r="CI92" s="243"/>
      <c r="CJ92" s="243"/>
      <c r="CK92" s="243"/>
      <c r="CL92" s="243"/>
      <c r="CM92" s="478"/>
      <c r="CO92" s="260"/>
      <c r="CP92" s="260"/>
      <c r="CQ92" s="260"/>
      <c r="CR92" s="260"/>
      <c r="CS92" s="260"/>
      <c r="CT92" s="260"/>
      <c r="CU92" s="260"/>
      <c r="CV92" s="260"/>
      <c r="CW92" s="260"/>
      <c r="CX92" s="260"/>
      <c r="CY92" s="260"/>
      <c r="CZ92" s="260"/>
      <c r="DA92" s="260"/>
      <c r="DB92" s="260"/>
      <c r="DC92" s="260"/>
      <c r="DD92" s="260"/>
      <c r="DE92" s="260"/>
      <c r="DF92" s="260"/>
    </row>
    <row r="93" spans="1:110" ht="21.75" customHeight="1">
      <c r="A93" s="636"/>
      <c r="B93" s="636"/>
      <c r="C93" s="636"/>
      <c r="D93" s="636"/>
      <c r="E93" s="636"/>
      <c r="F93" s="636"/>
      <c r="G93" s="636"/>
      <c r="H93" s="636"/>
      <c r="I93" s="636"/>
      <c r="J93" s="636"/>
      <c r="BC93" s="401"/>
      <c r="BD93" s="398"/>
      <c r="BE93" s="391"/>
      <c r="BF93" s="397"/>
      <c r="BG93" s="397"/>
      <c r="BH93" s="397"/>
      <c r="BI93" s="397"/>
      <c r="BJ93" s="397"/>
      <c r="BK93" s="397"/>
      <c r="BL93" s="397"/>
      <c r="BM93" s="397"/>
      <c r="BN93" s="244"/>
      <c r="BO93" s="244"/>
      <c r="BP93" s="244"/>
      <c r="BQ93" s="244"/>
      <c r="BR93" s="244"/>
      <c r="BS93" s="244"/>
      <c r="BT93" s="244"/>
      <c r="BU93" s="244"/>
      <c r="BV93" s="244"/>
      <c r="BW93" s="244"/>
      <c r="BX93" s="244"/>
      <c r="BY93" s="244"/>
      <c r="BZ93" s="244"/>
      <c r="CA93" s="244"/>
      <c r="CB93" s="244"/>
      <c r="CC93" s="244"/>
      <c r="CD93" s="244"/>
      <c r="CE93" s="244"/>
      <c r="CF93" s="244"/>
      <c r="CG93" s="244"/>
      <c r="CH93" s="244"/>
      <c r="CI93" s="244"/>
      <c r="CJ93" s="244"/>
      <c r="CK93" s="244"/>
      <c r="CL93" s="244"/>
      <c r="CN93" s="260"/>
    </row>
    <row r="94" spans="1:110" s="263" customFormat="1" ht="21.75" customHeight="1" thickBot="1">
      <c r="A94" s="626">
        <f>+A6</f>
        <v>5</v>
      </c>
      <c r="B94" s="626"/>
      <c r="C94" s="626"/>
      <c r="D94" s="626"/>
      <c r="E94" s="626"/>
      <c r="F94" s="627"/>
      <c r="G94" s="627"/>
      <c r="H94" s="627"/>
      <c r="I94" s="627"/>
      <c r="J94" s="628" t="s">
        <v>134</v>
      </c>
      <c r="K94" s="628"/>
      <c r="L94" s="271" t="str">
        <f>+K6</f>
        <v>X - X</v>
      </c>
      <c r="M94" s="262"/>
      <c r="N94" s="404"/>
      <c r="O94" s="402"/>
      <c r="P94" s="262"/>
      <c r="BB94" s="27"/>
      <c r="BC94" s="401"/>
      <c r="BD94" s="398"/>
      <c r="BE94" s="391"/>
      <c r="BF94" s="397"/>
      <c r="BG94" s="397"/>
      <c r="BH94" s="397"/>
      <c r="BI94" s="397"/>
      <c r="BJ94" s="397"/>
      <c r="BK94" s="397"/>
      <c r="BL94" s="397"/>
      <c r="BM94" s="397"/>
      <c r="BN94" s="389"/>
      <c r="BO94" s="389"/>
      <c r="BP94" s="389"/>
      <c r="BQ94" s="389"/>
      <c r="BR94" s="389"/>
      <c r="BS94" s="389"/>
      <c r="BT94" s="389"/>
      <c r="BU94" s="389"/>
      <c r="BV94" s="389"/>
      <c r="BW94" s="389"/>
      <c r="BX94" s="389"/>
      <c r="BY94" s="389"/>
      <c r="BZ94" s="389"/>
      <c r="CA94" s="389"/>
      <c r="CB94" s="389"/>
      <c r="CC94" s="389"/>
      <c r="CD94" s="389"/>
      <c r="CE94" s="389"/>
      <c r="CF94" s="389"/>
      <c r="CG94" s="389"/>
      <c r="CH94" s="389"/>
      <c r="CI94" s="389"/>
      <c r="CJ94" s="389"/>
      <c r="CK94" s="389"/>
      <c r="CL94" s="389"/>
      <c r="CM94" s="431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</row>
    <row r="95" spans="1:110" s="263" customFormat="1" ht="21.75" customHeight="1" thickTop="1">
      <c r="A95" s="686" t="str">
        <f>+Espesor!$J$3</f>
        <v>Techo</v>
      </c>
      <c r="B95" s="686"/>
      <c r="C95" s="688" t="s">
        <v>136</v>
      </c>
      <c r="D95" s="688"/>
      <c r="E95" s="264" t="str">
        <f>IF(B6="","",B6)</f>
        <v/>
      </c>
      <c r="F95" s="264" t="str">
        <f t="shared" ref="F95:M95" si="132">IF(C6="","",C6)</f>
        <v/>
      </c>
      <c r="G95" s="264" t="str">
        <f t="shared" si="132"/>
        <v/>
      </c>
      <c r="H95" s="264" t="str">
        <f t="shared" si="132"/>
        <v/>
      </c>
      <c r="I95" s="264" t="str">
        <f t="shared" si="132"/>
        <v/>
      </c>
      <c r="J95" s="264" t="str">
        <f t="shared" si="132"/>
        <v/>
      </c>
      <c r="K95" s="264" t="str">
        <f t="shared" si="132"/>
        <v/>
      </c>
      <c r="L95" s="264" t="str">
        <f t="shared" si="132"/>
        <v/>
      </c>
      <c r="M95" s="264" t="str">
        <f t="shared" si="132"/>
        <v/>
      </c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BC95" s="401"/>
      <c r="BD95" s="398"/>
      <c r="BE95" s="391"/>
      <c r="BF95" s="28"/>
      <c r="BG95" s="28"/>
      <c r="BH95" s="28"/>
      <c r="BI95" s="28"/>
      <c r="BJ95" s="28"/>
      <c r="BK95" s="28"/>
      <c r="BL95" s="28"/>
      <c r="BM95" s="28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472"/>
      <c r="CN95" s="27"/>
    </row>
    <row r="96" spans="1:110" s="291" customFormat="1" ht="21.75" customHeight="1">
      <c r="A96" s="689"/>
      <c r="B96" s="689"/>
      <c r="C96" s="689"/>
      <c r="D96" s="689"/>
      <c r="E96" s="689"/>
      <c r="F96" s="689"/>
      <c r="G96" s="689"/>
      <c r="H96" s="689"/>
      <c r="I96" s="689"/>
      <c r="J96" s="689"/>
      <c r="K96" s="689"/>
      <c r="L96" s="689"/>
      <c r="M96" s="689"/>
      <c r="N96" s="689"/>
      <c r="O96" s="689"/>
      <c r="P96" s="689"/>
      <c r="Q96" s="689"/>
      <c r="R96" s="689"/>
      <c r="S96" s="689"/>
      <c r="T96" s="689"/>
      <c r="U96" s="689"/>
      <c r="V96" s="689"/>
      <c r="W96" s="689"/>
      <c r="X96" s="689"/>
      <c r="Y96" s="689"/>
      <c r="Z96" s="689"/>
      <c r="AA96" s="689"/>
      <c r="AB96" s="689"/>
      <c r="AD96" s="624" t="s">
        <v>64</v>
      </c>
      <c r="AE96" s="624"/>
      <c r="AF96" s="624"/>
      <c r="AG96" s="624"/>
      <c r="AH96" s="624"/>
      <c r="AI96" s="624"/>
      <c r="AJ96" s="624"/>
      <c r="AK96" s="624"/>
      <c r="AL96" s="624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63"/>
      <c r="BC96" s="401"/>
      <c r="BD96" s="398"/>
      <c r="BE96" s="391"/>
      <c r="BF96" s="243"/>
      <c r="BG96" s="243"/>
      <c r="BH96" s="243"/>
      <c r="BI96" s="243"/>
      <c r="BJ96" s="243"/>
      <c r="BK96" s="243"/>
      <c r="BL96" s="243"/>
      <c r="BM96" s="243"/>
      <c r="BN96" s="392"/>
      <c r="BO96" s="392"/>
      <c r="BP96" s="392"/>
      <c r="BQ96" s="392"/>
      <c r="BR96" s="392"/>
      <c r="BS96" s="392"/>
      <c r="BT96" s="392"/>
      <c r="BU96" s="392"/>
      <c r="BV96" s="392"/>
      <c r="BW96" s="392"/>
      <c r="BX96" s="392"/>
      <c r="BY96" s="392"/>
      <c r="BZ96" s="392"/>
      <c r="CA96" s="392"/>
      <c r="CB96" s="392"/>
      <c r="CC96" s="392"/>
      <c r="CD96" s="392"/>
      <c r="CE96" s="392"/>
      <c r="CF96" s="392"/>
      <c r="CG96" s="392"/>
      <c r="CH96" s="392"/>
      <c r="CI96" s="392"/>
      <c r="CJ96" s="392"/>
      <c r="CK96" s="392"/>
      <c r="CL96" s="392"/>
      <c r="CM96" s="472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3"/>
      <c r="DC96" s="263"/>
      <c r="DD96" s="263"/>
      <c r="DE96" s="263"/>
      <c r="DF96" s="263"/>
    </row>
    <row r="97" spans="1:110" s="242" customFormat="1" ht="21.75" customHeight="1" thickBot="1">
      <c r="A97" s="360"/>
      <c r="B97" s="682" t="str">
        <f>IF($E95="","",$E95)</f>
        <v/>
      </c>
      <c r="C97" s="682"/>
      <c r="D97" s="682"/>
      <c r="E97" s="682" t="str">
        <f>IF($F95="","",$F95)</f>
        <v/>
      </c>
      <c r="F97" s="682"/>
      <c r="G97" s="682"/>
      <c r="H97" s="682" t="str">
        <f>IF($G95="","",$G95)</f>
        <v/>
      </c>
      <c r="I97" s="682"/>
      <c r="J97" s="682"/>
      <c r="K97" s="682" t="str">
        <f>IF($H95="","",$H95)</f>
        <v/>
      </c>
      <c r="L97" s="682"/>
      <c r="M97" s="682"/>
      <c r="N97" s="682" t="str">
        <f>IF($I95="","",$I95)</f>
        <v/>
      </c>
      <c r="O97" s="682"/>
      <c r="P97" s="682"/>
      <c r="Q97" s="682" t="str">
        <f>IF($J95="","",$J95)</f>
        <v/>
      </c>
      <c r="R97" s="682"/>
      <c r="S97" s="682"/>
      <c r="T97" s="682" t="str">
        <f>IF($K95="","",$K95)</f>
        <v/>
      </c>
      <c r="U97" s="682"/>
      <c r="V97" s="682"/>
      <c r="W97" s="682" t="str">
        <f>IF($L95="","",$L95)</f>
        <v/>
      </c>
      <c r="X97" s="682"/>
      <c r="Y97" s="682"/>
      <c r="Z97" s="682" t="str">
        <f>IF($M95="","",$M95)</f>
        <v/>
      </c>
      <c r="AA97" s="682"/>
      <c r="AB97" s="682"/>
      <c r="AC97" s="420"/>
      <c r="AD97" s="287" t="str">
        <f>+A72</f>
        <v>M+ =</v>
      </c>
      <c r="AE97" s="325" t="str">
        <f>+IF(B72="","",B72)</f>
        <v/>
      </c>
      <c r="AF97" s="325" t="str">
        <f>+IF(C72="","",C72)</f>
        <v/>
      </c>
      <c r="AG97" s="325" t="str">
        <f t="shared" ref="AG97" si="133">+IF(D72="","",D72)</f>
        <v/>
      </c>
      <c r="AH97" s="325" t="str">
        <f t="shared" ref="AH97" si="134">+IF(E72="","",E72)</f>
        <v/>
      </c>
      <c r="AI97" s="325" t="str">
        <f t="shared" ref="AI97" si="135">+IF(F72="","",F72)</f>
        <v/>
      </c>
      <c r="AJ97" s="325" t="str">
        <f t="shared" ref="AJ97" si="136">+IF(G72="","",G72)</f>
        <v/>
      </c>
      <c r="AK97" s="325" t="str">
        <f t="shared" ref="AK97" si="137">+IF(H72="","",H72)</f>
        <v/>
      </c>
      <c r="AL97" s="325" t="str">
        <f t="shared" ref="AL97" si="138">+IF(I72="","",I72)</f>
        <v/>
      </c>
      <c r="AM97" s="325" t="str">
        <f t="shared" ref="AM97" si="139">+IF(J72="","",J72)</f>
        <v/>
      </c>
      <c r="BB97" s="291"/>
      <c r="BC97" s="401"/>
      <c r="BD97" s="398"/>
      <c r="BE97" s="428">
        <f>BE$27</f>
        <v>1</v>
      </c>
      <c r="BF97" s="428">
        <f t="shared" ref="BF97:CL97" si="140">BF$27</f>
        <v>2</v>
      </c>
      <c r="BG97" s="428">
        <f t="shared" si="140"/>
        <v>3</v>
      </c>
      <c r="BH97" s="428">
        <f t="shared" si="140"/>
        <v>4</v>
      </c>
      <c r="BI97" s="428">
        <f t="shared" si="140"/>
        <v>5</v>
      </c>
      <c r="BJ97" s="428">
        <f t="shared" si="140"/>
        <v>6</v>
      </c>
      <c r="BK97" s="428">
        <f t="shared" si="140"/>
        <v>7</v>
      </c>
      <c r="BL97" s="428">
        <f t="shared" si="140"/>
        <v>8</v>
      </c>
      <c r="BM97" s="428">
        <f t="shared" si="140"/>
        <v>9</v>
      </c>
      <c r="BN97" s="428">
        <f t="shared" si="140"/>
        <v>10</v>
      </c>
      <c r="BO97" s="428">
        <f t="shared" si="140"/>
        <v>11</v>
      </c>
      <c r="BP97" s="428">
        <f t="shared" si="140"/>
        <v>12</v>
      </c>
      <c r="BQ97" s="428">
        <f t="shared" si="140"/>
        <v>13</v>
      </c>
      <c r="BR97" s="428">
        <f t="shared" si="140"/>
        <v>14</v>
      </c>
      <c r="BS97" s="428">
        <f t="shared" si="140"/>
        <v>15</v>
      </c>
      <c r="BT97" s="428">
        <f t="shared" si="140"/>
        <v>16</v>
      </c>
      <c r="BU97" s="428">
        <f t="shared" si="140"/>
        <v>17</v>
      </c>
      <c r="BV97" s="428">
        <f t="shared" si="140"/>
        <v>18</v>
      </c>
      <c r="BW97" s="428">
        <f t="shared" si="140"/>
        <v>19</v>
      </c>
      <c r="BX97" s="428">
        <f t="shared" si="140"/>
        <v>20</v>
      </c>
      <c r="BY97" s="428">
        <f t="shared" si="140"/>
        <v>21</v>
      </c>
      <c r="BZ97" s="428">
        <f t="shared" si="140"/>
        <v>22</v>
      </c>
      <c r="CA97" s="428">
        <f t="shared" si="140"/>
        <v>23</v>
      </c>
      <c r="CB97" s="428">
        <f t="shared" si="140"/>
        <v>24</v>
      </c>
      <c r="CC97" s="428">
        <f t="shared" si="140"/>
        <v>25</v>
      </c>
      <c r="CD97" s="428">
        <f t="shared" si="140"/>
        <v>26</v>
      </c>
      <c r="CE97" s="428">
        <f t="shared" si="140"/>
        <v>27</v>
      </c>
      <c r="CF97" s="428">
        <f t="shared" si="140"/>
        <v>28</v>
      </c>
      <c r="CG97" s="428">
        <f t="shared" si="140"/>
        <v>29</v>
      </c>
      <c r="CH97" s="428">
        <f t="shared" si="140"/>
        <v>30</v>
      </c>
      <c r="CI97" s="428">
        <f t="shared" si="140"/>
        <v>31</v>
      </c>
      <c r="CJ97" s="428">
        <f t="shared" si="140"/>
        <v>32</v>
      </c>
      <c r="CK97" s="428">
        <f t="shared" si="140"/>
        <v>33</v>
      </c>
      <c r="CL97" s="428">
        <f t="shared" si="140"/>
        <v>34</v>
      </c>
      <c r="CM97" s="431"/>
      <c r="CN97" s="263"/>
      <c r="CO97" s="291"/>
      <c r="CP97" s="291"/>
      <c r="CQ97" s="291"/>
      <c r="CR97" s="291"/>
      <c r="CS97" s="291"/>
      <c r="CT97" s="291"/>
      <c r="CU97" s="291"/>
      <c r="CV97" s="291"/>
      <c r="CW97" s="291"/>
      <c r="CX97" s="291"/>
      <c r="CY97" s="291"/>
      <c r="CZ97" s="291"/>
      <c r="DA97" s="291"/>
      <c r="DB97" s="291"/>
      <c r="DC97" s="291"/>
      <c r="DD97" s="291"/>
      <c r="DE97" s="291"/>
      <c r="DF97" s="291"/>
    </row>
    <row r="98" spans="1:110" s="245" customFormat="1" ht="21.75" customHeight="1" thickBot="1">
      <c r="A98" s="413" t="s">
        <v>3</v>
      </c>
      <c r="B98" s="683" t="str">
        <f>IF(B97="","",IF(K6="X - X",VLOOKUP(B97,Espesor!$C$8:$E$41,2,0),VLOOKUP(B97,Espesor!$C$8:$E$41,3,0)))</f>
        <v/>
      </c>
      <c r="C98" s="684"/>
      <c r="D98" s="685"/>
      <c r="E98" s="683" t="str">
        <f>IF(E97="","",IF(K6="X - X",VLOOKUP(E97,Espesor!$C$8:$E$41,2,0),VLOOKUP(E97,Espesor!$C$8:$E$41,3,0)))</f>
        <v/>
      </c>
      <c r="F98" s="684"/>
      <c r="G98" s="685"/>
      <c r="H98" s="683" t="str">
        <f>IF(H97="","",IF(K6="X - X",VLOOKUP(H97,Espesor!$C$8:$E$41,2,0),VLOOKUP(H97,Espesor!$C$8:$E$41,3,0)))</f>
        <v/>
      </c>
      <c r="I98" s="684"/>
      <c r="J98" s="685"/>
      <c r="K98" s="683" t="str">
        <f>IF(K97="","",IF(K6="X - X",VLOOKUP(K97,Espesor!$C$8:$E$41,2,0),VLOOKUP(K97,Espesor!$C$8:$E$41,3,0)))</f>
        <v/>
      </c>
      <c r="L98" s="684"/>
      <c r="M98" s="685"/>
      <c r="N98" s="683" t="str">
        <f>IF(N97="","",IF(K6="X - X",VLOOKUP(N97,Espesor!$C$8:$E$41,2,0),VLOOKUP(N97,Espesor!$C$8:$E$41,3,0)))</f>
        <v/>
      </c>
      <c r="O98" s="684"/>
      <c r="P98" s="685"/>
      <c r="Q98" s="683" t="str">
        <f>IF(Q97="","",IF(K6="X - X",VLOOKUP(Q97,Espesor!$C$8:$E$41,2,0),VLOOKUP(Q97,Espesor!$C$8:$E$41,3,0)))</f>
        <v/>
      </c>
      <c r="R98" s="684"/>
      <c r="S98" s="685"/>
      <c r="T98" s="683" t="str">
        <f>IF(T97="","",IF(K6="X - X",VLOOKUP(T97,Espesor!$C$8:$E$41,2,0),VLOOKUP(T97,Espesor!$C$8:$E$41,3,0)))</f>
        <v/>
      </c>
      <c r="U98" s="684"/>
      <c r="V98" s="685"/>
      <c r="W98" s="683" t="str">
        <f>IF(W97="","",IF(K6="X - X",VLOOKUP(W97,Espesor!$C$8:$E$41,2,0),VLOOKUP(W97,Espesor!$C$8:$E$41,3,0)))</f>
        <v/>
      </c>
      <c r="X98" s="684"/>
      <c r="Y98" s="685"/>
      <c r="Z98" s="683" t="str">
        <f>IF(Z97="","",IF(K6="X - X",VLOOKUP(Z97,Espesor!$C$8:$E$41,2,0),VLOOKUP(Z97,Espesor!$C$8:$E$41,3,0)))</f>
        <v/>
      </c>
      <c r="AA98" s="684"/>
      <c r="AB98" s="685"/>
      <c r="AC98" s="380"/>
      <c r="AD98" s="338" t="s">
        <v>4</v>
      </c>
      <c r="AE98" s="322" t="s">
        <v>3</v>
      </c>
      <c r="AF98" s="339" t="s">
        <v>138</v>
      </c>
      <c r="AG98" s="637" t="s">
        <v>139</v>
      </c>
      <c r="AH98" s="638"/>
      <c r="AI98" s="638"/>
      <c r="AJ98" s="639"/>
      <c r="AK98" s="640" t="s">
        <v>142</v>
      </c>
      <c r="AL98" s="641"/>
      <c r="AM98" s="637" t="s">
        <v>143</v>
      </c>
      <c r="AN98" s="639"/>
      <c r="AO98" s="642" t="s">
        <v>144</v>
      </c>
      <c r="AP98" s="643"/>
      <c r="AQ98" s="643"/>
      <c r="AR98" s="644"/>
      <c r="AS98" s="642" t="s">
        <v>145</v>
      </c>
      <c r="AT98" s="643"/>
      <c r="AU98" s="644"/>
      <c r="AV98" s="645" t="s">
        <v>157</v>
      </c>
      <c r="AW98" s="646"/>
      <c r="AX98" s="646"/>
      <c r="AY98" s="646"/>
      <c r="AZ98" s="646"/>
      <c r="BA98" s="647"/>
      <c r="BB98" s="242"/>
      <c r="BC98" s="422">
        <f>+A94</f>
        <v>5</v>
      </c>
      <c r="BD98" s="398" t="s">
        <v>153</v>
      </c>
      <c r="BE98" s="429">
        <f>IF(BE97=$B$97,$B$109,IF(BE97=$E$97,$E$109,IF(BE97=$H$97,$H$109,IF(BE97=$K$97,$K$109,IF(BE97=$N$97,$N$109,IF(BE97=$Q$97,$Q$109,IF(BE97=$T$97,$T$109,IF(BE97=$W$97,$W$109,IF(BE97=$Z$97,$Z$109,0)))))))))</f>
        <v>0</v>
      </c>
      <c r="BF98" s="429">
        <f t="shared" ref="BF98:CL98" si="141">IF(BF97=$B$97,$B$109,IF(BF97=$E$97,$E$109,IF(BF97=$H$97,$H$109,IF(BF97=$K$97,$K$109,IF(BF97=$N$97,$N$109,IF(BF97=$Q$97,$Q$109,IF(BF97=$T$97,$T$109,IF(BF97=$W$97,$W$109,IF(BF97=$Z$97,$Z$109,0)))))))))</f>
        <v>0</v>
      </c>
      <c r="BG98" s="429">
        <f t="shared" si="141"/>
        <v>0</v>
      </c>
      <c r="BH98" s="429">
        <f t="shared" si="141"/>
        <v>0</v>
      </c>
      <c r="BI98" s="429">
        <f t="shared" si="141"/>
        <v>0</v>
      </c>
      <c r="BJ98" s="429">
        <f t="shared" si="141"/>
        <v>0</v>
      </c>
      <c r="BK98" s="429">
        <f t="shared" si="141"/>
        <v>0</v>
      </c>
      <c r="BL98" s="429">
        <f t="shared" si="141"/>
        <v>0</v>
      </c>
      <c r="BM98" s="429">
        <f t="shared" si="141"/>
        <v>0</v>
      </c>
      <c r="BN98" s="429">
        <f t="shared" si="141"/>
        <v>0</v>
      </c>
      <c r="BO98" s="429">
        <f t="shared" si="141"/>
        <v>0</v>
      </c>
      <c r="BP98" s="429">
        <f t="shared" si="141"/>
        <v>0</v>
      </c>
      <c r="BQ98" s="429">
        <f t="shared" si="141"/>
        <v>0</v>
      </c>
      <c r="BR98" s="429">
        <f t="shared" si="141"/>
        <v>0</v>
      </c>
      <c r="BS98" s="429">
        <f t="shared" si="141"/>
        <v>0</v>
      </c>
      <c r="BT98" s="429">
        <f t="shared" si="141"/>
        <v>0</v>
      </c>
      <c r="BU98" s="429">
        <f t="shared" si="141"/>
        <v>0</v>
      </c>
      <c r="BV98" s="429">
        <f t="shared" si="141"/>
        <v>0</v>
      </c>
      <c r="BW98" s="429">
        <f t="shared" si="141"/>
        <v>0</v>
      </c>
      <c r="BX98" s="429">
        <f t="shared" si="141"/>
        <v>0</v>
      </c>
      <c r="BY98" s="429">
        <f t="shared" si="141"/>
        <v>0</v>
      </c>
      <c r="BZ98" s="429">
        <f t="shared" si="141"/>
        <v>0</v>
      </c>
      <c r="CA98" s="429">
        <f t="shared" si="141"/>
        <v>0</v>
      </c>
      <c r="CB98" s="429">
        <f t="shared" si="141"/>
        <v>0</v>
      </c>
      <c r="CC98" s="429">
        <f t="shared" si="141"/>
        <v>0</v>
      </c>
      <c r="CD98" s="429">
        <f t="shared" si="141"/>
        <v>0</v>
      </c>
      <c r="CE98" s="429">
        <f t="shared" si="141"/>
        <v>0</v>
      </c>
      <c r="CF98" s="429">
        <f t="shared" si="141"/>
        <v>0</v>
      </c>
      <c r="CG98" s="429">
        <f t="shared" si="141"/>
        <v>0</v>
      </c>
      <c r="CH98" s="429">
        <f t="shared" si="141"/>
        <v>0</v>
      </c>
      <c r="CI98" s="429">
        <f t="shared" si="141"/>
        <v>0</v>
      </c>
      <c r="CJ98" s="429">
        <f t="shared" si="141"/>
        <v>0</v>
      </c>
      <c r="CK98" s="429">
        <f t="shared" si="141"/>
        <v>0</v>
      </c>
      <c r="CL98" s="429">
        <f t="shared" si="141"/>
        <v>0</v>
      </c>
      <c r="CM98" s="473"/>
      <c r="CN98" s="291"/>
      <c r="CO98" s="242"/>
      <c r="CP98" s="242"/>
      <c r="CQ98" s="242"/>
      <c r="CR98" s="242"/>
      <c r="CS98" s="242"/>
      <c r="CT98" s="242"/>
      <c r="CU98" s="242"/>
      <c r="CV98" s="242"/>
      <c r="CW98" s="242"/>
      <c r="CX98" s="242"/>
      <c r="CY98" s="242"/>
      <c r="CZ98" s="242"/>
      <c r="DA98" s="242"/>
      <c r="DB98" s="242"/>
      <c r="DC98" s="242"/>
      <c r="DD98" s="242"/>
      <c r="DE98" s="242"/>
      <c r="DF98" s="242"/>
    </row>
    <row r="99" spans="1:110" s="246" customFormat="1" ht="23.25" customHeight="1">
      <c r="A99" s="257" t="s">
        <v>65</v>
      </c>
      <c r="B99" s="679" t="str">
        <f>+IF(B97="","",IF(LOOKUP(B97,Espesor!$C$8:$C$41,Espesor!$K$8:$K$41)="en voladizo","",0.75/B98))</f>
        <v/>
      </c>
      <c r="C99" s="680"/>
      <c r="D99" s="681"/>
      <c r="E99" s="679" t="str">
        <f>IF(E97="","",IF(LOOKUP(E97,Espesor!$C$8:$C$41,Espesor!$K$8:$K$41)="en voladizo","",IF(H97="",0.75/E98,1/E98)))</f>
        <v/>
      </c>
      <c r="F99" s="680"/>
      <c r="G99" s="681"/>
      <c r="H99" s="679" t="str">
        <f>IF(H97="","",IF(LOOKUP(H97,Espesor!$C$8:$C$41,Espesor!$K$8:$K$41)="en voladizo","",IF(K97="",0.75/H98,1/H98)))</f>
        <v/>
      </c>
      <c r="I99" s="680"/>
      <c r="J99" s="681"/>
      <c r="K99" s="679" t="str">
        <f>IF(K97="","",IF(LOOKUP(K97,Espesor!$C$8:$C$41,Espesor!$K$8:$K$41)="en voladizo","",IF(N97="",0.75/K98,1/K98)))</f>
        <v/>
      </c>
      <c r="L99" s="680"/>
      <c r="M99" s="681"/>
      <c r="N99" s="679" t="str">
        <f>IF(N97="","",IF(LOOKUP(N97,Espesor!$C$8:$C$41,Espesor!$K$8:$K$41)="en voladizo","",IF(Q97="",0.75/N98,1/N98)))</f>
        <v/>
      </c>
      <c r="O99" s="680"/>
      <c r="P99" s="681"/>
      <c r="Q99" s="679" t="str">
        <f>IF(Q97="","",IF(LOOKUP(Q97,Espesor!$C$8:$C$41,Espesor!$K$8:$K$41)="en voladizo","",IF(T97="",0.75/Q98,1/Q98)))</f>
        <v/>
      </c>
      <c r="R99" s="680"/>
      <c r="S99" s="681"/>
      <c r="T99" s="679" t="str">
        <f>IF(T97="","",IF(LOOKUP(T97,Espesor!$C$8:$C$41,Espesor!$K$8:$K$41)="en voladizo","",IF(W97="",0.75/T98,1/T98)))</f>
        <v/>
      </c>
      <c r="U99" s="680"/>
      <c r="V99" s="681"/>
      <c r="W99" s="679" t="str">
        <f>IF(W97="","",IF(LOOKUP(W97,Espesor!$C$8:$C$41,Espesor!$K$8:$K$41)="en voladizo","",IF(Z97="",0.75/W98,1/W98)))</f>
        <v/>
      </c>
      <c r="X99" s="680"/>
      <c r="Y99" s="681"/>
      <c r="Z99" s="679" t="str">
        <f>IF(Z97="","",IF(LOOKUP(Z97,Espesor!$C$8:$C$41,Espesor!$K$8:$K$41)="en voladizo","",IF(AC97="",0.75/Z98,1/Z98)))</f>
        <v/>
      </c>
      <c r="AA99" s="680"/>
      <c r="AB99" s="681"/>
      <c r="AC99" s="210"/>
      <c r="AD99" s="320" t="str">
        <f>+IF(AE97="","",AE97)</f>
        <v/>
      </c>
      <c r="AE99" s="323" t="str">
        <f>IF(B73="","",IF($K$2="X - X",VLOOKUP(B73,Espesor!$C$8:$E$41,2,0),VLOOKUP(B73,Espesor!$C$8:$E$41,3,0)))</f>
        <v/>
      </c>
      <c r="AF99" s="318" t="str">
        <f>+IF(AD99="","",IF(LOOKUP(AD99,Espesor!$C$8:$C$41,Espesor!$K$8:$K$41)="en voladizo","",0.75/AE99))</f>
        <v/>
      </c>
      <c r="AG99" s="648" t="str">
        <f>IF(AF99="","",IF(AF100="","",ROUND(AF99/(AF99+AF100),3)))</f>
        <v/>
      </c>
      <c r="AH99" s="343"/>
      <c r="AI99" s="648" t="str">
        <f>IF(AF100="","",IF(AF99="","",ROUND(AF100/(AF100+AF99),3)))</f>
        <v/>
      </c>
      <c r="AJ99" s="343"/>
      <c r="AK99" s="342">
        <v>0</v>
      </c>
      <c r="AL99" s="316" t="e">
        <f>-IF(B72="","",IF($K$2="X - X",VLOOKUP(B72,'Moms de Empt'!$P$3:$T$36,3,0),VLOOKUP(B72,'Moms de Empt'!$P$3:$T$36,5,0)))</f>
        <v>#VALUE!</v>
      </c>
      <c r="AM99" s="649">
        <f>IF(AD100="",0,IF(LOOKUP(AD100,Espesor!$C$8:$C$41,Espesor!$K$8:$K$41)="en voladizo",MAX(ABS(AL99),ABS(AK100)),-(AK100+AL99)))</f>
        <v>0</v>
      </c>
      <c r="AN99" s="345"/>
      <c r="AO99" s="650" t="str">
        <f>IF(AG99="","",AM99*AG99)</f>
        <v/>
      </c>
      <c r="AP99" s="342"/>
      <c r="AQ99" s="650" t="str">
        <f>IF(AI99="","",AM99*AI99)</f>
        <v/>
      </c>
      <c r="AR99" s="342"/>
      <c r="AS99" s="651" t="e">
        <f>-IF(AM99="","",IF(AL99="",IF(AO99="",0,AO99),IF(AO99="",AL99,AL99+AO99)))</f>
        <v>#VALUE!</v>
      </c>
      <c r="AT99" s="341"/>
      <c r="AU99" s="341" t="e">
        <f>+AS99</f>
        <v>#VALUE!</v>
      </c>
      <c r="AV99" s="329" t="str">
        <f>IF(B72="","",IF(L72="X - X",VLOOKUP(B97,'Moms de Empt'!$P$3:$T$36,2,0),VLOOKUP(B97,'Moms de Empt'!$P$3:$T$36,4,0)))</f>
        <v/>
      </c>
      <c r="AW99" s="653" t="str">
        <f>IF(B99="","",IF(D101="","",IF(ABS(D105)&gt;ABS(D101),-0.5*ABS(D103),0.5*ABS(D103))))</f>
        <v/>
      </c>
      <c r="AX99" s="330"/>
      <c r="AY99" s="653" t="str">
        <f>IF(AV100="","",IF(AV99="","",ROUND(AV100/(AV100+AV99),3)))</f>
        <v/>
      </c>
      <c r="AZ99" s="330"/>
      <c r="BA99" s="331" t="str">
        <f t="shared" ref="BA99:BA106" si="142">+AV99</f>
        <v/>
      </c>
      <c r="BB99" s="245"/>
      <c r="BC99" s="422"/>
      <c r="BD99" s="398"/>
      <c r="BE99" s="429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432"/>
      <c r="CN99" s="242"/>
      <c r="CO99" s="245"/>
      <c r="CP99" s="245"/>
      <c r="CQ99" s="245"/>
      <c r="CR99" s="245"/>
      <c r="CS99" s="245"/>
      <c r="CT99" s="245"/>
      <c r="CU99" s="245"/>
      <c r="CV99" s="245"/>
      <c r="CW99" s="245"/>
      <c r="CX99" s="245"/>
      <c r="CY99" s="245"/>
      <c r="CZ99" s="245"/>
      <c r="DA99" s="245"/>
      <c r="DB99" s="245"/>
      <c r="DC99" s="245"/>
      <c r="DD99" s="245"/>
      <c r="DE99" s="245"/>
      <c r="DF99" s="245"/>
    </row>
    <row r="100" spans="1:110" s="32" customFormat="1" ht="21.75" customHeight="1">
      <c r="A100" s="247" t="s">
        <v>123</v>
      </c>
      <c r="B100" s="29"/>
      <c r="C100" s="30"/>
      <c r="D100" s="31">
        <f>IF(B99="",0,IF(E99="",0,ROUND(B99/(B99+E99),3)))</f>
        <v>0</v>
      </c>
      <c r="E100" s="29">
        <f>IF(E99="",0,IF(B99="",0,ROUND(E99/(E99+B99),3)))</f>
        <v>0</v>
      </c>
      <c r="F100" s="30"/>
      <c r="G100" s="31">
        <f>IF(E99="",0,IF(H99="",0,ROUND(E99/(E99+H99),3)))</f>
        <v>0</v>
      </c>
      <c r="H100" s="29">
        <f>IF(H99="",0,IF(E99="",0,ROUND(H99/(H99+E99),3)))</f>
        <v>0</v>
      </c>
      <c r="I100" s="30"/>
      <c r="J100" s="31">
        <f>IF(H99="",0,IF(K99="",0,ROUND(H99/(H99+K99),3)))</f>
        <v>0</v>
      </c>
      <c r="K100" s="29">
        <f>IF(K99="",0,IF(H99="",0,ROUND(K99/(K99+H99),3)))</f>
        <v>0</v>
      </c>
      <c r="L100" s="30"/>
      <c r="M100" s="31">
        <f>IF(K99="",0,IF(N99="",0,ROUND(K99/(K99+N99),3)))</f>
        <v>0</v>
      </c>
      <c r="N100" s="29">
        <f>IF(N99="",0,IF(K99="",0,ROUND(N99/(N99+K99),3)))</f>
        <v>0</v>
      </c>
      <c r="O100" s="30"/>
      <c r="P100" s="31">
        <f>IF(N99="",0,IF(Q99="",0,ROUND(N99/(N99+Q99),3)))</f>
        <v>0</v>
      </c>
      <c r="Q100" s="29">
        <f>IF(Q99="",0,IF(N99="",0,ROUND(Q99/(Q99+N99),3)))</f>
        <v>0</v>
      </c>
      <c r="R100" s="30"/>
      <c r="S100" s="31">
        <f>IF(Q99="",0,IF(T99="",0,ROUND(Q99/(Q99+T99),3)))</f>
        <v>0</v>
      </c>
      <c r="T100" s="29">
        <f>IF(T99="",0,IF(Q99="",0,ROUND(T99/(T99+Q99),3)))</f>
        <v>0</v>
      </c>
      <c r="U100" s="30"/>
      <c r="V100" s="31">
        <f>IF(T99="",0,IF(W99="",0,ROUND(T99/(T99+W99),3)))</f>
        <v>0</v>
      </c>
      <c r="W100" s="29">
        <f>IF(W99="",0,IF(T99="",0,ROUND(W99/(W99+T99),3)))</f>
        <v>0</v>
      </c>
      <c r="X100" s="30"/>
      <c r="Y100" s="31">
        <f>IF(W99="",0,IF(Z99="",0,ROUND(W99/(W99+Z99),3)))</f>
        <v>0</v>
      </c>
      <c r="Z100" s="29">
        <f>IF(Z99="",0,IF(W99="",0,ROUND(Z99/(Z99+W99),3)))</f>
        <v>0</v>
      </c>
      <c r="AA100" s="30"/>
      <c r="AB100" s="31">
        <f>IF(Z99="",0,IF(AC99="",0,ROUND(Z99/(Z99+AC99),3)))</f>
        <v>0</v>
      </c>
      <c r="AC100" s="29"/>
      <c r="AD100" s="321" t="str">
        <f>+IF(AF97="","",AF97)</f>
        <v/>
      </c>
      <c r="AE100" s="324" t="str">
        <f>IF(C72="","",IF($K$2="X - X",VLOOKUP(C72,Espesor!$C$8:$E$41,2,0),VLOOKUP(C72,Espesor!$C$8:$E$41,3,0)))</f>
        <v/>
      </c>
      <c r="AF100" s="319" t="str">
        <f>IF(AD100="","",IF(LOOKUP(AD100,Espesor!$C$8:$C$41,Espesor!$K$8:$K$41)="en voladizo","",IF(AD101="",0.75/AE100,1/AE100)))</f>
        <v/>
      </c>
      <c r="AG100" s="634"/>
      <c r="AH100" s="634" t="str">
        <f>IF(AF100="","",IF(AF101="","",ROUND(AF100/(AF100+AF101),3)))</f>
        <v/>
      </c>
      <c r="AI100" s="634"/>
      <c r="AJ100" s="634" t="str">
        <f>IF(AF100="","",IF(AF101="","",ROUND(AF101/(AF100+AF101),3)))</f>
        <v/>
      </c>
      <c r="AK100" s="317">
        <f>IF(C72="",0,IF($K$2="X - X",VLOOKUP(C72,'Moms de Empt'!$P$3:$T$36,3,0),VLOOKUP(C72,'Moms de Empt'!$P$3:$T$36,5,0)))</f>
        <v>0</v>
      </c>
      <c r="AL100" s="317">
        <f>+IF(AD101="",0,-AK100)</f>
        <v>0</v>
      </c>
      <c r="AM100" s="629"/>
      <c r="AN100" s="629">
        <f>IF(AD101="",0,IF(LOOKUP(AD101,Espesor!$C$8:$C$41,Espesor!$K$8:$K$41)="en voladizo",MAX(ABS(AL100),ABS(AK101)),-(AK101+AL100)))</f>
        <v>0</v>
      </c>
      <c r="AO100" s="630"/>
      <c r="AP100" s="630" t="str">
        <f>IF(AH100="","",AN100*AH100)</f>
        <v/>
      </c>
      <c r="AQ100" s="630"/>
      <c r="AR100" s="630" t="str">
        <f>IF(AJ100="","",AN100*AJ100)</f>
        <v/>
      </c>
      <c r="AS100" s="652"/>
      <c r="AT100" s="631">
        <f>-IF(AN100="","",IF(AL100="",IF(AP100="",0,AP100),IF(AP100="",AL100,AL100+AP100)))</f>
        <v>0</v>
      </c>
      <c r="AU100" s="341">
        <f>+AT100</f>
        <v>0</v>
      </c>
      <c r="AV100" s="332" t="str">
        <f>IF(E97="","",IF(L72="X - X",VLOOKUP(E97,'Moms de Empt'!$P$3:$T$36,2,0),VLOOKUP(E97,'Moms de Empt'!$P$3:$T$36,4,0)))</f>
        <v/>
      </c>
      <c r="AW100" s="635"/>
      <c r="AX100" s="633" t="str">
        <f>IF(AV100="","",IF(AV101="","",ROUND(AV100/(AV100+AV101),3)))</f>
        <v/>
      </c>
      <c r="AY100" s="635"/>
      <c r="AZ100" s="633" t="str">
        <f>IF(AV100="","",IF(AV101="","",ROUND(AV101/(AV100+AV101),3)))</f>
        <v/>
      </c>
      <c r="BA100" s="331" t="str">
        <f t="shared" si="142"/>
        <v/>
      </c>
      <c r="BB100" s="246"/>
      <c r="BC100" s="422"/>
      <c r="BD100" s="398"/>
      <c r="BE100" s="429"/>
      <c r="BF100" s="392"/>
      <c r="BG100" s="392"/>
      <c r="BH100" s="392"/>
      <c r="BI100" s="392"/>
      <c r="BJ100" s="392"/>
      <c r="BK100" s="392"/>
      <c r="BL100" s="392"/>
      <c r="BM100" s="392"/>
      <c r="BN100" s="393"/>
      <c r="BO100" s="393"/>
      <c r="BP100" s="393"/>
      <c r="BQ100" s="393"/>
      <c r="BR100" s="393"/>
      <c r="BS100" s="393"/>
      <c r="BT100" s="393"/>
      <c r="BU100" s="393"/>
      <c r="BV100" s="393"/>
      <c r="BW100" s="393"/>
      <c r="BX100" s="393"/>
      <c r="BY100" s="393"/>
      <c r="BZ100" s="393"/>
      <c r="CA100" s="393"/>
      <c r="CB100" s="393"/>
      <c r="CC100" s="393"/>
      <c r="CD100" s="393"/>
      <c r="CE100" s="393"/>
      <c r="CF100" s="393"/>
      <c r="CG100" s="393"/>
      <c r="CH100" s="393"/>
      <c r="CI100" s="393"/>
      <c r="CJ100" s="393"/>
      <c r="CK100" s="393"/>
      <c r="CL100" s="393"/>
      <c r="CM100" s="477"/>
      <c r="CN100" s="245"/>
      <c r="CO100" s="246"/>
      <c r="CP100" s="246"/>
      <c r="CQ100" s="246"/>
      <c r="CR100" s="246"/>
      <c r="CS100" s="246"/>
      <c r="CT100" s="246"/>
      <c r="CU100" s="246"/>
      <c r="CV100" s="246"/>
      <c r="CW100" s="246"/>
      <c r="CX100" s="246"/>
      <c r="CY100" s="246"/>
      <c r="CZ100" s="246"/>
      <c r="DA100" s="246"/>
      <c r="DB100" s="246"/>
      <c r="DC100" s="246"/>
      <c r="DD100" s="246"/>
      <c r="DE100" s="246"/>
      <c r="DF100" s="246"/>
    </row>
    <row r="101" spans="1:110" s="35" customFormat="1" ht="21.75" customHeight="1">
      <c r="A101" s="248" t="s">
        <v>124</v>
      </c>
      <c r="B101" s="249"/>
      <c r="C101" s="34"/>
      <c r="D101" s="33" t="str">
        <f>IF(B97="","",-VLOOKUP(B97,'Moms de Empt'!$P$3:$T$36,3,0))</f>
        <v/>
      </c>
      <c r="E101" s="34" t="str">
        <f>IF(E97="","",IF($K$6="X - X",VLOOKUP(E97,'Moms de Empt'!$P$3:$T$36,3,0),VLOOKUP(E97,'Moms de Empt'!$P$3:$T$36,5,0)))</f>
        <v/>
      </c>
      <c r="F101" s="34"/>
      <c r="G101" s="33" t="str">
        <f>+IF(H97="","",-E101)</f>
        <v/>
      </c>
      <c r="H101" s="34" t="str">
        <f>IF(H97="","",IF($K$6="X - X",VLOOKUP(H97,'Moms de Empt'!$P$3:$T$36,3,0),VLOOKUP(H97,'Moms de Empt'!$P$3:$T$36,5,0)))</f>
        <v/>
      </c>
      <c r="I101" s="34"/>
      <c r="J101" s="33" t="str">
        <f>+IF(K97="","",-H101)</f>
        <v/>
      </c>
      <c r="K101" s="34" t="str">
        <f>IF(K97="","",IF($K$6="X - X",VLOOKUP(K97,'Moms de Empt'!$P$3:$T$36,3,0),VLOOKUP(K97,'Moms de Empt'!$P$3:$T$36,5,0)))</f>
        <v/>
      </c>
      <c r="L101" s="34"/>
      <c r="M101" s="33" t="str">
        <f>+IF(N97="","",-K101)</f>
        <v/>
      </c>
      <c r="N101" s="34" t="str">
        <f>IF(N97="","",IF($K$6="X - X",VLOOKUP(N97,'Moms de Empt'!$P$3:$T$36,3,0),VLOOKUP(N97,'Moms de Empt'!$P$3:$T$36,5,0)))</f>
        <v/>
      </c>
      <c r="O101" s="34"/>
      <c r="P101" s="33" t="str">
        <f>+IF(Q97="","",-N101)</f>
        <v/>
      </c>
      <c r="Q101" s="34" t="str">
        <f>IF(Q97="","",IF($K$6="X - X",VLOOKUP(Q97,'Moms de Empt'!$P$3:$T$36,3,0),VLOOKUP(Q97,'Moms de Empt'!$P$3:$T$36,5,0)))</f>
        <v/>
      </c>
      <c r="R101" s="34"/>
      <c r="S101" s="33" t="str">
        <f>+IF(T97="","",-Q101)</f>
        <v/>
      </c>
      <c r="T101" s="34" t="str">
        <f>IF(T97="","",IF($K$6="X - X",VLOOKUP(T97,'Moms de Empt'!$P$3:$T$36,3,0),VLOOKUP(T97,'Moms de Empt'!$P$3:$T$36,5,0)))</f>
        <v/>
      </c>
      <c r="U101" s="34"/>
      <c r="V101" s="33" t="str">
        <f>+IF(W97="","",-T101)</f>
        <v/>
      </c>
      <c r="W101" s="34" t="str">
        <f>IF(W97="","",IF($K$6="X - X",VLOOKUP(W97,'Moms de Empt'!$P$3:$T$36,3,0),VLOOKUP(W97,'Moms de Empt'!$P$3:$T$36,5,0)))</f>
        <v/>
      </c>
      <c r="X101" s="34"/>
      <c r="Y101" s="33" t="str">
        <f>+IF(Z97="","",-W101)</f>
        <v/>
      </c>
      <c r="Z101" s="34" t="str">
        <f>IF(Z97="","",IF($K$6="X - X",VLOOKUP(Z97,'Moms de Empt'!$P$3:$T$36,3,0),VLOOKUP(Z97,'Moms de Empt'!$P$3:$T$36,5,0)))</f>
        <v/>
      </c>
      <c r="AA101" s="34"/>
      <c r="AB101" s="33"/>
      <c r="AD101" s="321" t="str">
        <f>+IF(AG97="","",AG97)</f>
        <v/>
      </c>
      <c r="AE101" s="324" t="str">
        <f>IF(C73="","",IF($K$2="X - X",VLOOKUP(C73,Espesor!$C$8:$E$41,2,0),VLOOKUP(C73,Espesor!$C$8:$E$41,3,0)))</f>
        <v/>
      </c>
      <c r="AF101" s="319" t="str">
        <f>IF(AD101="","",IF(LOOKUP(AD101,Espesor!$C$8:$C$41,Espesor!$K$8:$K$41)="en voladizo","",IF(AD102="",0.75/AE101,1/AE101)))</f>
        <v/>
      </c>
      <c r="AG101" s="634" t="str">
        <f>IF(AF101="","",IF(AF102="","",ROUND(AF101/(AF101+AF102),3)))</f>
        <v/>
      </c>
      <c r="AH101" s="634"/>
      <c r="AI101" s="634" t="str">
        <f>IF(AF102="","",IF(AF101="","",ROUND(AF102/(AF102+AF101),3)))</f>
        <v/>
      </c>
      <c r="AJ101" s="634"/>
      <c r="AK101" s="317">
        <f>IF(D72="",0,IF($K$2="X - X",VLOOKUP(D72,'Moms de Empt'!$P$3:$T$36,3,0),VLOOKUP(D72,'Moms de Empt'!$P$3:$T$36,5,0)))</f>
        <v>0</v>
      </c>
      <c r="AL101" s="317">
        <f>+IF(AD102="",0,-AK101)</f>
        <v>0</v>
      </c>
      <c r="AM101" s="629">
        <f>IF(AD102="",0,IF(LOOKUP(AD102,Espesor!$C$8:$C$41,Espesor!$K$8:$K$41)="en voladizo",MAX(ABS(AL101),ABS(AK102)),-(AK102+AL101)))</f>
        <v>0</v>
      </c>
      <c r="AN101" s="629"/>
      <c r="AO101" s="630" t="str">
        <f>IF(AG101="","",AM101*AG101)</f>
        <v/>
      </c>
      <c r="AP101" s="630"/>
      <c r="AQ101" s="630" t="str">
        <f>IF(AI101="","",AM101*AI101)</f>
        <v/>
      </c>
      <c r="AR101" s="630"/>
      <c r="AS101" s="631">
        <f>-IF(AM101="","",IF(AL101="",IF(AO101="",0,AO101),IF(AO101="",AL101,AL101+AO101)))</f>
        <v>0</v>
      </c>
      <c r="AT101" s="632"/>
      <c r="AU101" s="341">
        <f>+AS101</f>
        <v>0</v>
      </c>
      <c r="AV101" s="332" t="str">
        <f>IF(H97="","",IF(L72="X - X",VLOOKUP(H97,'Moms de Empt'!$P$3:$T$36,2,0),VLOOKUP(H97,'Moms de Empt'!$P$3:$T$36,4,0)))</f>
        <v/>
      </c>
      <c r="AW101" s="635" t="str">
        <f>IF(AV101="","",IF(AV102="","",ROUND(AV101/(AV101+AV102),3)))</f>
        <v/>
      </c>
      <c r="AX101" s="633"/>
      <c r="AY101" s="635" t="str">
        <f>IF(AV102="","",IF(AV101="","",ROUND(AV102/(AV102+AV101),3)))</f>
        <v/>
      </c>
      <c r="AZ101" s="633"/>
      <c r="BA101" s="331" t="str">
        <f t="shared" si="142"/>
        <v/>
      </c>
      <c r="BB101" s="32"/>
      <c r="BC101" s="422"/>
      <c r="BD101" s="398"/>
      <c r="BE101" s="429"/>
      <c r="BF101" s="406"/>
      <c r="BG101" s="406"/>
      <c r="BH101" s="406"/>
      <c r="BI101" s="406"/>
      <c r="BJ101" s="406"/>
      <c r="BK101" s="406"/>
      <c r="BL101" s="406"/>
      <c r="BM101" s="406"/>
      <c r="BN101" s="393"/>
      <c r="BO101" s="393"/>
      <c r="BP101" s="393"/>
      <c r="BQ101" s="393"/>
      <c r="BR101" s="393"/>
      <c r="BS101" s="393"/>
      <c r="BT101" s="393"/>
      <c r="BU101" s="393"/>
      <c r="BV101" s="393"/>
      <c r="BW101" s="393"/>
      <c r="BX101" s="393"/>
      <c r="BY101" s="393"/>
      <c r="BZ101" s="393"/>
      <c r="CA101" s="393"/>
      <c r="CB101" s="393"/>
      <c r="CC101" s="393"/>
      <c r="CD101" s="393"/>
      <c r="CE101" s="393"/>
      <c r="CF101" s="393"/>
      <c r="CG101" s="393"/>
      <c r="CH101" s="393"/>
      <c r="CI101" s="393"/>
      <c r="CJ101" s="393"/>
      <c r="CK101" s="393"/>
      <c r="CL101" s="393"/>
      <c r="CM101" s="474"/>
      <c r="CN101" s="246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</row>
    <row r="102" spans="1:110" s="279" customFormat="1" ht="21.75" customHeight="1">
      <c r="A102" s="250" t="s">
        <v>125</v>
      </c>
      <c r="B102" s="272"/>
      <c r="C102" s="406"/>
      <c r="D102" s="678">
        <f>+IF(E97="",0,IF(LOOKUP(E97,Espesor!$C$8:$C$41,Espesor!$K$8:$K$41)="en voladizo",IF(LOOKUP(B97,Espesor!$C$8:$C$41,Espesor!$K$8:$K$41)="en voladizo","Inestable",MAX(ABS(D101),ABS(E101))),IF(LOOKUP(B97,Espesor!$C$8:$C$41,Espesor!$K$8:$K$41)="en voladizo",MAX(ABS(D101),ABS(E101)),-(E101+D101))))</f>
        <v>0</v>
      </c>
      <c r="E102" s="678"/>
      <c r="F102" s="406"/>
      <c r="G102" s="678">
        <f>+IF(H97="",0,IF(LOOKUP(H97,Espesor!$C$8:$C$41,Espesor!$K$8:$K$41)="en voladizo",IF(LOOKUP(E97,Espesor!$C$8:$C$41,Espesor!$K$8:$K$41)="en voladizo","Inestable",MAX(ABS(G101),ABS(H101))),IF(LOOKUP(E97,Espesor!$C$8:$C$41,Espesor!$K$8:$K$41)="en voladizo",MAX(ABS(G101),ABS(H101)),-(H101+G101))))</f>
        <v>0</v>
      </c>
      <c r="H102" s="678"/>
      <c r="I102" s="406"/>
      <c r="J102" s="678">
        <f>+IF(K97="",0,IF(LOOKUP(K97,Espesor!$C$8:$C$41,Espesor!$K$8:$K$41)="en voladizo",IF(LOOKUP(H97,Espesor!$C$8:$C$41,Espesor!$K$8:$K$41)="en voladizo","Inestable",MAX(ABS(J101),ABS(K101))),IF(LOOKUP(H97,Espesor!$C$8:$C$41,Espesor!$K$8:$K$41)="en voladizo",MAX(ABS(J101),ABS(K101)),-(K101+J101))))</f>
        <v>0</v>
      </c>
      <c r="K102" s="678"/>
      <c r="L102" s="406"/>
      <c r="M102" s="678">
        <f>+IF(N97="",0,IF(LOOKUP(N97,Espesor!$C$8:$C$41,Espesor!$K$8:$K$41)="en voladizo",IF(LOOKUP(K97,Espesor!$C$8:$C$41,Espesor!$K$8:$K$41)="en voladizo","Inestable",MAX(ABS(M101),ABS(N101))),IF(LOOKUP(K97,Espesor!$C$8:$C$41,Espesor!$K$8:$K$41)="en voladizo",MAX(ABS(M101),ABS(N101)),-(N101+M101))))</f>
        <v>0</v>
      </c>
      <c r="N102" s="678"/>
      <c r="O102" s="406"/>
      <c r="P102" s="678">
        <f>+IF(Q97="",0,IF(LOOKUP(Q97,Espesor!$C$8:$C$41,Espesor!$K$8:$K$41)="en voladizo",IF(LOOKUP(N97,Espesor!$C$8:$C$41,Espesor!$K$8:$K$41)="en voladizo","Inestable",MAX(ABS(P101),ABS(Q101))),IF(LOOKUP(N97,Espesor!$C$8:$C$41,Espesor!$K$8:$K$41)="en voladizo",MAX(ABS(P101),ABS(Q101)),-(Q101+P101))))</f>
        <v>0</v>
      </c>
      <c r="Q102" s="678"/>
      <c r="R102" s="406"/>
      <c r="S102" s="678">
        <f>+IF(T97="",0,IF(LOOKUP(T97,Espesor!$C$8:$C$41,Espesor!$K$8:$K$41)="en voladizo",IF(LOOKUP(Q97,Espesor!$C$8:$C$41,Espesor!$K$8:$K$41)="en voladizo","Inestable",MAX(ABS(S101),ABS(T101))),IF(LOOKUP(Q97,Espesor!$C$8:$C$41,Espesor!$K$8:$K$41)="en voladizo",MAX(ABS(S101),ABS(T101)),-(T101+S101))))</f>
        <v>0</v>
      </c>
      <c r="T102" s="678"/>
      <c r="U102" s="406"/>
      <c r="V102" s="678">
        <f>+IF(W97="",0,IF(LOOKUP(W97,Espesor!$C$8:$C$41,Espesor!$K$8:$K$41)="en voladizo",IF(LOOKUP(T97,Espesor!$C$8:$C$41,Espesor!$K$8:$K$41)="en voladizo","Inestable",MAX(ABS(V101),ABS(W101))),IF(LOOKUP(T97,Espesor!$C$8:$C$41,Espesor!$K$8:$K$41)="en voladizo",MAX(ABS(V101),ABS(W101)),-(W101+V101))))</f>
        <v>0</v>
      </c>
      <c r="W102" s="678"/>
      <c r="X102" s="406"/>
      <c r="Y102" s="678">
        <f>+IF(Z97="",0,IF(LOOKUP(Z97,Espesor!$C$8:$C$41,Espesor!$K$8:$K$41)="en voladizo",IF(LOOKUP(W97,Espesor!$C$8:$C$41,Espesor!$K$8:$K$41)="en voladizo","Inestable",MAX(ABS(Y101),ABS(Z101))),IF(LOOKUP(W97,Espesor!$C$8:$C$41,Espesor!$K$8:$K$41)="en voladizo",MAX(ABS(Y101),ABS(Z101)),-(Z101+Y101))))</f>
        <v>0</v>
      </c>
      <c r="Z102" s="678"/>
      <c r="AA102" s="406"/>
      <c r="AB102" s="252"/>
      <c r="AC102" s="292"/>
      <c r="AD102" s="321" t="str">
        <f>+IF(AH97="","",AH97)</f>
        <v/>
      </c>
      <c r="AE102" s="324" t="str">
        <f>IF(K97="","",IF($K$2="X - X",VLOOKUP(K97,Espesor!$C$8:$E$41,2,0),VLOOKUP(K97,Espesor!$C$8:$E$41,3,0)))</f>
        <v/>
      </c>
      <c r="AF102" s="319" t="str">
        <f>IF(AD102="","",IF(LOOKUP(AD102,Espesor!$C$8:$C$41,Espesor!$K$8:$K$41)="en voladizo","",IF(AD103="",0.75/AE102,1/AE102)))</f>
        <v/>
      </c>
      <c r="AG102" s="634"/>
      <c r="AH102" s="634" t="str">
        <f>IF(AF102="","",IF(AF103="","",ROUND(AF102/(AF102+AF103),3)))</f>
        <v/>
      </c>
      <c r="AI102" s="634"/>
      <c r="AJ102" s="634" t="str">
        <f>IF(AF102="","",IF(AF103="","",ROUND(AF103/(AF102+AF103),3)))</f>
        <v/>
      </c>
      <c r="AK102" s="317">
        <f>IF(E72="",0,IF($K$2="X - X",VLOOKUP(E72,'Moms de Empt'!$P$3:$T$36,3,0),VLOOKUP(E72,'Moms de Empt'!$P$3:$T$36,5,0)))</f>
        <v>0</v>
      </c>
      <c r="AL102" s="317">
        <f t="shared" ref="AL102:AL104" si="143">+IF(AD103="",0,-AK102)</f>
        <v>0</v>
      </c>
      <c r="AM102" s="629"/>
      <c r="AN102" s="629">
        <f>IF(AD103="",0,IF(LOOKUP(AD103,Espesor!$C$8:$C$41,Espesor!$K$8:$K$41)="en voladizo",MAX(ABS(AL102),ABS(AK103)),-(AK103+AL102)))</f>
        <v>0</v>
      </c>
      <c r="AO102" s="630"/>
      <c r="AP102" s="630" t="str">
        <f t="shared" ref="AP102" si="144">IF(AH102="","",AN102*AH102)</f>
        <v/>
      </c>
      <c r="AQ102" s="630"/>
      <c r="AR102" s="630" t="str">
        <f t="shared" ref="AR102" si="145">IF(AJ102="","",AN102*AJ102)</f>
        <v/>
      </c>
      <c r="AS102" s="632"/>
      <c r="AT102" s="631">
        <f t="shared" ref="AT102" si="146">-IF(AN102="","",IF(AL102="",IF(AP102="",0,AP102),IF(AP102="",AL102,AL102+AP102)))</f>
        <v>0</v>
      </c>
      <c r="AU102" s="341">
        <f>+AT102</f>
        <v>0</v>
      </c>
      <c r="AV102" s="332" t="str">
        <f>IF(K97="","",IF(L72="X - X",VLOOKUP(K97,'Moms de Empt'!$P$3:$T$36,2,0),VLOOKUP(K97,'Moms de Empt'!$P$3:$T$36,4,0)))</f>
        <v/>
      </c>
      <c r="AW102" s="635"/>
      <c r="AX102" s="633" t="str">
        <f>IF(AV102="","",IF(AV103="","",ROUND(AV102/(AV102+AV103),3)))</f>
        <v/>
      </c>
      <c r="AY102" s="635"/>
      <c r="AZ102" s="633" t="str">
        <f>IF(AV102="","",IF(AV103="","",ROUND(AV103/(AV102+AV103),3)))</f>
        <v/>
      </c>
      <c r="BA102" s="331" t="str">
        <f t="shared" si="142"/>
        <v/>
      </c>
      <c r="BB102" s="35"/>
      <c r="BC102" s="401"/>
      <c r="BD102" s="398"/>
      <c r="BE102" s="391"/>
      <c r="BF102" s="30"/>
      <c r="BG102" s="30"/>
      <c r="BH102" s="30"/>
      <c r="BI102" s="30"/>
      <c r="BJ102" s="30"/>
      <c r="BK102" s="30"/>
      <c r="BL102" s="30"/>
      <c r="BM102" s="30"/>
      <c r="BN102" s="278"/>
      <c r="BO102" s="278"/>
      <c r="BP102" s="278"/>
      <c r="BQ102" s="278"/>
      <c r="BR102" s="278"/>
      <c r="BS102" s="278"/>
      <c r="BT102" s="278"/>
      <c r="BU102" s="278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  <c r="CM102" s="475"/>
      <c r="CN102" s="32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</row>
    <row r="103" spans="1:110" s="30" customFormat="1" ht="21.75" customHeight="1">
      <c r="A103" s="253" t="s">
        <v>126</v>
      </c>
      <c r="B103" s="29"/>
      <c r="D103" s="254">
        <f>IF(D100="","",D102*D100)</f>
        <v>0</v>
      </c>
      <c r="E103" s="30">
        <f>IF(E100="","",D102*E100)</f>
        <v>0</v>
      </c>
      <c r="G103" s="277">
        <f>IF(G100="","",G102*G100)</f>
        <v>0</v>
      </c>
      <c r="H103" s="278">
        <f>IF(H100="","",G102*H100)</f>
        <v>0</v>
      </c>
      <c r="J103" s="254">
        <f>IF(J100="","",J102*J100)</f>
        <v>0</v>
      </c>
      <c r="K103" s="30">
        <f>IF(K100="","",J102*K100)</f>
        <v>0</v>
      </c>
      <c r="M103" s="254">
        <f>IF(M100="","",M102*M100)</f>
        <v>0</v>
      </c>
      <c r="N103" s="30">
        <f>IF(N100="","",M102*N100)</f>
        <v>0</v>
      </c>
      <c r="P103" s="254">
        <f>IF(P100="","",P102*P100)</f>
        <v>0</v>
      </c>
      <c r="Q103" s="30">
        <f>IF(Q100="","",P102*Q100)</f>
        <v>0</v>
      </c>
      <c r="S103" s="254">
        <f>IF(S100="","",S102*S100)</f>
        <v>0</v>
      </c>
      <c r="T103" s="30">
        <f>IF(T100="","",S102*T100)</f>
        <v>0</v>
      </c>
      <c r="V103" s="254">
        <f>IF(V100="","",V102*V100)</f>
        <v>0</v>
      </c>
      <c r="W103" s="30">
        <f>IF(W100="","",V102*W100)</f>
        <v>0</v>
      </c>
      <c r="Y103" s="254">
        <f>IF(Y100="","",Y102*Y100)</f>
        <v>0</v>
      </c>
      <c r="Z103" s="30">
        <f>IF(Z100="","",Y102*Z100)</f>
        <v>0</v>
      </c>
      <c r="AB103" s="31"/>
      <c r="AD103" s="321" t="str">
        <f>+IF(AI97="","",AI97)</f>
        <v/>
      </c>
      <c r="AE103" s="324" t="str">
        <f>IF(N97="","",IF($K$2="X - X",VLOOKUP(N97,Espesor!$C$8:$E$41,2,0),VLOOKUP(N97,Espesor!$C$8:$E$41,3,0)))</f>
        <v/>
      </c>
      <c r="AF103" s="319" t="str">
        <f>IF(AD103="","",IF(LOOKUP(AD103,Espesor!$C$8:$C$41,Espesor!$K$8:$K$41)="en voladizo","",IF(AD104="",0.75/AE103,1/AE103)))</f>
        <v/>
      </c>
      <c r="AG103" s="634" t="str">
        <f>IF(AF103="","",IF(AF104="","",ROUND(AF103/(AF103+AF104),3)))</f>
        <v/>
      </c>
      <c r="AH103" s="634"/>
      <c r="AI103" s="634" t="str">
        <f>IF(AF104="","",IF(AF103="","",ROUND(AF104/(AF104+AF103),3)))</f>
        <v/>
      </c>
      <c r="AJ103" s="634"/>
      <c r="AK103" s="317">
        <f>IF(F72="",0,IF($K$2="X - X",VLOOKUP(F72,'Moms de Empt'!$P$3:$T$36,3,0),VLOOKUP(F72,'Moms de Empt'!$P$3:$T$36,5,0)))</f>
        <v>0</v>
      </c>
      <c r="AL103" s="317">
        <f t="shared" si="143"/>
        <v>0</v>
      </c>
      <c r="AM103" s="629">
        <f>IF(AD104="",0,IF(LOOKUP(AD104,Espesor!$C$8:$C$41,Espesor!$K$8:$K$41)="en voladizo",MAX(ABS(AL103),ABS(AK104)),-(AK104+AL103)))</f>
        <v>0</v>
      </c>
      <c r="AN103" s="629"/>
      <c r="AO103" s="630" t="str">
        <f t="shared" ref="AO103" si="147">IF(AG103="","",AM103*AG103)</f>
        <v/>
      </c>
      <c r="AP103" s="630"/>
      <c r="AQ103" s="630" t="str">
        <f t="shared" ref="AQ103" si="148">IF(AI103="","",AM103*AI103)</f>
        <v/>
      </c>
      <c r="AR103" s="630"/>
      <c r="AS103" s="631">
        <f>-IF(AM103="","",IF(AL103="",IF(AO103="",0,AO103),IF(AO103="",AL103,AL103+AO103)))</f>
        <v>0</v>
      </c>
      <c r="AT103" s="632"/>
      <c r="AU103" s="341">
        <f>+AS103</f>
        <v>0</v>
      </c>
      <c r="AV103" s="332" t="str">
        <f>IF(N97="","",IF(L72="X - X",VLOOKUP(N97,'Moms de Empt'!$P$3:$T$36,2,0),VLOOKUP(N97,'Moms de Empt'!$P$3:$T$36,4,0)))</f>
        <v/>
      </c>
      <c r="AW103" s="635" t="str">
        <f>IF(AV103="","",IF(AV104="","",ROUND(AV103/(AV103+AV104),3)))</f>
        <v/>
      </c>
      <c r="AX103" s="633"/>
      <c r="AY103" s="635" t="str">
        <f>IF(AV104="","",IF(AV103="","",ROUND(AV104/(AV104+AV103),3)))</f>
        <v/>
      </c>
      <c r="AZ103" s="633"/>
      <c r="BA103" s="331" t="str">
        <f t="shared" si="142"/>
        <v/>
      </c>
      <c r="BB103" s="279"/>
      <c r="BC103" s="401"/>
      <c r="BD103" s="398"/>
      <c r="BE103" s="391"/>
      <c r="BN103" s="396"/>
      <c r="BO103" s="396"/>
      <c r="BP103" s="396"/>
      <c r="BQ103" s="396"/>
      <c r="BR103" s="396"/>
      <c r="BS103" s="396"/>
      <c r="BT103" s="396"/>
      <c r="BU103" s="396"/>
      <c r="BV103" s="396"/>
      <c r="BW103" s="396"/>
      <c r="BX103" s="396"/>
      <c r="BY103" s="396"/>
      <c r="BZ103" s="396"/>
      <c r="CA103" s="396"/>
      <c r="CB103" s="396"/>
      <c r="CC103" s="396"/>
      <c r="CD103" s="396"/>
      <c r="CE103" s="396"/>
      <c r="CF103" s="396"/>
      <c r="CG103" s="396"/>
      <c r="CH103" s="396"/>
      <c r="CI103" s="396"/>
      <c r="CJ103" s="396"/>
      <c r="CK103" s="396"/>
      <c r="CL103" s="396"/>
      <c r="CM103" s="476"/>
      <c r="CN103" s="35"/>
      <c r="CO103" s="279"/>
      <c r="CP103" s="279"/>
      <c r="CQ103" s="279"/>
      <c r="CR103" s="279"/>
      <c r="CS103" s="279"/>
      <c r="CT103" s="279"/>
      <c r="CU103" s="279"/>
      <c r="CV103" s="279"/>
      <c r="CW103" s="279"/>
      <c r="CX103" s="279"/>
      <c r="CY103" s="279"/>
      <c r="CZ103" s="279"/>
      <c r="DA103" s="279"/>
      <c r="DB103" s="279"/>
      <c r="DC103" s="279"/>
      <c r="DD103" s="279"/>
      <c r="DE103" s="279"/>
      <c r="DF103" s="279"/>
    </row>
    <row r="104" spans="1:110" s="32" customFormat="1" ht="21.75" customHeight="1" thickBot="1">
      <c r="B104" s="29"/>
      <c r="C104" s="30"/>
      <c r="D104" s="255">
        <f>IF(D102="",0,IF(D101="",IF(D103="",0,D103),IF(D103="",D101,D101+D103)))</f>
        <v>0</v>
      </c>
      <c r="E104" s="256">
        <f>IF(D102="",0,IF(E101="",IF(E103="",0,E103),IF(E103="",E101,E101+E103)))</f>
        <v>0</v>
      </c>
      <c r="F104" s="30"/>
      <c r="G104" s="276">
        <f>IF(G102="",0,IF(G101="",IF(G103="",0,G103),IF(G103="",G101,G101+G103)))</f>
        <v>0</v>
      </c>
      <c r="H104" s="256">
        <f>IF(G102="",0,IF(H101="",IF(H103="",0,H103),IF(H103="",H101,H101+H103)))</f>
        <v>0</v>
      </c>
      <c r="I104" s="30"/>
      <c r="J104" s="276">
        <f>IF(J102="",0,IF(J101="",IF(J103="",0,J103),IF(J103="",J101,J101+J103)))</f>
        <v>0</v>
      </c>
      <c r="K104" s="256">
        <f>IF(J102="",0,IF(K101="",IF(K103="",0,K103),IF(K103="",K101,K101+K103)))</f>
        <v>0</v>
      </c>
      <c r="L104" s="30"/>
      <c r="M104" s="276">
        <f>IF(M102="",0,IF(M101="",IF(M103="",0,M103),IF(M103="",M101,M101+M103)))</f>
        <v>0</v>
      </c>
      <c r="N104" s="256">
        <f>IF(M102="",0,IF(N101="",IF(N103="",0,N103),IF(N103="",N101,N101+N103)))</f>
        <v>0</v>
      </c>
      <c r="O104" s="30"/>
      <c r="P104" s="276">
        <f>IF(P102="",0,IF(P101="",IF(P103="",0,P103),IF(P103="",P101,P101+P103)))</f>
        <v>0</v>
      </c>
      <c r="Q104" s="256">
        <f>IF(P102="",0,IF(Q101="",IF(Q103="",0,Q103),IF(Q103="",Q101,Q101+Q103)))</f>
        <v>0</v>
      </c>
      <c r="R104" s="30"/>
      <c r="S104" s="276">
        <f>IF(S102="",0,IF(S101="",IF(S103="",0,S103),IF(S103="",S101,S101+S103)))</f>
        <v>0</v>
      </c>
      <c r="T104" s="256">
        <f>IF(S102="",0,IF(T101="",IF(T103="",0,T103),IF(T103="",T101,T101+T103)))</f>
        <v>0</v>
      </c>
      <c r="U104" s="30"/>
      <c r="V104" s="276">
        <f>IF(V102="",0,IF(V101="",IF(V103="",0,V103),IF(V103="",V101,V101+V103)))</f>
        <v>0</v>
      </c>
      <c r="W104" s="256">
        <f>IF(V102="",0,IF(W101="",IF(W103="",0,W103),IF(W103="",W101,W101+W103)))</f>
        <v>0</v>
      </c>
      <c r="X104" s="30"/>
      <c r="Y104" s="276">
        <f>IF(Y102="",0,IF(Y101="",IF(Y103="",0,Y103),IF(Y103="",Y101,Y101+Y103)))</f>
        <v>0</v>
      </c>
      <c r="Z104" s="256">
        <f>IF(Y102="",0,IF(Z101="",IF(Z103="",0,Z103),IF(Z103="",Z101,Z101+Z103)))</f>
        <v>0</v>
      </c>
      <c r="AA104" s="30"/>
      <c r="AB104" s="31"/>
      <c r="AC104" s="30"/>
      <c r="AD104" s="321" t="str">
        <f>+IF(AJ97="","",AJ97)</f>
        <v/>
      </c>
      <c r="AE104" s="324" t="str">
        <f>IF(Q97="","",IF($K$2="X - X",VLOOKUP(Q97,Espesor!$C$8:$E$41,2,0),VLOOKUP(Q97,Espesor!$C$8:$E$41,3,0)))</f>
        <v/>
      </c>
      <c r="AF104" s="319" t="str">
        <f>IF(AD104="","",IF(LOOKUP(AD104,Espesor!$C$8:$C$41,Espesor!$K$8:$K$41)="en voladizo","",IF(AD105="",0.75/AE104,1/AE104)))</f>
        <v/>
      </c>
      <c r="AG104" s="634"/>
      <c r="AH104" s="634" t="str">
        <f>IF(AF104="","",IF(AF105="","",ROUND(AF104/(AF104+AF105),3)))</f>
        <v/>
      </c>
      <c r="AI104" s="634"/>
      <c r="AJ104" s="634" t="str">
        <f>IF(AF104="","",IF(AF105="","",ROUND(AF105/(AF104+AF105),3)))</f>
        <v/>
      </c>
      <c r="AK104" s="317">
        <f>IF(G72="",0,IF($K$2="X - X",VLOOKUP(G72,'Moms de Empt'!$P$3:$T$36,3,0),VLOOKUP(G72,'Moms de Empt'!$P$3:$T$36,5,0)))</f>
        <v>0</v>
      </c>
      <c r="AL104" s="317">
        <f t="shared" si="143"/>
        <v>0</v>
      </c>
      <c r="AM104" s="629"/>
      <c r="AN104" s="629">
        <f>IF(AD105="",0,IF(LOOKUP(AD105,Espesor!$C$8:$C$41,Espesor!$K$8:$K$41)="en voladizo",MAX(ABS(AL104),ABS(AK105)),-(AK105+AL104)))</f>
        <v>0</v>
      </c>
      <c r="AO104" s="630"/>
      <c r="AP104" s="630" t="str">
        <f t="shared" ref="AP104" si="149">IF(AH104="","",AN104*AH104)</f>
        <v/>
      </c>
      <c r="AQ104" s="630"/>
      <c r="AR104" s="630" t="str">
        <f t="shared" ref="AR104" si="150">IF(AJ104="","",AN104*AJ104)</f>
        <v/>
      </c>
      <c r="AS104" s="632"/>
      <c r="AT104" s="631">
        <f t="shared" ref="AT104" si="151">-IF(AN104="","",IF(AL104="",IF(AP104="",0,AP104),IF(AP104="",AL104,AL104+AP104)))</f>
        <v>0</v>
      </c>
      <c r="AU104" s="341">
        <f>+AT104</f>
        <v>0</v>
      </c>
      <c r="AV104" s="332" t="str">
        <f>IF(Q97="","",IF(L72="X - X",VLOOKUP(Q97,'Moms de Empt'!$P$3:$T$36,2,0),VLOOKUP(Q97,'Moms de Empt'!$P$3:$T$36,4,0)))</f>
        <v/>
      </c>
      <c r="AW104" s="635"/>
      <c r="AX104" s="633" t="str">
        <f>IF(AV104="","",IF(AV105="","",ROUND(AV104/(AV104+AV105),3)))</f>
        <v/>
      </c>
      <c r="AY104" s="635"/>
      <c r="AZ104" s="633" t="str">
        <f>IF(AV104="","",IF(AV105="","",ROUND(AV105/(AV104+AV105),3)))</f>
        <v/>
      </c>
      <c r="BA104" s="331" t="str">
        <f t="shared" si="142"/>
        <v/>
      </c>
      <c r="BB104" s="30"/>
      <c r="BC104" s="401"/>
      <c r="BD104" s="398"/>
      <c r="BE104" s="391"/>
      <c r="BF104" s="393"/>
      <c r="BG104" s="393"/>
      <c r="BH104" s="393"/>
      <c r="BI104" s="393"/>
      <c r="BJ104" s="393"/>
      <c r="BK104" s="393"/>
      <c r="BL104" s="393"/>
      <c r="BM104" s="393"/>
      <c r="BN104" s="395"/>
      <c r="BO104" s="395"/>
      <c r="BP104" s="395"/>
      <c r="BQ104" s="395"/>
      <c r="BR104" s="395"/>
      <c r="BS104" s="395"/>
      <c r="BT104" s="395"/>
      <c r="BU104" s="395"/>
      <c r="BV104" s="395"/>
      <c r="BW104" s="395"/>
      <c r="BX104" s="395"/>
      <c r="BY104" s="395"/>
      <c r="BZ104" s="395"/>
      <c r="CA104" s="395"/>
      <c r="CB104" s="395"/>
      <c r="CC104" s="395"/>
      <c r="CD104" s="395"/>
      <c r="CE104" s="395"/>
      <c r="CF104" s="395"/>
      <c r="CG104" s="395"/>
      <c r="CH104" s="395"/>
      <c r="CI104" s="395"/>
      <c r="CJ104" s="395"/>
      <c r="CK104" s="395"/>
      <c r="CL104" s="395"/>
      <c r="CM104" s="474"/>
      <c r="CN104" s="279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</row>
    <row r="105" spans="1:110" s="36" customFormat="1" ht="21.75" customHeight="1" thickBot="1">
      <c r="A105" s="36" t="s">
        <v>66</v>
      </c>
      <c r="B105" s="273"/>
      <c r="D105" s="672">
        <f>IF(E97="",0,IF(D104=0,IF(E104=0,MAX(ABS(D101),ABS(E101)),E104),MAX(ABS(D104),ABS(E104))))</f>
        <v>0</v>
      </c>
      <c r="E105" s="674"/>
      <c r="G105" s="672">
        <f>IF(H97="",0,IF(G104=0,IF(H104=0,MAX(ABS(G101),ABS(H101)),H104),MAX(ABS(G104),ABS(H104))))</f>
        <v>0</v>
      </c>
      <c r="H105" s="674"/>
      <c r="J105" s="672">
        <f>IF(K97="",0,IF(J104=0,IF(K104=0,MAX(ABS(J101),ABS(K101)),K104),MAX(ABS(J104),ABS(K104))))</f>
        <v>0</v>
      </c>
      <c r="K105" s="674"/>
      <c r="M105" s="672">
        <f>IF(N97="",0,IF(M104=0,IF(N104=0,MAX(ABS(M101),ABS(N101)),N104),MAX(ABS(M104),ABS(N104))))</f>
        <v>0</v>
      </c>
      <c r="N105" s="674"/>
      <c r="P105" s="672">
        <f>IF(Q97="",0,IF(P104=0,IF(Q104=0,MAX(ABS(P101),ABS(Q101)),Q104),MAX(ABS(P104),ABS(Q104))))</f>
        <v>0</v>
      </c>
      <c r="Q105" s="674"/>
      <c r="S105" s="672">
        <f>IF(T97="",0,IF(S104=0,IF(T104=0,MAX(ABS(S101),ABS(T101)),T104),MAX(ABS(S104),ABS(T104))))</f>
        <v>0</v>
      </c>
      <c r="T105" s="674"/>
      <c r="U105" s="265"/>
      <c r="V105" s="672">
        <f>IF(W97="",0,IF(V104=0,IF(W104=0,MAX(ABS(V101),ABS(W101)),W104),MAX(ABS(V104),ABS(W104))))</f>
        <v>0</v>
      </c>
      <c r="W105" s="674"/>
      <c r="Y105" s="672">
        <f>IF(Z97="",0,IF(Y104=0,IF(Z104=0,MAX(ABS(Y101),ABS(Z101)),Z104),MAX(ABS(Y104),ABS(Z104))))</f>
        <v>0</v>
      </c>
      <c r="Z105" s="674"/>
      <c r="AA105" s="37"/>
      <c r="AB105" s="38"/>
      <c r="AC105" s="39"/>
      <c r="AD105" s="321" t="str">
        <f>+IF(AK97="","",AK97)</f>
        <v/>
      </c>
      <c r="AE105" s="324" t="str">
        <f>IF(T97="","",IF($K$2="X - X",VLOOKUP(T97,Espesor!$C$8:$E$41,2,0),VLOOKUP(T97,Espesor!$C$8:$E$41,3,0)))</f>
        <v/>
      </c>
      <c r="AF105" s="319" t="str">
        <f>IF(AD105="","",IF(LOOKUP(AD105,Espesor!$C$8:$C$41,Espesor!$K$8:$K$41)="en voladizo","",IF(AD106="",0.75/AE105,1/AE105)))</f>
        <v/>
      </c>
      <c r="AG105" s="634" t="str">
        <f>IF(AF105="","",IF(AF106="","",ROUND(AF105/(AF105+AF106),3)))</f>
        <v/>
      </c>
      <c r="AH105" s="634"/>
      <c r="AI105" s="634" t="str">
        <f>IF(AF106="","",IF(AF105="","",ROUND(AF106/(AF106+AF105),3)))</f>
        <v/>
      </c>
      <c r="AJ105" s="634"/>
      <c r="AK105" s="317">
        <f>IF(H72="",0,IF($K$2="X - X",VLOOKUP(H72,'Moms de Empt'!$P$3:$T$36,3,0),VLOOKUP(H72,'Moms de Empt'!$P$3:$T$36,5,0)))</f>
        <v>0</v>
      </c>
      <c r="AL105" s="317">
        <f>+IF(AD106="",0,-AK105)</f>
        <v>0</v>
      </c>
      <c r="AM105" s="629">
        <f>IF(AD106="",0,IF(LOOKUP(AD106,Espesor!$C$8:$C$41,Espesor!$K$8:$K$41)="en voladizo",MAX(ABS(AL105),ABS(AK106)),-(AK106+AL105)))</f>
        <v>0</v>
      </c>
      <c r="AN105" s="629"/>
      <c r="AO105" s="630" t="str">
        <f>IF(AG105="","",AM105*AG105)</f>
        <v/>
      </c>
      <c r="AP105" s="630"/>
      <c r="AQ105" s="630" t="str">
        <f t="shared" ref="AQ105" si="152">IF(AI105="","",AM105*AI105)</f>
        <v/>
      </c>
      <c r="AR105" s="630"/>
      <c r="AS105" s="631">
        <f>-IF(AM105="","",IF(AL105="",IF(AO105="",0,AO105),IF(AO105="",AL105,AL105+AO105)))</f>
        <v>0</v>
      </c>
      <c r="AT105" s="632"/>
      <c r="AU105" s="341">
        <f>+AS105</f>
        <v>0</v>
      </c>
      <c r="AV105" s="332" t="str">
        <f>IF(T97="","",IF(L72="X - X",VLOOKUP(T97,'Moms de Empt'!$P$3:$T$36,2,0),VLOOKUP(T97,'Moms de Empt'!$P$3:$T$36,4,0)))</f>
        <v/>
      </c>
      <c r="AW105" s="635" t="str">
        <f>IF(AV105="","",IF(AV106="","",ROUND(AV105/(AV105+AV106),3)))</f>
        <v/>
      </c>
      <c r="AX105" s="633"/>
      <c r="AY105" s="635" t="str">
        <f>IF(AV106="","",IF(AV105="","",ROUND(AV106/(AV106+AV105),3)))</f>
        <v/>
      </c>
      <c r="AZ105" s="633"/>
      <c r="BA105" s="331" t="str">
        <f t="shared" si="142"/>
        <v/>
      </c>
      <c r="BB105" s="32"/>
      <c r="BC105" s="401"/>
      <c r="BD105" s="398"/>
      <c r="BE105" s="391"/>
      <c r="BF105" s="393"/>
      <c r="BG105" s="393"/>
      <c r="BH105" s="393"/>
      <c r="BI105" s="393"/>
      <c r="BJ105" s="393"/>
      <c r="BK105" s="393"/>
      <c r="BL105" s="393"/>
      <c r="BM105" s="393"/>
      <c r="BN105" s="396"/>
      <c r="BO105" s="396"/>
      <c r="BP105" s="396"/>
      <c r="BQ105" s="396"/>
      <c r="BR105" s="396"/>
      <c r="BS105" s="396"/>
      <c r="BT105" s="396"/>
      <c r="BU105" s="396"/>
      <c r="BV105" s="396"/>
      <c r="BW105" s="396"/>
      <c r="BX105" s="396"/>
      <c r="BY105" s="396"/>
      <c r="BZ105" s="396"/>
      <c r="CA105" s="396"/>
      <c r="CB105" s="396"/>
      <c r="CC105" s="396"/>
      <c r="CD105" s="396"/>
      <c r="CE105" s="396"/>
      <c r="CF105" s="396"/>
      <c r="CG105" s="396"/>
      <c r="CH105" s="396"/>
      <c r="CI105" s="396"/>
      <c r="CJ105" s="396"/>
      <c r="CK105" s="396"/>
      <c r="CL105" s="396"/>
      <c r="CM105" s="474"/>
      <c r="CN105" s="30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</row>
    <row r="106" spans="1:110" s="36" customFormat="1" ht="21.75" customHeight="1" thickBot="1">
      <c r="B106" s="274"/>
      <c r="D106" s="690">
        <f>IF(D105="","",D105*100000)</f>
        <v>0</v>
      </c>
      <c r="E106" s="690"/>
      <c r="G106" s="690">
        <f>IF(G105="","",G105*100000)</f>
        <v>0</v>
      </c>
      <c r="H106" s="690"/>
      <c r="I106" s="388"/>
      <c r="J106" s="690">
        <f>IF(J105="","",J105*100000)</f>
        <v>0</v>
      </c>
      <c r="K106" s="690"/>
      <c r="L106" s="388"/>
      <c r="M106" s="690">
        <f>IF(M105="","",M105*100000)</f>
        <v>0</v>
      </c>
      <c r="N106" s="690"/>
      <c r="O106" s="388"/>
      <c r="P106" s="690">
        <f>IF(P105="","",P105*100000)</f>
        <v>0</v>
      </c>
      <c r="Q106" s="690"/>
      <c r="R106" s="388"/>
      <c r="S106" s="690">
        <f>IF(S105="","",S105*100000)</f>
        <v>0</v>
      </c>
      <c r="T106" s="690"/>
      <c r="U106" s="387"/>
      <c r="V106" s="690">
        <f>IF(V105="","",V105*100000)</f>
        <v>0</v>
      </c>
      <c r="W106" s="690"/>
      <c r="X106" s="388"/>
      <c r="Y106" s="690">
        <f>IF(Y105="","",Y105*100000)</f>
        <v>0</v>
      </c>
      <c r="Z106" s="690"/>
      <c r="AA106" s="37"/>
      <c r="AB106" s="275"/>
      <c r="AC106" s="39"/>
      <c r="AD106" s="321" t="str">
        <f>+IF(AL97="","",AL97)</f>
        <v/>
      </c>
      <c r="AE106" s="324" t="str">
        <f>IF(W97="","",IF($K$2="X - X",VLOOKUP(W97,Espesor!$C$8:$E$41,2,0),VLOOKUP(W97,Espesor!$C$8:$E$41,3,0)))</f>
        <v/>
      </c>
      <c r="AF106" s="319" t="str">
        <f>IF(AD106="","",IF(LOOKUP(AD106,Espesor!$C$8:$C$41,Espesor!$K$8:$K$41)="en voladizo","",IF(AD107="",0.75/AE106,1/AE106)))</f>
        <v/>
      </c>
      <c r="AG106" s="634"/>
      <c r="AH106" s="634" t="str">
        <f>IF(AF106="","",IF(AF107="","",ROUND(AF106/(AF106+AF107),3)))</f>
        <v/>
      </c>
      <c r="AI106" s="634"/>
      <c r="AJ106" s="634" t="str">
        <f>IF(AF106="","",IF(AF107="","",ROUND(AF107/(AF106+AF107),3)))</f>
        <v/>
      </c>
      <c r="AK106" s="317">
        <f>IF(I72="",0,IF($K$2="X - X",VLOOKUP(I72,'Moms de Empt'!$P$3:$T$36,3,0),VLOOKUP(I72,'Moms de Empt'!$P$3:$T$36,5,0)))</f>
        <v>0</v>
      </c>
      <c r="AL106" s="317">
        <f t="shared" ref="AL106:AL107" si="153">+IF(AD107="",0,-AK106)</f>
        <v>0</v>
      </c>
      <c r="AM106" s="629"/>
      <c r="AN106" s="629">
        <f>IF(AD107="",0,IF(LOOKUP(AD107,Espesor!$C$8:$C$41,Espesor!$K$8:$K$41)="en voladizo",MAX(ABS(AL106),ABS(AK107)),-(AK107+AL106)))</f>
        <v>0</v>
      </c>
      <c r="AO106" s="630"/>
      <c r="AP106" s="630" t="str">
        <f t="shared" ref="AP106" si="154">IF(AH106="","",AN106*AH106)</f>
        <v/>
      </c>
      <c r="AQ106" s="630"/>
      <c r="AR106" s="630" t="str">
        <f t="shared" ref="AR106" si="155">IF(AJ106="","",AN106*AJ106)</f>
        <v/>
      </c>
      <c r="AS106" s="632"/>
      <c r="AT106" s="631">
        <f t="shared" ref="AT106" si="156">-IF(AN106="","",IF(AL106="",IF(AP106="",0,AP106),IF(AP106="",AL106,AL106+AP106)))</f>
        <v>0</v>
      </c>
      <c r="AU106" s="341">
        <f>+AT106</f>
        <v>0</v>
      </c>
      <c r="AV106" s="332" t="str">
        <f>IF(W97="","",IF(L72="X - X",VLOOKUP(W97,'Moms de Empt'!$P$3:$T$36,2,0),VLOOKUP(W97,'Moms de Empt'!$P$3:$T$36,4,0)))</f>
        <v/>
      </c>
      <c r="AW106" s="635"/>
      <c r="AX106" s="633" t="str">
        <f>IF(AV106="","",IF(AV107="","",ROUND(AV106/(AV106+AV107),3)))</f>
        <v/>
      </c>
      <c r="AY106" s="635"/>
      <c r="AZ106" s="633" t="str">
        <f>IF(AV106="","",IF(AV107="","",ROUND(AV107/(AV106+AV107),3)))</f>
        <v/>
      </c>
      <c r="BA106" s="331" t="str">
        <f t="shared" si="142"/>
        <v/>
      </c>
      <c r="BC106" s="401"/>
      <c r="BD106" s="398"/>
      <c r="BE106" s="391"/>
      <c r="BF106" s="278"/>
      <c r="BG106" s="278"/>
      <c r="BH106" s="278"/>
      <c r="BI106" s="278"/>
      <c r="BJ106" s="278"/>
      <c r="BK106" s="278"/>
      <c r="BL106" s="278"/>
      <c r="BM106" s="278"/>
      <c r="BN106" s="396"/>
      <c r="BO106" s="396"/>
      <c r="BP106" s="396"/>
      <c r="BQ106" s="396"/>
      <c r="BR106" s="396"/>
      <c r="BS106" s="396"/>
      <c r="BT106" s="396"/>
      <c r="BU106" s="396"/>
      <c r="BV106" s="396"/>
      <c r="BW106" s="396"/>
      <c r="BX106" s="396"/>
      <c r="BY106" s="396"/>
      <c r="BZ106" s="396"/>
      <c r="CA106" s="396"/>
      <c r="CB106" s="396"/>
      <c r="CC106" s="396"/>
      <c r="CD106" s="396"/>
      <c r="CE106" s="396"/>
      <c r="CF106" s="396"/>
      <c r="CG106" s="396"/>
      <c r="CH106" s="396"/>
      <c r="CI106" s="396"/>
      <c r="CJ106" s="396"/>
      <c r="CK106" s="396"/>
      <c r="CL106" s="396"/>
      <c r="CM106" s="430"/>
      <c r="CN106" s="32"/>
    </row>
    <row r="107" spans="1:110" s="210" customFormat="1" ht="21.75" customHeight="1" thickBot="1">
      <c r="A107" s="257" t="s">
        <v>127</v>
      </c>
      <c r="B107" s="675" t="str">
        <f>IF(B97="","",IF(K6="X - X",VLOOKUP(B97,'Moms de Empt'!$P$3:$T$36,2,0),VLOOKUP(B97,'Moms de Empt'!$P$3:$T$36,4,0)))</f>
        <v/>
      </c>
      <c r="C107" s="676"/>
      <c r="D107" s="677"/>
      <c r="E107" s="675" t="str">
        <f>IF(E97="","",IF(K6="X - X",VLOOKUP(E97,'Moms de Empt'!$P$3:$T$36,2,0),VLOOKUP(E97,'Moms de Empt'!$P$3:$T$36,4,0)))</f>
        <v/>
      </c>
      <c r="F107" s="676"/>
      <c r="G107" s="677"/>
      <c r="H107" s="675" t="str">
        <f>IF(H97="","",IF(K6="X - X",VLOOKUP(H97,'Moms de Empt'!$P$3:$T$36,2,0),VLOOKUP(H97,'Moms de Empt'!$P$3:$T$36,4,0)))</f>
        <v/>
      </c>
      <c r="I107" s="676"/>
      <c r="J107" s="677"/>
      <c r="K107" s="675" t="str">
        <f>IF(K97="","",IF(K6="X - X",VLOOKUP(K97,'Moms de Empt'!$P$3:$T$36,2,0),VLOOKUP(K97,'Moms de Empt'!$P$3:$T$36,4,0)))</f>
        <v/>
      </c>
      <c r="L107" s="676"/>
      <c r="M107" s="677"/>
      <c r="N107" s="675" t="str">
        <f>IF(N97="","",IF(K6="X - X",VLOOKUP(N97,'Moms de Empt'!$P$3:$T$36,2,0),VLOOKUP(N97,'Moms de Empt'!$P$3:$T$36,4,0)))</f>
        <v/>
      </c>
      <c r="O107" s="676"/>
      <c r="P107" s="677"/>
      <c r="Q107" s="675" t="str">
        <f>IF(Q97="","",IF(K6="X - X",VLOOKUP(Q97,'Moms de Empt'!$P$3:$T$36,2,0),VLOOKUP(Q97,'Moms de Empt'!$P$3:$T$36,4,0)))</f>
        <v/>
      </c>
      <c r="R107" s="676"/>
      <c r="S107" s="677"/>
      <c r="T107" s="675" t="str">
        <f>IF(T97="","",IF(K6="X - X",VLOOKUP(T97,'Moms de Empt'!$P$3:$T$36,2,0),VLOOKUP(T97,'Moms de Empt'!$P$3:$T$36,4,0)))</f>
        <v/>
      </c>
      <c r="U107" s="676"/>
      <c r="V107" s="677"/>
      <c r="W107" s="675" t="str">
        <f>IF(W97="","",IF(K6="X - X",VLOOKUP(W97,'Moms de Empt'!$P$3:$T$36,2,0),VLOOKUP(W97,'Moms de Empt'!$P$3:$T$36,4,0)))</f>
        <v/>
      </c>
      <c r="X107" s="676"/>
      <c r="Y107" s="677"/>
      <c r="Z107" s="675" t="str">
        <f>IF(Z97="","",IF(K6="X - X",VLOOKUP(Z97,'Moms de Empt'!$P$3:$T$36,2,0),VLOOKUP(Z97,'Moms de Empt'!$P$3:$T$36,4,0)))</f>
        <v/>
      </c>
      <c r="AA107" s="676"/>
      <c r="AB107" s="677"/>
      <c r="AC107" s="40"/>
      <c r="AD107" s="321" t="str">
        <f>+IF(AM97="","",AM97)</f>
        <v/>
      </c>
      <c r="AE107" s="324" t="str">
        <f>IF(Z97="","",IF($K$2="X - X",VLOOKUP(Z97,Espesor!$C$8:$E$41,2,0),VLOOKUP(Z97,Espesor!$C$8:$E$41,3,0)))</f>
        <v/>
      </c>
      <c r="AF107" s="319" t="str">
        <f>IF(AD107="","",IF(LOOKUP(AD107,Espesor!$C$8:$C$41,Espesor!$K$8:$K$41)="en voladizo","",IF(AD108="",0.75/AE107,1/AE107)))</f>
        <v/>
      </c>
      <c r="AG107" s="344" t="str">
        <f>IF(AF107="","",IF(AK81="","",ROUND(AF107/(AF107+AK81),3)))</f>
        <v/>
      </c>
      <c r="AH107" s="634"/>
      <c r="AI107" s="344" t="str">
        <f>IF(AK81="","",IF(AF107="","",ROUND(AK81/(AK81+AF107),3)))</f>
        <v/>
      </c>
      <c r="AJ107" s="634"/>
      <c r="AK107" s="317">
        <f>IF(J72="",0,IF($K$2="X - X",VLOOKUP(J72,'Moms de Empt'!$P$3:$T$36,3,0),VLOOKUP(J72,'Moms de Empt'!$P$3:$T$36,5,0)))</f>
        <v>0</v>
      </c>
      <c r="AL107" s="317">
        <f t="shared" si="153"/>
        <v>0</v>
      </c>
      <c r="AM107" s="307" t="str">
        <f>IF(AI81="","",IF(LOOKUP(AI81,[6]Espesor!$C$8:$C$41,[6]Espesor!$K$8:$K$41)="en voladizo",MAX(ABS(AL107),ABS(AQ81)),-(AQ81-AL107)))</f>
        <v/>
      </c>
      <c r="AN107" s="629"/>
      <c r="AO107" s="340" t="str">
        <f t="shared" ref="AO107" si="157">IF(AG107="","",AM107*AG107)</f>
        <v/>
      </c>
      <c r="AP107" s="630"/>
      <c r="AQ107" s="315" t="str">
        <f t="shared" ref="AQ107" si="158">IF(AI107="","",AM107*AI107)</f>
        <v/>
      </c>
      <c r="AR107" s="630"/>
      <c r="AS107" s="312" t="str">
        <f t="shared" ref="AS107" si="159">IF(AM107="","",IF(AL107="",IF(AO107="",0,AO107),IF(AO107="",AL107,AL107+AO107)))</f>
        <v/>
      </c>
      <c r="AT107" s="632"/>
      <c r="AU107" s="341"/>
      <c r="AV107" s="333" t="str">
        <f>IF(Z97="","",IF(L72="X - X",VLOOKUP(Z97,'Moms de Empt'!$P$3:$T$36,2,0),VLOOKUP(Z97,'Moms de Empt'!$P$3:$T$36,4,0)))</f>
        <v/>
      </c>
      <c r="AW107" s="337" t="str">
        <f>IF(AV107="","",IF(BA81="","",ROUND(AV107/(AV107+BA81),3)))</f>
        <v/>
      </c>
      <c r="AX107" s="633"/>
      <c r="AY107" s="337" t="str">
        <f>IF(BA81="","",IF(AV107="","",ROUND(BA81/(BA81+AV107),3)))</f>
        <v/>
      </c>
      <c r="AZ107" s="633"/>
      <c r="BA107" s="331"/>
      <c r="BB107" s="36"/>
      <c r="BC107" s="401"/>
      <c r="BD107" s="398"/>
      <c r="BE107" s="391"/>
      <c r="BF107" s="396"/>
      <c r="BG107" s="396"/>
      <c r="BH107" s="396"/>
      <c r="BI107" s="396"/>
      <c r="BJ107" s="396"/>
      <c r="BK107" s="396"/>
      <c r="BL107" s="396"/>
      <c r="BM107" s="396"/>
      <c r="BN107" s="397"/>
      <c r="BO107" s="397"/>
      <c r="BP107" s="397"/>
      <c r="BQ107" s="397"/>
      <c r="BR107" s="397"/>
      <c r="BS107" s="397"/>
      <c r="BT107" s="397"/>
      <c r="BU107" s="397"/>
      <c r="BV107" s="397"/>
      <c r="BW107" s="397"/>
      <c r="BX107" s="397"/>
      <c r="BY107" s="397"/>
      <c r="BZ107" s="397"/>
      <c r="CA107" s="397"/>
      <c r="CB107" s="397"/>
      <c r="CC107" s="397"/>
      <c r="CD107" s="397"/>
      <c r="CE107" s="397"/>
      <c r="CF107" s="397"/>
      <c r="CG107" s="397"/>
      <c r="CH107" s="397"/>
      <c r="CI107" s="397"/>
      <c r="CJ107" s="397"/>
      <c r="CK107" s="397"/>
      <c r="CL107" s="397"/>
      <c r="CM107" s="430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</row>
    <row r="108" spans="1:110" ht="21.75" customHeight="1" thickBot="1">
      <c r="A108" s="258"/>
      <c r="B108" s="209"/>
      <c r="C108" s="209"/>
      <c r="D108" s="209" t="str">
        <f>IF(B99="","",IF(D101="","",IF(ABS(D105)&gt;ABS(D101),-0.5*ABS(D103),0.5*ABS(D103))))</f>
        <v/>
      </c>
      <c r="E108" s="209" t="str">
        <f>IF(E99="","",IF(E101="","",IF(ABS(D105)&gt;ABS(E101),-0.5*ABS(E103),0.5*ABS(E103))))</f>
        <v/>
      </c>
      <c r="F108" s="209"/>
      <c r="G108" s="209" t="str">
        <f>IF(E99="","",IF(G101="","",IF(ABS(G105)&gt;ABS(G101),-0.5*ABS(G103),0.5*ABS(G103))))</f>
        <v/>
      </c>
      <c r="H108" s="209" t="str">
        <f>IF(H99="","",IF(H101="","",IF(ABS(G105)&gt;ABS(H101),-0.5*ABS(H103),0.5*ABS(H103))))</f>
        <v/>
      </c>
      <c r="I108" s="209"/>
      <c r="J108" s="209" t="str">
        <f>IF(H99="","",IF(J101="","",IF(ABS(J105)&gt;ABS(J101),-0.5*ABS(J103),0.5*ABS(J103))))</f>
        <v/>
      </c>
      <c r="K108" s="209" t="str">
        <f>IF(K99="","",IF(K101="","",IF(ABS(J105)&gt;ABS(K101),-0.5*ABS(K103),0.5*ABS(K103))))</f>
        <v/>
      </c>
      <c r="L108" s="209"/>
      <c r="M108" s="209" t="str">
        <f>IF(K99="","",IF(M101="","",IF(ABS(M105)&gt;ABS(M101),-0.5*ABS(M103),0.5*ABS(M103))))</f>
        <v/>
      </c>
      <c r="N108" s="209" t="str">
        <f>IF(N99="","",IF(N101="","",IF(ABS(M105)&gt;ABS(N101),-0.5*ABS(N103),0.5*ABS(N103))))</f>
        <v/>
      </c>
      <c r="O108" s="209"/>
      <c r="P108" s="209" t="str">
        <f>IF(N99="","",IF(P101="","",IF(ABS(P105)&gt;ABS(P101),-0.5*ABS(P103),0.5*ABS(P103))))</f>
        <v/>
      </c>
      <c r="Q108" s="209" t="str">
        <f>IF(Q99="","",IF(Q101="","",IF(ABS(P105)&gt;ABS(Q101),-0.5*ABS(Q103),0.5*ABS(Q103))))</f>
        <v/>
      </c>
      <c r="R108" s="209"/>
      <c r="S108" s="209" t="str">
        <f>IF(Q99="","",IF(S101="","",IF(ABS(S105)&gt;ABS(S101),-0.5*ABS(S103),0.5*ABS(S103))))</f>
        <v/>
      </c>
      <c r="T108" s="209" t="str">
        <f>IF(T99="","",IF(T101="","",IF(ABS(S105)&gt;ABS(T101),-0.5*ABS(T103),0.5*ABS(T103))))</f>
        <v/>
      </c>
      <c r="U108" s="209"/>
      <c r="V108" s="209" t="str">
        <f>IF(T99="","",IF(V101="","",IF(ABS(V105)&gt;ABS(V101),-0.5*ABS(V103),0.5*ABS(V103))))</f>
        <v/>
      </c>
      <c r="W108" s="209" t="str">
        <f>IF(W99="","",IF(W101="","",IF(ABS(V105)&gt;ABS(W101),-0.5*ABS(W103),0.5*ABS(W103))))</f>
        <v/>
      </c>
      <c r="X108" s="209"/>
      <c r="Y108" s="209" t="str">
        <f>IF(W99="","",IF(Y101="","",IF(ABS(Y105)&gt;ABS(Y101),-0.5*ABS(Y103),0.5*ABS(Y103))))</f>
        <v/>
      </c>
      <c r="Z108" s="209" t="str">
        <f>IF(Z99="","",IF(Z101="","",IF(ABS(Y105)&gt;ABS(Z101),-0.5*ABS(Z103),0.5*ABS(Z103))))</f>
        <v/>
      </c>
      <c r="AA108" s="209"/>
      <c r="AB108" s="209" t="str">
        <f>IF(Z99="","",IF(AB101="","",IF(AB105&gt;-AB101,IF(AB103&lt;0,0.5*AB103,-0.5*AB103),0.5*AB103)))</f>
        <v/>
      </c>
      <c r="AD108" s="210"/>
      <c r="AE108" s="210"/>
      <c r="AF108" s="210"/>
      <c r="AG108" s="210"/>
      <c r="AH108" s="210"/>
      <c r="AI108" s="210"/>
      <c r="AJ108" s="210"/>
      <c r="AK108" s="40"/>
      <c r="AL108" s="210"/>
      <c r="AM108" s="40"/>
      <c r="AN108" s="40"/>
      <c r="AO108" s="40"/>
      <c r="AP108" s="40"/>
      <c r="AQ108" s="40"/>
      <c r="AR108" s="40"/>
      <c r="AS108" s="40"/>
      <c r="AT108" s="40"/>
      <c r="AU108" s="210"/>
      <c r="AV108" s="210"/>
      <c r="AW108" s="210"/>
      <c r="AX108" s="210"/>
      <c r="AY108" s="210"/>
      <c r="AZ108" s="210"/>
      <c r="BA108" s="210"/>
      <c r="BB108" s="210"/>
      <c r="BC108" s="401"/>
      <c r="BD108" s="398"/>
      <c r="BE108" s="391"/>
      <c r="BF108" s="395"/>
      <c r="BG108" s="395"/>
      <c r="BH108" s="395"/>
      <c r="BI108" s="395"/>
      <c r="BJ108" s="395"/>
      <c r="BK108" s="395"/>
      <c r="BL108" s="395"/>
      <c r="BM108" s="395"/>
      <c r="BN108" s="397"/>
      <c r="BO108" s="397"/>
      <c r="BP108" s="397"/>
      <c r="BQ108" s="397"/>
      <c r="BR108" s="397"/>
      <c r="BS108" s="397"/>
      <c r="BT108" s="397"/>
      <c r="BU108" s="397"/>
      <c r="BV108" s="397"/>
      <c r="BW108" s="397"/>
      <c r="BX108" s="397"/>
      <c r="BY108" s="397"/>
      <c r="BZ108" s="397"/>
      <c r="CA108" s="397"/>
      <c r="CB108" s="397"/>
      <c r="CC108" s="397"/>
      <c r="CD108" s="397"/>
      <c r="CE108" s="397"/>
      <c r="CF108" s="397"/>
      <c r="CG108" s="397"/>
      <c r="CH108" s="397"/>
      <c r="CI108" s="397"/>
      <c r="CJ108" s="397"/>
      <c r="CK108" s="397"/>
      <c r="CL108" s="397"/>
      <c r="CM108" s="477"/>
      <c r="CN108" s="36"/>
      <c r="CO108" s="210"/>
      <c r="CP108" s="210"/>
      <c r="CQ108" s="210"/>
      <c r="CR108" s="210"/>
      <c r="CS108" s="210"/>
      <c r="CT108" s="210"/>
      <c r="CU108" s="210"/>
      <c r="CV108" s="210"/>
      <c r="CW108" s="210"/>
      <c r="CX108" s="210"/>
      <c r="CY108" s="210"/>
      <c r="CZ108" s="210"/>
      <c r="DA108" s="210"/>
      <c r="DB108" s="210"/>
      <c r="DC108" s="210"/>
      <c r="DD108" s="210"/>
      <c r="DE108" s="210"/>
      <c r="DF108" s="210"/>
    </row>
    <row r="109" spans="1:110" s="260" customFormat="1" ht="21.75" customHeight="1" thickBot="1">
      <c r="A109" s="259" t="s">
        <v>128</v>
      </c>
      <c r="B109" s="672" t="str">
        <f>IF(B108="",IF(D108="",B107,B107+D108),IF(D108="",B107+B108,B107+B108+D108))</f>
        <v/>
      </c>
      <c r="C109" s="673"/>
      <c r="D109" s="674"/>
      <c r="E109" s="672" t="str">
        <f>IF(E108="",IF(G108="",E107,E107+G108),IF(G108="",E107+E108,E107+E108+G108))</f>
        <v/>
      </c>
      <c r="F109" s="673"/>
      <c r="G109" s="674"/>
      <c r="H109" s="672" t="str">
        <f>IF(H108="",IF(J108="",H107,H107+J108),IF(J108="",H107+H108,H107+H108+J108))</f>
        <v/>
      </c>
      <c r="I109" s="673"/>
      <c r="J109" s="674"/>
      <c r="K109" s="672" t="str">
        <f>IF(K108="",IF(M108="",K107,K107+M108),IF(M108="",K107+K108,K107+K108+M108))</f>
        <v/>
      </c>
      <c r="L109" s="673"/>
      <c r="M109" s="674"/>
      <c r="N109" s="672" t="str">
        <f>IF(N108="",IF(P108="",N107,N107+P108),IF(P108="",N107+N108,N107+N108+P108))</f>
        <v/>
      </c>
      <c r="O109" s="673"/>
      <c r="P109" s="674"/>
      <c r="Q109" s="672" t="str">
        <f>IF(Q108="",IF(S108="",Q107,Q107+S108),IF(S108="",Q107+Q108,Q107+Q108+S108))</f>
        <v/>
      </c>
      <c r="R109" s="673"/>
      <c r="S109" s="674"/>
      <c r="T109" s="672" t="str">
        <f>IF(T108="",IF(V108="",T107,T107+V108),IF(V108="",T107+T108,T107+T108+V108))</f>
        <v/>
      </c>
      <c r="U109" s="673"/>
      <c r="V109" s="674"/>
      <c r="W109" s="672" t="str">
        <f>IF(W108="",IF(Y108="",W107,W107+Y108),IF(Y108="",W107+W108,W107+W108+Y108))</f>
        <v/>
      </c>
      <c r="X109" s="673"/>
      <c r="Y109" s="674"/>
      <c r="Z109" s="672" t="str">
        <f>IF(Z108="",IF(AB108="",Z107,Z107+AB108),IF(AB108="",Z107+Z108,Z107+Z108+AB108))</f>
        <v/>
      </c>
      <c r="AA109" s="673"/>
      <c r="AB109" s="674"/>
      <c r="AC109" s="39"/>
      <c r="AK109" s="39"/>
      <c r="AL109" s="39"/>
      <c r="AO109" s="39"/>
      <c r="AP109" s="39"/>
      <c r="AQ109" s="39"/>
      <c r="AR109" s="39"/>
      <c r="BB109" s="27"/>
      <c r="BC109" s="401"/>
      <c r="BD109" s="398"/>
      <c r="BE109" s="391"/>
      <c r="BF109" s="396"/>
      <c r="BG109" s="396"/>
      <c r="BH109" s="396"/>
      <c r="BI109" s="396"/>
      <c r="BJ109" s="396"/>
      <c r="BK109" s="396"/>
      <c r="BL109" s="396"/>
      <c r="BM109" s="396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431"/>
      <c r="CN109" s="210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</row>
    <row r="110" spans="1:110" ht="21.75" customHeight="1">
      <c r="BB110" s="260"/>
      <c r="BC110" s="401"/>
      <c r="BD110" s="398"/>
      <c r="BE110" s="391"/>
      <c r="BN110" s="243"/>
      <c r="BO110" s="243"/>
      <c r="BP110" s="243"/>
      <c r="BQ110" s="243"/>
      <c r="BR110" s="243"/>
      <c r="BS110" s="243"/>
      <c r="BT110" s="243"/>
      <c r="BU110" s="243"/>
      <c r="BV110" s="243"/>
      <c r="BW110" s="243"/>
      <c r="BX110" s="243"/>
      <c r="BY110" s="243"/>
      <c r="BZ110" s="243"/>
      <c r="CA110" s="243"/>
      <c r="CB110" s="243"/>
      <c r="CC110" s="243"/>
      <c r="CD110" s="243"/>
      <c r="CE110" s="243"/>
      <c r="CF110" s="243"/>
      <c r="CG110" s="243"/>
      <c r="CH110" s="243"/>
      <c r="CI110" s="243"/>
      <c r="CJ110" s="243"/>
      <c r="CK110" s="243"/>
      <c r="CL110" s="243"/>
      <c r="CM110" s="478"/>
      <c r="CO110" s="260"/>
      <c r="CP110" s="260"/>
      <c r="CQ110" s="260"/>
      <c r="CR110" s="260"/>
      <c r="CS110" s="260"/>
      <c r="CT110" s="260"/>
      <c r="CU110" s="260"/>
      <c r="CV110" s="260"/>
      <c r="CW110" s="260"/>
      <c r="CX110" s="260"/>
      <c r="CY110" s="260"/>
      <c r="CZ110" s="260"/>
      <c r="DA110" s="260"/>
      <c r="DB110" s="260"/>
      <c r="DC110" s="260"/>
      <c r="DD110" s="260"/>
      <c r="DE110" s="260"/>
      <c r="DF110" s="260"/>
    </row>
    <row r="111" spans="1:110" s="263" customFormat="1" ht="21.75" customHeight="1" thickBot="1">
      <c r="A111" s="626">
        <f>+A7</f>
        <v>6</v>
      </c>
      <c r="B111" s="626"/>
      <c r="C111" s="626"/>
      <c r="D111" s="626"/>
      <c r="E111" s="626"/>
      <c r="F111" s="627"/>
      <c r="G111" s="627"/>
      <c r="H111" s="627"/>
      <c r="I111" s="627"/>
      <c r="J111" s="628" t="s">
        <v>134</v>
      </c>
      <c r="K111" s="628"/>
      <c r="L111" s="271" t="str">
        <f>+K7</f>
        <v>X - X</v>
      </c>
      <c r="M111" s="262"/>
      <c r="N111" s="404"/>
      <c r="O111" s="402"/>
      <c r="P111" s="262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401"/>
      <c r="BD111" s="398"/>
      <c r="BE111" s="391"/>
      <c r="BF111" s="397"/>
      <c r="BG111" s="397"/>
      <c r="BH111" s="397"/>
      <c r="BI111" s="397"/>
      <c r="BJ111" s="397"/>
      <c r="BK111" s="397"/>
      <c r="BL111" s="397"/>
      <c r="BM111" s="397"/>
      <c r="BN111" s="244"/>
      <c r="BO111" s="244"/>
      <c r="BP111" s="244"/>
      <c r="BQ111" s="244"/>
      <c r="BR111" s="244"/>
      <c r="BS111" s="244"/>
      <c r="BT111" s="244"/>
      <c r="BU111" s="244"/>
      <c r="BV111" s="244"/>
      <c r="BW111" s="244"/>
      <c r="BX111" s="244"/>
      <c r="BY111" s="244"/>
      <c r="BZ111" s="244"/>
      <c r="CA111" s="244"/>
      <c r="CB111" s="244"/>
      <c r="CC111" s="244"/>
      <c r="CD111" s="244"/>
      <c r="CE111" s="244"/>
      <c r="CF111" s="244"/>
      <c r="CG111" s="244"/>
      <c r="CH111" s="244"/>
      <c r="CI111" s="244"/>
      <c r="CJ111" s="244"/>
      <c r="CK111" s="244"/>
      <c r="CL111" s="244"/>
      <c r="CM111" s="431"/>
      <c r="CN111" s="260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</row>
    <row r="112" spans="1:110" s="263" customFormat="1" ht="21.75" customHeight="1" thickTop="1">
      <c r="A112" s="686" t="str">
        <f>+Espesor!$J$3</f>
        <v>Techo</v>
      </c>
      <c r="B112" s="686"/>
      <c r="C112" s="687" t="s">
        <v>136</v>
      </c>
      <c r="D112" s="687"/>
      <c r="E112" s="264" t="str">
        <f>IF(B7="","",B7)</f>
        <v/>
      </c>
      <c r="F112" s="264" t="str">
        <f t="shared" ref="F112:J112" si="160">IF(C7="","",C7)</f>
        <v/>
      </c>
      <c r="G112" s="264" t="str">
        <f t="shared" si="160"/>
        <v/>
      </c>
      <c r="H112" s="264" t="str">
        <f t="shared" si="160"/>
        <v/>
      </c>
      <c r="I112" s="264" t="str">
        <f t="shared" si="160"/>
        <v/>
      </c>
      <c r="J112" s="264" t="str">
        <f t="shared" si="160"/>
        <v/>
      </c>
      <c r="K112" s="264" t="str">
        <f>IF(H7="","",H7)</f>
        <v/>
      </c>
      <c r="L112" s="264" t="str">
        <f t="shared" ref="L112" si="161">IF(I7="","",I7)</f>
        <v/>
      </c>
      <c r="M112" s="264" t="str">
        <f t="shared" ref="M112" si="162">IF(J7="","",J7)</f>
        <v/>
      </c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BC112" s="401"/>
      <c r="BD112" s="398"/>
      <c r="BE112" s="391"/>
      <c r="BF112" s="397"/>
      <c r="BG112" s="397"/>
      <c r="BH112" s="397"/>
      <c r="BI112" s="397"/>
      <c r="BJ112" s="397"/>
      <c r="BK112" s="397"/>
      <c r="BL112" s="397"/>
      <c r="BM112" s="397"/>
      <c r="BN112" s="393"/>
      <c r="BO112" s="389"/>
      <c r="BP112" s="389"/>
      <c r="BQ112" s="389"/>
      <c r="BR112" s="389"/>
      <c r="BS112" s="389"/>
      <c r="BT112" s="389"/>
      <c r="BU112" s="389"/>
      <c r="BV112" s="389"/>
      <c r="BW112" s="389"/>
      <c r="BX112" s="389"/>
      <c r="BY112" s="389"/>
      <c r="BZ112" s="389"/>
      <c r="CA112" s="389"/>
      <c r="CB112" s="389"/>
      <c r="CC112" s="389"/>
      <c r="CD112" s="389"/>
      <c r="CE112" s="389"/>
      <c r="CF112" s="389"/>
      <c r="CG112" s="389"/>
      <c r="CH112" s="389"/>
      <c r="CI112" s="389"/>
      <c r="CJ112" s="389"/>
      <c r="CK112" s="389"/>
      <c r="CL112" s="389"/>
      <c r="CM112" s="472"/>
      <c r="CN112" s="27"/>
    </row>
    <row r="113" spans="1:110" ht="21.75" customHeight="1">
      <c r="A113" s="689"/>
      <c r="B113" s="689"/>
      <c r="C113" s="689"/>
      <c r="D113" s="689"/>
      <c r="E113" s="689"/>
      <c r="F113" s="689"/>
      <c r="G113" s="689"/>
      <c r="H113" s="689"/>
      <c r="I113" s="689"/>
      <c r="J113" s="689"/>
      <c r="K113" s="689"/>
      <c r="L113" s="689"/>
      <c r="M113" s="689"/>
      <c r="N113" s="689"/>
      <c r="O113" s="689"/>
      <c r="P113" s="689"/>
      <c r="Q113" s="689"/>
      <c r="R113" s="689"/>
      <c r="S113" s="689"/>
      <c r="T113" s="689"/>
      <c r="U113" s="689"/>
      <c r="V113" s="689"/>
      <c r="W113" s="689"/>
      <c r="X113" s="689"/>
      <c r="Y113" s="689"/>
      <c r="Z113" s="689"/>
      <c r="AA113" s="689"/>
      <c r="AB113" s="689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401"/>
      <c r="BD113" s="398"/>
      <c r="BE113" s="391"/>
      <c r="BF113" s="28"/>
      <c r="BG113" s="28"/>
      <c r="BH113" s="28"/>
      <c r="BI113" s="28"/>
      <c r="BJ113" s="28"/>
      <c r="BK113" s="28"/>
      <c r="BL113" s="28"/>
      <c r="BM113" s="28"/>
      <c r="BN113" s="278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472"/>
      <c r="CN113" s="263"/>
      <c r="CO113" s="263"/>
      <c r="CP113" s="263"/>
      <c r="CQ113" s="263"/>
      <c r="CR113" s="263"/>
      <c r="CS113" s="263"/>
      <c r="CT113" s="263"/>
      <c r="CU113" s="263"/>
      <c r="CV113" s="263"/>
      <c r="CW113" s="263"/>
      <c r="CX113" s="263"/>
      <c r="CY113" s="263"/>
      <c r="CZ113" s="263"/>
      <c r="DA113" s="263"/>
      <c r="DB113" s="263"/>
      <c r="DC113" s="263"/>
      <c r="DD113" s="263"/>
      <c r="DE113" s="263"/>
      <c r="DF113" s="263"/>
    </row>
    <row r="114" spans="1:110" s="242" customFormat="1" ht="21.75" customHeight="1" thickBot="1">
      <c r="A114" s="360"/>
      <c r="B114" s="682" t="str">
        <f>IF($E112="","",$E112)</f>
        <v/>
      </c>
      <c r="C114" s="682"/>
      <c r="D114" s="682"/>
      <c r="E114" s="682" t="str">
        <f>IF($F112="","",$F112)</f>
        <v/>
      </c>
      <c r="F114" s="682"/>
      <c r="G114" s="682"/>
      <c r="H114" s="682" t="str">
        <f>IF($G112="","",$G112)</f>
        <v/>
      </c>
      <c r="I114" s="682"/>
      <c r="J114" s="682"/>
      <c r="K114" s="682" t="str">
        <f>IF($H112="","",$H112)</f>
        <v/>
      </c>
      <c r="L114" s="682"/>
      <c r="M114" s="682"/>
      <c r="N114" s="682" t="str">
        <f>IF($I112="","",$I112)</f>
        <v/>
      </c>
      <c r="O114" s="682"/>
      <c r="P114" s="682"/>
      <c r="Q114" s="682" t="str">
        <f>IF($J112="","",$J112)</f>
        <v/>
      </c>
      <c r="R114" s="682"/>
      <c r="S114" s="682"/>
      <c r="T114" s="682" t="str">
        <f>IF($K112="","",$K112)</f>
        <v/>
      </c>
      <c r="U114" s="682"/>
      <c r="V114" s="682"/>
      <c r="W114" s="682" t="str">
        <f>IF($L112="","",$L112)</f>
        <v/>
      </c>
      <c r="X114" s="682"/>
      <c r="Y114" s="682"/>
      <c r="Z114" s="682" t="str">
        <f>IF($M112="","",$M112)</f>
        <v/>
      </c>
      <c r="AA114" s="682"/>
      <c r="AB114" s="682"/>
      <c r="AC114" s="420"/>
      <c r="AD114" s="624" t="s">
        <v>64</v>
      </c>
      <c r="AE114" s="624"/>
      <c r="AF114" s="624"/>
      <c r="AG114" s="624"/>
      <c r="AH114" s="624"/>
      <c r="AI114" s="624"/>
      <c r="AJ114" s="624"/>
      <c r="AK114" s="624"/>
      <c r="AL114" s="624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401"/>
      <c r="BD114" s="398"/>
      <c r="BE114" s="428">
        <f>BE$27</f>
        <v>1</v>
      </c>
      <c r="BF114" s="428">
        <f t="shared" ref="BF114:CL114" si="163">BF$27</f>
        <v>2</v>
      </c>
      <c r="BG114" s="428">
        <f t="shared" si="163"/>
        <v>3</v>
      </c>
      <c r="BH114" s="428">
        <f t="shared" si="163"/>
        <v>4</v>
      </c>
      <c r="BI114" s="428">
        <f t="shared" si="163"/>
        <v>5</v>
      </c>
      <c r="BJ114" s="428">
        <f t="shared" si="163"/>
        <v>6</v>
      </c>
      <c r="BK114" s="428">
        <f t="shared" si="163"/>
        <v>7</v>
      </c>
      <c r="BL114" s="428">
        <f t="shared" si="163"/>
        <v>8</v>
      </c>
      <c r="BM114" s="428">
        <f t="shared" si="163"/>
        <v>9</v>
      </c>
      <c r="BN114" s="428">
        <f t="shared" si="163"/>
        <v>10</v>
      </c>
      <c r="BO114" s="428">
        <f t="shared" si="163"/>
        <v>11</v>
      </c>
      <c r="BP114" s="428">
        <f t="shared" si="163"/>
        <v>12</v>
      </c>
      <c r="BQ114" s="428">
        <f t="shared" si="163"/>
        <v>13</v>
      </c>
      <c r="BR114" s="428">
        <f t="shared" si="163"/>
        <v>14</v>
      </c>
      <c r="BS114" s="428">
        <f t="shared" si="163"/>
        <v>15</v>
      </c>
      <c r="BT114" s="428">
        <f t="shared" si="163"/>
        <v>16</v>
      </c>
      <c r="BU114" s="428">
        <f t="shared" si="163"/>
        <v>17</v>
      </c>
      <c r="BV114" s="428">
        <f t="shared" si="163"/>
        <v>18</v>
      </c>
      <c r="BW114" s="428">
        <f t="shared" si="163"/>
        <v>19</v>
      </c>
      <c r="BX114" s="428">
        <f t="shared" si="163"/>
        <v>20</v>
      </c>
      <c r="BY114" s="428">
        <f t="shared" si="163"/>
        <v>21</v>
      </c>
      <c r="BZ114" s="428">
        <f t="shared" si="163"/>
        <v>22</v>
      </c>
      <c r="CA114" s="428">
        <f t="shared" si="163"/>
        <v>23</v>
      </c>
      <c r="CB114" s="428">
        <f t="shared" si="163"/>
        <v>24</v>
      </c>
      <c r="CC114" s="428">
        <f t="shared" si="163"/>
        <v>25</v>
      </c>
      <c r="CD114" s="428">
        <f t="shared" si="163"/>
        <v>26</v>
      </c>
      <c r="CE114" s="428">
        <f t="shared" si="163"/>
        <v>27</v>
      </c>
      <c r="CF114" s="428">
        <f t="shared" si="163"/>
        <v>28</v>
      </c>
      <c r="CG114" s="428">
        <f t="shared" si="163"/>
        <v>29</v>
      </c>
      <c r="CH114" s="428">
        <f t="shared" si="163"/>
        <v>30</v>
      </c>
      <c r="CI114" s="428">
        <f t="shared" si="163"/>
        <v>31</v>
      </c>
      <c r="CJ114" s="428">
        <f t="shared" si="163"/>
        <v>32</v>
      </c>
      <c r="CK114" s="428">
        <f t="shared" si="163"/>
        <v>33</v>
      </c>
      <c r="CL114" s="428">
        <f t="shared" si="163"/>
        <v>34</v>
      </c>
      <c r="CM114" s="431"/>
      <c r="CN114" s="263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</row>
    <row r="115" spans="1:110" s="245" customFormat="1" ht="21.75" customHeight="1" thickBot="1">
      <c r="A115" s="413" t="s">
        <v>3</v>
      </c>
      <c r="B115" s="683" t="str">
        <f>IF(B114="","",IF(K7="X - X",VLOOKUP(B114,Espesor!$C$8:$E$41,2,0),VLOOKUP(B114,Espesor!$C$8:$E$41,3,0)))</f>
        <v/>
      </c>
      <c r="C115" s="684"/>
      <c r="D115" s="685"/>
      <c r="E115" s="683" t="str">
        <f>IF(E114="","",IF(K7="X - X",VLOOKUP(E114,Espesor!$C$8:$E$41,2,0),VLOOKUP(E114,Espesor!$C$8:$E$41,3,0)))</f>
        <v/>
      </c>
      <c r="F115" s="684"/>
      <c r="G115" s="685"/>
      <c r="H115" s="683" t="str">
        <f>IF(H114="","",IF(K7="X - X",VLOOKUP(H114,Espesor!$C$8:$E$41,2,0),VLOOKUP(H114,Espesor!$C$8:$E$41,3,0)))</f>
        <v/>
      </c>
      <c r="I115" s="684"/>
      <c r="J115" s="685"/>
      <c r="K115" s="683" t="str">
        <f>IF(K114="","",IF(K7="X - X",VLOOKUP(K114,Espesor!$C$8:$E$41,2,0),VLOOKUP(K114,Espesor!$C$8:$E$41,3,0)))</f>
        <v/>
      </c>
      <c r="L115" s="684"/>
      <c r="M115" s="685"/>
      <c r="N115" s="683" t="str">
        <f>IF(N114="","",IF(K7="X - X",VLOOKUP(N114,Espesor!$C$8:$E$41,2,0),VLOOKUP(N114,Espesor!$C$8:$E$41,3,0)))</f>
        <v/>
      </c>
      <c r="O115" s="684"/>
      <c r="P115" s="685"/>
      <c r="Q115" s="683" t="str">
        <f>IF(Q114="","",IF(K7="X - X",VLOOKUP(Q114,Espesor!$C$8:$E$41,2,0),VLOOKUP(Q114,Espesor!$C$8:$E$41,3,0)))</f>
        <v/>
      </c>
      <c r="R115" s="684"/>
      <c r="S115" s="685"/>
      <c r="T115" s="683" t="str">
        <f>IF(T114="","",IF(K7="X - X",VLOOKUP(T114,Espesor!$C$8:$E$41,2,0),VLOOKUP(T114,Espesor!$C$8:$E$41,3,0)))</f>
        <v/>
      </c>
      <c r="U115" s="684"/>
      <c r="V115" s="685"/>
      <c r="W115" s="683" t="str">
        <f>IF(W114="","",IF(K7="X - X",VLOOKUP(W114,Espesor!$C$8:$E$41,2,0),VLOOKUP(W114,Espesor!$C$8:$E$41,3,0)))</f>
        <v/>
      </c>
      <c r="X115" s="684"/>
      <c r="Y115" s="685"/>
      <c r="Z115" s="683" t="str">
        <f>IF(Z114="","",IF(K7="X - X",VLOOKUP(Z114,Espesor!$C$8:$E$41,2,0),VLOOKUP(Z114,Espesor!$C$8:$E$41,3,0)))</f>
        <v/>
      </c>
      <c r="AA115" s="684"/>
      <c r="AB115" s="685"/>
      <c r="AC115" s="380"/>
      <c r="AD115" s="287">
        <f>+A90</f>
        <v>0</v>
      </c>
      <c r="AE115" s="325" t="str">
        <f>+IF(B90="","",B90)</f>
        <v/>
      </c>
      <c r="AF115" s="325" t="str">
        <f>+IF(C90="","",C90)</f>
        <v/>
      </c>
      <c r="AG115" s="325" t="str">
        <f t="shared" ref="AG115" si="164">+IF(D90="","",D90)</f>
        <v/>
      </c>
      <c r="AH115" s="325" t="str">
        <f t="shared" ref="AH115" si="165">+IF(E90="","",E90)</f>
        <v/>
      </c>
      <c r="AI115" s="325" t="str">
        <f t="shared" ref="AI115" si="166">+IF(F90="","",F90)</f>
        <v/>
      </c>
      <c r="AJ115" s="325" t="str">
        <f t="shared" ref="AJ115" si="167">+IF(G90="","",G90)</f>
        <v/>
      </c>
      <c r="AK115" s="325" t="str">
        <f t="shared" ref="AK115" si="168">+IF(H90="","",H90)</f>
        <v/>
      </c>
      <c r="AL115" s="325" t="str">
        <f t="shared" ref="AL115" si="169">+IF(I90="","",I90)</f>
        <v/>
      </c>
      <c r="AM115" s="325" t="str">
        <f t="shared" ref="AM115" si="170">+IF(J90="","",J90)</f>
        <v/>
      </c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422">
        <f>+A111</f>
        <v>6</v>
      </c>
      <c r="BD115" s="398" t="s">
        <v>153</v>
      </c>
      <c r="BE115" s="429">
        <f>IF(BE114=$B$114,$B$126,IF(BE114=$E$114,$E$126,IF(BE114=$H$114,$H$126,IF(BE114=$K$114,$K$126,IF(BE114=$N$114,$N$126,IF(BE114=$Q$114,$Q$126,IF(BE114=$T$114,$T$126,IF(BE114=$W$114,$W$126,IF(BE114=$Z$114,$Z$126,0)))))))))</f>
        <v>0</v>
      </c>
      <c r="BF115" s="429">
        <f t="shared" ref="BF115:CL115" si="171">IF(BF114=$B$114,$B$126,IF(BF114=$E$114,$E$126,IF(BF114=$H$114,$H$126,IF(BF114=$K$114,$K$126,IF(BF114=$N$114,$N$126,IF(BF114=$Q$114,$Q$126,IF(BF114=$T$114,$T$126,IF(BF114=$W$114,$W$126,IF(BF114=$Z$114,$Z$126,0)))))))))</f>
        <v>0</v>
      </c>
      <c r="BG115" s="429">
        <f t="shared" si="171"/>
        <v>0</v>
      </c>
      <c r="BH115" s="429">
        <f t="shared" si="171"/>
        <v>0</v>
      </c>
      <c r="BI115" s="429">
        <f t="shared" si="171"/>
        <v>0</v>
      </c>
      <c r="BJ115" s="429">
        <f t="shared" si="171"/>
        <v>0</v>
      </c>
      <c r="BK115" s="429">
        <f t="shared" si="171"/>
        <v>0</v>
      </c>
      <c r="BL115" s="429">
        <f t="shared" si="171"/>
        <v>0</v>
      </c>
      <c r="BM115" s="429">
        <f t="shared" si="171"/>
        <v>0</v>
      </c>
      <c r="BN115" s="429">
        <f t="shared" si="171"/>
        <v>0</v>
      </c>
      <c r="BO115" s="429">
        <f t="shared" si="171"/>
        <v>0</v>
      </c>
      <c r="BP115" s="429">
        <f t="shared" si="171"/>
        <v>0</v>
      </c>
      <c r="BQ115" s="429">
        <f t="shared" si="171"/>
        <v>0</v>
      </c>
      <c r="BR115" s="429">
        <f t="shared" si="171"/>
        <v>0</v>
      </c>
      <c r="BS115" s="429">
        <f t="shared" si="171"/>
        <v>0</v>
      </c>
      <c r="BT115" s="429">
        <f t="shared" si="171"/>
        <v>0</v>
      </c>
      <c r="BU115" s="429">
        <f t="shared" si="171"/>
        <v>0</v>
      </c>
      <c r="BV115" s="429">
        <f t="shared" si="171"/>
        <v>0</v>
      </c>
      <c r="BW115" s="429">
        <f t="shared" si="171"/>
        <v>0</v>
      </c>
      <c r="BX115" s="429">
        <f t="shared" si="171"/>
        <v>0</v>
      </c>
      <c r="BY115" s="429">
        <f t="shared" si="171"/>
        <v>0</v>
      </c>
      <c r="BZ115" s="429">
        <f t="shared" si="171"/>
        <v>0</v>
      </c>
      <c r="CA115" s="429">
        <f t="shared" si="171"/>
        <v>0</v>
      </c>
      <c r="CB115" s="429">
        <f t="shared" si="171"/>
        <v>0</v>
      </c>
      <c r="CC115" s="429">
        <f t="shared" si="171"/>
        <v>0</v>
      </c>
      <c r="CD115" s="429">
        <f t="shared" si="171"/>
        <v>0</v>
      </c>
      <c r="CE115" s="429">
        <f t="shared" si="171"/>
        <v>0</v>
      </c>
      <c r="CF115" s="429">
        <f t="shared" si="171"/>
        <v>0</v>
      </c>
      <c r="CG115" s="429">
        <f t="shared" si="171"/>
        <v>0</v>
      </c>
      <c r="CH115" s="429">
        <f t="shared" si="171"/>
        <v>0</v>
      </c>
      <c r="CI115" s="429">
        <f t="shared" si="171"/>
        <v>0</v>
      </c>
      <c r="CJ115" s="429">
        <f t="shared" si="171"/>
        <v>0</v>
      </c>
      <c r="CK115" s="429">
        <f t="shared" si="171"/>
        <v>0</v>
      </c>
      <c r="CL115" s="429">
        <f t="shared" si="171"/>
        <v>0</v>
      </c>
      <c r="CM115" s="473"/>
      <c r="CN115" s="27"/>
      <c r="CO115" s="242"/>
      <c r="CP115" s="242"/>
      <c r="CQ115" s="242"/>
      <c r="CR115" s="242"/>
      <c r="CS115" s="242"/>
      <c r="CT115" s="242"/>
      <c r="CU115" s="242"/>
      <c r="CV115" s="242"/>
      <c r="CW115" s="242"/>
      <c r="CX115" s="242"/>
      <c r="CY115" s="242"/>
      <c r="CZ115" s="242"/>
      <c r="DA115" s="242"/>
      <c r="DB115" s="242"/>
      <c r="DC115" s="242"/>
      <c r="DD115" s="242"/>
      <c r="DE115" s="242"/>
      <c r="DF115" s="242"/>
    </row>
    <row r="116" spans="1:110" s="246" customFormat="1" ht="23.25" customHeight="1" thickBot="1">
      <c r="A116" s="257" t="s">
        <v>65</v>
      </c>
      <c r="B116" s="679" t="str">
        <f>+IF(B114="","",IF(LOOKUP(B114,Espesor!$C$8:$C$41,Espesor!$K$8:$K$41)="en voladizo","",0.75/B115))</f>
        <v/>
      </c>
      <c r="C116" s="680"/>
      <c r="D116" s="681"/>
      <c r="E116" s="679" t="str">
        <f>IF(E114="","",IF(LOOKUP(E114,Espesor!$C$8:$C$41,Espesor!$K$8:$K$41)="en voladizo","",IF(H114="",0.75/E115,1/E115)))</f>
        <v/>
      </c>
      <c r="F116" s="680"/>
      <c r="G116" s="681"/>
      <c r="H116" s="679" t="str">
        <f>IF(H114="","",IF(LOOKUP(H114,Espesor!$C$8:$C$41,Espesor!$K$8:$K$41)="en voladizo","",IF(K114="",0.75/H115,1/H115)))</f>
        <v/>
      </c>
      <c r="I116" s="680"/>
      <c r="J116" s="681"/>
      <c r="K116" s="679" t="str">
        <f>IF(K114="","",IF(LOOKUP(K114,Espesor!$C$8:$C$41,Espesor!$K$8:$K$41)="en voladizo","",IF(N114="",0.75/K115,1/K115)))</f>
        <v/>
      </c>
      <c r="L116" s="680"/>
      <c r="M116" s="681"/>
      <c r="N116" s="679" t="str">
        <f>IF(N114="","",IF(LOOKUP(N114,Espesor!$C$8:$C$41,Espesor!$K$8:$K$41)="en voladizo","",IF(Q114="",0.75/N115,1/N115)))</f>
        <v/>
      </c>
      <c r="O116" s="680"/>
      <c r="P116" s="681"/>
      <c r="Q116" s="679" t="str">
        <f>IF(Q114="","",IF(LOOKUP(Q114,Espesor!$C$8:$C$41,Espesor!$K$8:$K$41)="en voladizo","",IF(T114="",0.75/Q115,1/Q115)))</f>
        <v/>
      </c>
      <c r="R116" s="680"/>
      <c r="S116" s="681"/>
      <c r="T116" s="679" t="str">
        <f>IF(T114="","",IF(LOOKUP(T114,Espesor!$C$8:$C$41,Espesor!$K$8:$K$41)="en voladizo","",IF(W114="",0.75/T115,1/T115)))</f>
        <v/>
      </c>
      <c r="U116" s="680"/>
      <c r="V116" s="681"/>
      <c r="W116" s="679" t="str">
        <f>IF(W114="","",IF(LOOKUP(W114,Espesor!$C$8:$C$41,Espesor!$K$8:$K$41)="en voladizo","",IF(Z114="",0.75/W115,1/W115)))</f>
        <v/>
      </c>
      <c r="X116" s="680"/>
      <c r="Y116" s="681"/>
      <c r="Z116" s="679" t="str">
        <f>IF(Z114="","",IF(LOOKUP(Z114,Espesor!$C$8:$C$41,Espesor!$K$8:$K$41)="en voladizo","",IF(AC114="",0.75/Z115,1/Z115)))</f>
        <v/>
      </c>
      <c r="AA116" s="680"/>
      <c r="AB116" s="681"/>
      <c r="AC116" s="210"/>
      <c r="AD116" s="338" t="s">
        <v>4</v>
      </c>
      <c r="AE116" s="322" t="s">
        <v>3</v>
      </c>
      <c r="AF116" s="339" t="s">
        <v>138</v>
      </c>
      <c r="AG116" s="637" t="s">
        <v>139</v>
      </c>
      <c r="AH116" s="638"/>
      <c r="AI116" s="638"/>
      <c r="AJ116" s="639"/>
      <c r="AK116" s="640" t="s">
        <v>142</v>
      </c>
      <c r="AL116" s="641"/>
      <c r="AM116" s="637" t="s">
        <v>143</v>
      </c>
      <c r="AN116" s="639"/>
      <c r="AO116" s="642" t="s">
        <v>144</v>
      </c>
      <c r="AP116" s="643"/>
      <c r="AQ116" s="643"/>
      <c r="AR116" s="644"/>
      <c r="AS116" s="642" t="s">
        <v>145</v>
      </c>
      <c r="AT116" s="643"/>
      <c r="AU116" s="644"/>
      <c r="AV116" s="645" t="s">
        <v>157</v>
      </c>
      <c r="AW116" s="646"/>
      <c r="AX116" s="646"/>
      <c r="AY116" s="646"/>
      <c r="AZ116" s="646"/>
      <c r="BA116" s="647"/>
      <c r="BB116" s="245"/>
      <c r="BC116" s="422"/>
      <c r="BD116" s="398"/>
      <c r="BE116" s="429"/>
      <c r="BF116" s="389"/>
      <c r="BG116" s="389"/>
      <c r="BH116" s="389"/>
      <c r="BI116" s="389"/>
      <c r="BJ116" s="389"/>
      <c r="BK116" s="389"/>
      <c r="BL116" s="389"/>
      <c r="BM116" s="389"/>
      <c r="BN116" s="396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432"/>
      <c r="CN116" s="242"/>
      <c r="CO116" s="245"/>
      <c r="CP116" s="245"/>
      <c r="CQ116" s="245"/>
      <c r="CR116" s="245"/>
      <c r="CS116" s="245"/>
      <c r="CT116" s="245"/>
      <c r="CU116" s="245"/>
      <c r="CV116" s="245"/>
      <c r="CW116" s="245"/>
      <c r="CX116" s="245"/>
      <c r="CY116" s="245"/>
      <c r="CZ116" s="245"/>
      <c r="DA116" s="245"/>
      <c r="DB116" s="245"/>
      <c r="DC116" s="245"/>
      <c r="DD116" s="245"/>
      <c r="DE116" s="245"/>
      <c r="DF116" s="245"/>
    </row>
    <row r="117" spans="1:110" s="32" customFormat="1" ht="21.75" customHeight="1">
      <c r="A117" s="247" t="s">
        <v>123</v>
      </c>
      <c r="B117" s="29"/>
      <c r="C117" s="30"/>
      <c r="D117" s="31">
        <f>IF(B116="",0,IF(E116="",0,ROUND(B116/(B116+E116),3)))</f>
        <v>0</v>
      </c>
      <c r="E117" s="29">
        <f>IF(E116="",0,IF(B116="",0,ROUND(E116/(E116+B116),3)))</f>
        <v>0</v>
      </c>
      <c r="F117" s="30"/>
      <c r="G117" s="31">
        <f>IF(E116="",0,IF(H116="",0,ROUND(E116/(E116+H116),3)))</f>
        <v>0</v>
      </c>
      <c r="H117" s="29">
        <f>IF(H116="",0,IF(E116="",0,ROUND(H116/(H116+E116),3)))</f>
        <v>0</v>
      </c>
      <c r="I117" s="30"/>
      <c r="J117" s="31">
        <f>IF(H116="",0,IF(K116="",0,ROUND(H116/(H116+K116),3)))</f>
        <v>0</v>
      </c>
      <c r="K117" s="29">
        <f>IF(K116="",0,IF(H116="",0,ROUND(K116/(K116+H116),3)))</f>
        <v>0</v>
      </c>
      <c r="L117" s="30"/>
      <c r="M117" s="31">
        <f>IF(K116="",0,IF(N116="",0,ROUND(K116/(K116+N116),3)))</f>
        <v>0</v>
      </c>
      <c r="N117" s="29">
        <f>IF(N116="",0,IF(K116="",0,ROUND(N116/(N116+K116),3)))</f>
        <v>0</v>
      </c>
      <c r="O117" s="30"/>
      <c r="P117" s="31">
        <f>IF(N116="",0,IF(Q116="",0,ROUND(N116/(N116+Q116),3)))</f>
        <v>0</v>
      </c>
      <c r="Q117" s="29">
        <f>IF(Q116="",0,IF(N116="",0,ROUND(Q116/(Q116+N116),3)))</f>
        <v>0</v>
      </c>
      <c r="R117" s="30"/>
      <c r="S117" s="31">
        <f>IF(Q116="",0,IF(T116="",0,ROUND(Q116/(Q116+T116),3)))</f>
        <v>0</v>
      </c>
      <c r="T117" s="29">
        <f>IF(T116="",0,IF(Q116="",0,ROUND(T116/(T116+Q116),3)))</f>
        <v>0</v>
      </c>
      <c r="U117" s="30"/>
      <c r="V117" s="31">
        <f>IF(T116="",0,IF(W116="",0,ROUND(T116/(T116+W116),3)))</f>
        <v>0</v>
      </c>
      <c r="W117" s="29">
        <f>IF(W116="",0,IF(T116="",0,ROUND(W116/(W116+T116),3)))</f>
        <v>0</v>
      </c>
      <c r="X117" s="30"/>
      <c r="Y117" s="31">
        <f>IF(W116="",0,IF(Z116="",0,ROUND(W116/(W116+Z116),3)))</f>
        <v>0</v>
      </c>
      <c r="Z117" s="29">
        <f>IF(Z116="",0,IF(W116="",0,ROUND(Z116/(Z116+W116),3)))</f>
        <v>0</v>
      </c>
      <c r="AA117" s="30"/>
      <c r="AB117" s="31">
        <f>IF(Z116="",0,IF(AC116="",0,ROUND(Z116/(Z116+AC116),3)))</f>
        <v>0</v>
      </c>
      <c r="AC117" s="29"/>
      <c r="AD117" s="320" t="str">
        <f>+IF(AE115="","",AE115)</f>
        <v/>
      </c>
      <c r="AE117" s="323" t="str">
        <f>IF(B91="","",IF($K$2="X - X",VLOOKUP(B91,Espesor!$C$8:$E$41,2,0),VLOOKUP(B91,Espesor!$C$8:$E$41,3,0)))</f>
        <v/>
      </c>
      <c r="AF117" s="318" t="str">
        <f>+IF(AD117="","",IF(LOOKUP(AD117,Espesor!$C$8:$C$41,Espesor!$K$8:$K$41)="en voladizo","",0.75/AE117))</f>
        <v/>
      </c>
      <c r="AG117" s="648" t="str">
        <f>IF(AF117="","",IF(AF118="","",ROUND(AF117/(AF117+AF118),3)))</f>
        <v/>
      </c>
      <c r="AH117" s="343"/>
      <c r="AI117" s="648" t="str">
        <f>IF(AF118="","",IF(AF117="","",ROUND(AF118/(AF118+AF117),3)))</f>
        <v/>
      </c>
      <c r="AJ117" s="343"/>
      <c r="AK117" s="342">
        <v>0</v>
      </c>
      <c r="AL117" s="316" t="e">
        <f>-IF(B90="","",IF($K$2="X - X",VLOOKUP(B90,'Moms de Empt'!$P$3:$T$36,3,0),VLOOKUP(B90,'Moms de Empt'!$P$3:$T$36,5,0)))</f>
        <v>#VALUE!</v>
      </c>
      <c r="AM117" s="649">
        <f>IF(AD118="",0,IF(LOOKUP(AD118,Espesor!$C$8:$C$41,Espesor!$K$8:$K$41)="en voladizo",MAX(ABS(AL117),ABS(AK118)),-(AK118+AL117)))</f>
        <v>0</v>
      </c>
      <c r="AN117" s="345"/>
      <c r="AO117" s="650" t="str">
        <f>IF(AG117="","",AM117*AG117)</f>
        <v/>
      </c>
      <c r="AP117" s="342"/>
      <c r="AQ117" s="650" t="str">
        <f>IF(AI117="","",AM117*AI117)</f>
        <v/>
      </c>
      <c r="AR117" s="342"/>
      <c r="AS117" s="651" t="e">
        <f>-IF(AM117="","",IF(AL117="",IF(AO117="",0,AO117),IF(AO117="",AL117,AL117+AO117)))</f>
        <v>#VALUE!</v>
      </c>
      <c r="AT117" s="341"/>
      <c r="AU117" s="341" t="e">
        <f>+AS117</f>
        <v>#VALUE!</v>
      </c>
      <c r="AV117" s="329" t="str">
        <f>IF(B90="","",IF(L90="X - X",VLOOKUP(B115,'Moms de Empt'!$P$3:$T$36,2,0),VLOOKUP(B115,'Moms de Empt'!$P$3:$T$36,4,0)))</f>
        <v/>
      </c>
      <c r="AW117" s="653" t="str">
        <f>IF(B117="","",IF(D119="","",IF(ABS(D123)&gt;ABS(D119),-0.5*ABS(D121),0.5*ABS(D121))))</f>
        <v/>
      </c>
      <c r="AX117" s="330"/>
      <c r="AY117" s="653" t="str">
        <f>IF(AV118="","",IF(AV117="","",ROUND(AV118/(AV118+AV117),3)))</f>
        <v/>
      </c>
      <c r="AZ117" s="330"/>
      <c r="BA117" s="331" t="str">
        <f t="shared" ref="BA117:BA124" si="172">+AV117</f>
        <v/>
      </c>
      <c r="BB117" s="246"/>
      <c r="BC117" s="422"/>
      <c r="BD117" s="398"/>
      <c r="BE117" s="429"/>
      <c r="BF117" s="30"/>
      <c r="BG117" s="30"/>
      <c r="BH117" s="30"/>
      <c r="BI117" s="30"/>
      <c r="BJ117" s="30"/>
      <c r="BK117" s="30"/>
      <c r="BL117" s="30"/>
      <c r="BM117" s="30"/>
      <c r="BN117" s="396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477"/>
      <c r="CN117" s="245"/>
      <c r="CO117" s="246"/>
      <c r="CP117" s="246"/>
      <c r="CQ117" s="246"/>
      <c r="CR117" s="246"/>
      <c r="CS117" s="246"/>
      <c r="CT117" s="246"/>
      <c r="CU117" s="246"/>
      <c r="CV117" s="246"/>
      <c r="CW117" s="246"/>
      <c r="CX117" s="246"/>
      <c r="CY117" s="246"/>
      <c r="CZ117" s="246"/>
      <c r="DA117" s="246"/>
      <c r="DB117" s="246"/>
      <c r="DC117" s="246"/>
      <c r="DD117" s="246"/>
      <c r="DE117" s="246"/>
      <c r="DF117" s="246"/>
    </row>
    <row r="118" spans="1:110" s="35" customFormat="1" ht="21.75" customHeight="1">
      <c r="A118" s="248" t="s">
        <v>124</v>
      </c>
      <c r="B118" s="249"/>
      <c r="C118" s="34"/>
      <c r="D118" s="33" t="str">
        <f>IF(B114="","",-VLOOKUP(B114,'Moms de Empt'!$P$3:$T$36,3,0))</f>
        <v/>
      </c>
      <c r="E118" s="34" t="str">
        <f>IF(E114="","",IF($K$7="X - X",VLOOKUP(E114,'Moms de Empt'!$P$3:$T$36,3,0),VLOOKUP(E114,'Moms de Empt'!$P$3:$T$36,5,0)))</f>
        <v/>
      </c>
      <c r="F118" s="34"/>
      <c r="G118" s="33" t="str">
        <f>+IF(H114="","",-E118)</f>
        <v/>
      </c>
      <c r="H118" s="34" t="str">
        <f>IF(H114="","",IF($K$7="X - X",VLOOKUP(H114,'Moms de Empt'!$P$3:$T$36,3,0),VLOOKUP(H114,'Moms de Empt'!$P$3:$T$36,5,0)))</f>
        <v/>
      </c>
      <c r="I118" s="34"/>
      <c r="J118" s="33" t="str">
        <f>+IF(K114="","",-H118)</f>
        <v/>
      </c>
      <c r="K118" s="34" t="str">
        <f>IF(K114="","",IF($K$7="X - X",VLOOKUP(K114,'Moms de Empt'!$P$3:$T$36,3,0),VLOOKUP(K114,'Moms de Empt'!$P$3:$T$36,5,0)))</f>
        <v/>
      </c>
      <c r="L118" s="34"/>
      <c r="M118" s="33" t="str">
        <f>+IF(N114="","",-K118)</f>
        <v/>
      </c>
      <c r="N118" s="34" t="str">
        <f>IF(N114="","",IF($K$7="X - X",VLOOKUP(N114,'Moms de Empt'!$P$3:$T$36,3,0),VLOOKUP(N114,'Moms de Empt'!$P$3:$T$36,5,0)))</f>
        <v/>
      </c>
      <c r="O118" s="34"/>
      <c r="P118" s="33" t="str">
        <f>+IF(Q114="","",-N118)</f>
        <v/>
      </c>
      <c r="Q118" s="34" t="str">
        <f>IF(Q114="","",IF($K$7="X - X",VLOOKUP(Q114,'Moms de Empt'!$P$3:$T$36,3,0),VLOOKUP(Q114,'Moms de Empt'!$P$3:$T$36,5,0)))</f>
        <v/>
      </c>
      <c r="R118" s="34"/>
      <c r="S118" s="33" t="str">
        <f>+IF(T114="","",-Q118)</f>
        <v/>
      </c>
      <c r="T118" s="34" t="str">
        <f>IF(T114="","",IF($K$7="X - X",VLOOKUP(T114,'Moms de Empt'!$P$3:$T$36,3,0),VLOOKUP(T114,'Moms de Empt'!$P$3:$T$36,5,0)))</f>
        <v/>
      </c>
      <c r="U118" s="34"/>
      <c r="V118" s="33" t="str">
        <f>+IF(W114="","",-T118)</f>
        <v/>
      </c>
      <c r="W118" s="34" t="str">
        <f>IF(W114="","",IF($K$7="X - X",VLOOKUP(W114,'Moms de Empt'!$P$3:$T$36,3,0),VLOOKUP(W114,'Moms de Empt'!$P$3:$T$36,5,0)))</f>
        <v/>
      </c>
      <c r="X118" s="34"/>
      <c r="Y118" s="33" t="str">
        <f>+IF(Z114="","",-W118)</f>
        <v/>
      </c>
      <c r="Z118" s="34" t="str">
        <f>IF(Z114="","",IF($K$7="X - X",VLOOKUP(Z114,'Moms de Empt'!$P$3:$T$36,3,0),VLOOKUP(Z114,'Moms de Empt'!$P$3:$T$36,5,0)))</f>
        <v/>
      </c>
      <c r="AA118" s="34"/>
      <c r="AB118" s="33"/>
      <c r="AD118" s="321" t="str">
        <f>+IF(AF115="","",AF115)</f>
        <v/>
      </c>
      <c r="AE118" s="324" t="str">
        <f>IF(C90="","",IF($K$2="X - X",VLOOKUP(C90,Espesor!$C$8:$E$41,2,0),VLOOKUP(C90,Espesor!$C$8:$E$41,3,0)))</f>
        <v/>
      </c>
      <c r="AF118" s="319" t="str">
        <f>IF(AD118="","",IF(LOOKUP(AD118,Espesor!$C$8:$C$41,Espesor!$K$8:$K$41)="en voladizo","",IF(AD119="",0.75/AE118,1/AE118)))</f>
        <v/>
      </c>
      <c r="AG118" s="634"/>
      <c r="AH118" s="634" t="str">
        <f>IF(AF118="","",IF(AF119="","",ROUND(AF118/(AF118+AF119),3)))</f>
        <v/>
      </c>
      <c r="AI118" s="634"/>
      <c r="AJ118" s="634" t="str">
        <f>IF(AF118="","",IF(AF119="","",ROUND(AF119/(AF118+AF119),3)))</f>
        <v/>
      </c>
      <c r="AK118" s="317">
        <f>IF(C90="",0,IF($K$2="X - X",VLOOKUP(C90,'Moms de Empt'!$P$3:$T$36,3,0),VLOOKUP(C90,'Moms de Empt'!$P$3:$T$36,5,0)))</f>
        <v>0</v>
      </c>
      <c r="AL118" s="317">
        <f>+IF(AD119="",0,-AK118)</f>
        <v>0</v>
      </c>
      <c r="AM118" s="629"/>
      <c r="AN118" s="629">
        <f>IF(AD119="",0,IF(LOOKUP(AD119,Espesor!$C$8:$C$41,Espesor!$K$8:$K$41)="en voladizo",MAX(ABS(AL118),ABS(AK119)),-(AK119+AL118)))</f>
        <v>0</v>
      </c>
      <c r="AO118" s="630"/>
      <c r="AP118" s="630" t="str">
        <f>IF(AH118="","",AN118*AH118)</f>
        <v/>
      </c>
      <c r="AQ118" s="630"/>
      <c r="AR118" s="630" t="str">
        <f>IF(AJ118="","",AN118*AJ118)</f>
        <v/>
      </c>
      <c r="AS118" s="652"/>
      <c r="AT118" s="631">
        <f>-IF(AN118="","",IF(AL118="",IF(AP118="",0,AP118),IF(AP118="",AL118,AL118+AP118)))</f>
        <v>0</v>
      </c>
      <c r="AU118" s="341">
        <f>+AT118</f>
        <v>0</v>
      </c>
      <c r="AV118" s="332" t="str">
        <f>IF(E115="","",IF(L90="X - X",VLOOKUP(E115,'Moms de Empt'!$P$3:$T$36,2,0),VLOOKUP(E115,'Moms de Empt'!$P$3:$T$36,4,0)))</f>
        <v/>
      </c>
      <c r="AW118" s="635"/>
      <c r="AX118" s="633" t="str">
        <f>IF(AV118="","",IF(AV119="","",ROUND(AV118/(AV118+AV119),3)))</f>
        <v/>
      </c>
      <c r="AY118" s="635"/>
      <c r="AZ118" s="633" t="str">
        <f>IF(AV118="","",IF(AV119="","",ROUND(AV119/(AV118+AV119),3)))</f>
        <v/>
      </c>
      <c r="BA118" s="331" t="str">
        <f t="shared" si="172"/>
        <v/>
      </c>
      <c r="BB118" s="32"/>
      <c r="BC118" s="422"/>
      <c r="BD118" s="398"/>
      <c r="BE118" s="429"/>
      <c r="BF118" s="392"/>
      <c r="BG118" s="392"/>
      <c r="BH118" s="392"/>
      <c r="BI118" s="392"/>
      <c r="BJ118" s="392"/>
      <c r="BK118" s="392"/>
      <c r="BL118" s="392"/>
      <c r="BM118" s="392"/>
      <c r="BN118" s="397"/>
      <c r="BO118" s="393"/>
      <c r="BP118" s="393"/>
      <c r="BQ118" s="393"/>
      <c r="BR118" s="393"/>
      <c r="BS118" s="393"/>
      <c r="BT118" s="393"/>
      <c r="BU118" s="393"/>
      <c r="BV118" s="393"/>
      <c r="BW118" s="393"/>
      <c r="BX118" s="393"/>
      <c r="BY118" s="393"/>
      <c r="BZ118" s="393"/>
      <c r="CA118" s="393"/>
      <c r="CB118" s="393"/>
      <c r="CC118" s="393"/>
      <c r="CD118" s="393"/>
      <c r="CE118" s="393"/>
      <c r="CF118" s="393"/>
      <c r="CG118" s="393"/>
      <c r="CH118" s="393"/>
      <c r="CI118" s="393"/>
      <c r="CJ118" s="393"/>
      <c r="CK118" s="393"/>
      <c r="CL118" s="393"/>
      <c r="CM118" s="474"/>
      <c r="CN118" s="246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</row>
    <row r="119" spans="1:110" s="279" customFormat="1" ht="21.75" customHeight="1">
      <c r="A119" s="250" t="s">
        <v>125</v>
      </c>
      <c r="B119" s="272"/>
      <c r="C119" s="406"/>
      <c r="D119" s="678">
        <f>+IF(E114="",0,IF(LOOKUP(E114,Espesor!$C$8:$C$41,Espesor!$K$8:$K$41)="en voladizo",IF(LOOKUP(B114,Espesor!$C$8:$C$41,Espesor!$K$8:$K$41)="en voladizo","Inestable",MAX(ABS(D118),ABS(E118))),IF(LOOKUP(B114,Espesor!$C$8:$C$41,Espesor!$K$8:$K$41)="en voladizo",MAX(ABS(D118),ABS(E118)),-(E118+D118))))</f>
        <v>0</v>
      </c>
      <c r="E119" s="678"/>
      <c r="F119" s="406"/>
      <c r="G119" s="678">
        <f>+IF(H114="",0,IF(LOOKUP(H114,Espesor!$C$8:$C$41,Espesor!$K$8:$K$41)="en voladizo",IF(LOOKUP(E114,Espesor!$C$8:$C$41,Espesor!$K$8:$K$41)="en voladizo","Inestable",MAX(ABS(G118),ABS(H118))),IF(LOOKUP(E114,Espesor!$C$8:$C$41,Espesor!$K$8:$K$41)="en voladizo",MAX(ABS(G118),ABS(H118)),-(H118+G118))))</f>
        <v>0</v>
      </c>
      <c r="H119" s="678"/>
      <c r="I119" s="406"/>
      <c r="J119" s="678">
        <f>+IF(K114="",0,IF(LOOKUP(K114,Espesor!$C$8:$C$41,Espesor!$K$8:$K$41)="en voladizo",IF(LOOKUP(H114,Espesor!$C$8:$C$41,Espesor!$K$8:$K$41)="en voladizo","Inestable",MAX(ABS(J118),ABS(K118))),IF(LOOKUP(H114,Espesor!$C$8:$C$41,Espesor!$K$8:$K$41)="en voladizo",MAX(ABS(J118),ABS(K118)),-(K118+J118))))</f>
        <v>0</v>
      </c>
      <c r="K119" s="678"/>
      <c r="L119" s="406"/>
      <c r="M119" s="678">
        <f>+IF(N114="",0,IF(LOOKUP(N114,Espesor!$C$8:$C$41,Espesor!$K$8:$K$41)="en voladizo",IF(LOOKUP(K114,Espesor!$C$8:$C$41,Espesor!$K$8:$K$41)="en voladizo","Inestable",MAX(ABS(M118),ABS(N118))),IF(LOOKUP(K114,Espesor!$C$8:$C$41,Espesor!$K$8:$K$41)="en voladizo",MAX(ABS(M118),ABS(N118)),-(N118+M118))))</f>
        <v>0</v>
      </c>
      <c r="N119" s="678"/>
      <c r="O119" s="406"/>
      <c r="P119" s="678">
        <f>+IF(Q114="",0,IF(LOOKUP(Q114,Espesor!$C$8:$C$41,Espesor!$K$8:$K$41)="en voladizo",IF(LOOKUP(N114,Espesor!$C$8:$C$41,Espesor!$K$8:$K$41)="en voladizo","Inestable",MAX(ABS(P118),ABS(Q118))),IF(LOOKUP(N114,Espesor!$C$8:$C$41,Espesor!$K$8:$K$41)="en voladizo",MAX(ABS(P118),ABS(Q118)),-(Q118+P118))))</f>
        <v>0</v>
      </c>
      <c r="Q119" s="678"/>
      <c r="R119" s="406"/>
      <c r="S119" s="678">
        <f>+IF(T114="",0,IF(LOOKUP(T114,Espesor!$C$8:$C$41,Espesor!$K$8:$K$41)="en voladizo",IF(LOOKUP(Q114,Espesor!$C$8:$C$41,Espesor!$K$8:$K$41)="en voladizo","Inestable",MAX(ABS(S118),ABS(T118))),IF(LOOKUP(Q114,Espesor!$C$8:$C$41,Espesor!$K$8:$K$41)="en voladizo",MAX(ABS(S118),ABS(T118)),-(T118+S118))))</f>
        <v>0</v>
      </c>
      <c r="T119" s="678"/>
      <c r="U119" s="406"/>
      <c r="V119" s="678">
        <f>+IF(W114="",0,IF(LOOKUP(W114,Espesor!$C$8:$C$41,Espesor!$K$8:$K$41)="en voladizo",IF(LOOKUP(T114,Espesor!$C$8:$C$41,Espesor!$K$8:$K$41)="en voladizo","Inestable",MAX(ABS(V118),ABS(W118))),IF(LOOKUP(T114,Espesor!$C$8:$C$41,Espesor!$K$8:$K$41)="en voladizo",MAX(ABS(V118),ABS(W118)),-(W118+V118))))</f>
        <v>0</v>
      </c>
      <c r="W119" s="678"/>
      <c r="X119" s="406"/>
      <c r="Y119" s="678">
        <f>+IF(Z114="",0,IF(LOOKUP(Z114,Espesor!$C$8:$C$41,Espesor!$K$8:$K$41)="en voladizo",IF(LOOKUP(W114,Espesor!$C$8:$C$41,Espesor!$K$8:$K$41)="en voladizo","Inestable",MAX(ABS(Y118),ABS(Z118))),IF(LOOKUP(W114,Espesor!$C$8:$C$41,Espesor!$K$8:$K$41)="en voladizo",MAX(ABS(Y118),ABS(Z118)),-(Z118+Y118))))</f>
        <v>0</v>
      </c>
      <c r="Z119" s="678"/>
      <c r="AA119" s="406"/>
      <c r="AB119" s="252"/>
      <c r="AC119" s="292"/>
      <c r="AD119" s="321" t="str">
        <f>+IF(AG115="","",AG115)</f>
        <v/>
      </c>
      <c r="AE119" s="324" t="str">
        <f>IF(C91="","",IF($K$2="X - X",VLOOKUP(C91,Espesor!$C$8:$E$41,2,0),VLOOKUP(C91,Espesor!$C$8:$E$41,3,0)))</f>
        <v/>
      </c>
      <c r="AF119" s="319" t="str">
        <f>IF(AD119="","",IF(LOOKUP(AD119,Espesor!$C$8:$C$41,Espesor!$K$8:$K$41)="en voladizo","",IF(AD120="",0.75/AE119,1/AE119)))</f>
        <v/>
      </c>
      <c r="AG119" s="634" t="str">
        <f>IF(AF119="","",IF(AF120="","",ROUND(AF119/(AF119+AF120),3)))</f>
        <v/>
      </c>
      <c r="AH119" s="634"/>
      <c r="AI119" s="634" t="str">
        <f>IF(AF120="","",IF(AF119="","",ROUND(AF120/(AF120+AF119),3)))</f>
        <v/>
      </c>
      <c r="AJ119" s="634"/>
      <c r="AK119" s="317">
        <f>IF(D90="",0,IF($K$2="X - X",VLOOKUP(D90,'Moms de Empt'!$P$3:$T$36,3,0),VLOOKUP(D90,'Moms de Empt'!$P$3:$T$36,5,0)))</f>
        <v>0</v>
      </c>
      <c r="AL119" s="317">
        <f>+IF(AD120="",0,-AK119)</f>
        <v>0</v>
      </c>
      <c r="AM119" s="629">
        <f>IF(AD120="",0,IF(LOOKUP(AD120,Espesor!$C$8:$C$41,Espesor!$K$8:$K$41)="en voladizo",MAX(ABS(AL119),ABS(AK120)),-(AK120+AL119)))</f>
        <v>0</v>
      </c>
      <c r="AN119" s="629"/>
      <c r="AO119" s="630" t="str">
        <f>IF(AG119="","",AM119*AG119)</f>
        <v/>
      </c>
      <c r="AP119" s="630"/>
      <c r="AQ119" s="630" t="str">
        <f>IF(AI119="","",AM119*AI119)</f>
        <v/>
      </c>
      <c r="AR119" s="630"/>
      <c r="AS119" s="631">
        <f>-IF(AM119="","",IF(AL119="",IF(AO119="",0,AO119),IF(AO119="",AL119,AL119+AO119)))</f>
        <v>0</v>
      </c>
      <c r="AT119" s="632"/>
      <c r="AU119" s="341">
        <f>+AS119</f>
        <v>0</v>
      </c>
      <c r="AV119" s="332" t="str">
        <f>IF(H115="","",IF(L90="X - X",VLOOKUP(H115,'Moms de Empt'!$P$3:$T$36,2,0),VLOOKUP(H115,'Moms de Empt'!$P$3:$T$36,4,0)))</f>
        <v/>
      </c>
      <c r="AW119" s="635" t="str">
        <f>IF(AV119="","",IF(AV120="","",ROUND(AV119/(AV119+AV120),3)))</f>
        <v/>
      </c>
      <c r="AX119" s="633"/>
      <c r="AY119" s="635" t="str">
        <f>IF(AV120="","",IF(AV119="","",ROUND(AV120/(AV120+AV119),3)))</f>
        <v/>
      </c>
      <c r="AZ119" s="633"/>
      <c r="BA119" s="331" t="str">
        <f t="shared" si="172"/>
        <v/>
      </c>
      <c r="BB119" s="35"/>
      <c r="BC119" s="401"/>
      <c r="BD119" s="398"/>
      <c r="BE119" s="391"/>
      <c r="BF119" s="406"/>
      <c r="BG119" s="406"/>
      <c r="BH119" s="406"/>
      <c r="BI119" s="406"/>
      <c r="BJ119" s="406"/>
      <c r="BK119" s="406"/>
      <c r="BL119" s="406"/>
      <c r="BM119" s="406"/>
      <c r="BN119" s="397"/>
      <c r="BO119" s="393"/>
      <c r="BP119" s="393"/>
      <c r="BQ119" s="393"/>
      <c r="BR119" s="393"/>
      <c r="BS119" s="393"/>
      <c r="BT119" s="393"/>
      <c r="BU119" s="393"/>
      <c r="BV119" s="393"/>
      <c r="BW119" s="393"/>
      <c r="BX119" s="393"/>
      <c r="BY119" s="393"/>
      <c r="BZ119" s="393"/>
      <c r="CA119" s="393"/>
      <c r="CB119" s="393"/>
      <c r="CC119" s="393"/>
      <c r="CD119" s="393"/>
      <c r="CE119" s="393"/>
      <c r="CF119" s="393"/>
      <c r="CG119" s="393"/>
      <c r="CH119" s="393"/>
      <c r="CI119" s="393"/>
      <c r="CJ119" s="393"/>
      <c r="CK119" s="393"/>
      <c r="CL119" s="393"/>
      <c r="CM119" s="475"/>
      <c r="CN119" s="32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</row>
    <row r="120" spans="1:110" s="30" customFormat="1" ht="21.75" customHeight="1">
      <c r="A120" s="253" t="s">
        <v>126</v>
      </c>
      <c r="B120" s="29"/>
      <c r="D120" s="254">
        <f>IF(D117="","",D119*D117)</f>
        <v>0</v>
      </c>
      <c r="E120" s="30">
        <f>IF(E117="","",D119*E117)</f>
        <v>0</v>
      </c>
      <c r="G120" s="277">
        <f>IF(G117="","",G119*G117)</f>
        <v>0</v>
      </c>
      <c r="H120" s="278">
        <f>IF(H117="","",G119*H117)</f>
        <v>0</v>
      </c>
      <c r="J120" s="254">
        <f>IF(J117="","",J119*J117)</f>
        <v>0</v>
      </c>
      <c r="K120" s="30">
        <f>IF(K117="","",J119*K117)</f>
        <v>0</v>
      </c>
      <c r="M120" s="254">
        <f>IF(M117="","",M119*M117)</f>
        <v>0</v>
      </c>
      <c r="N120" s="30">
        <f>IF(N117="","",M119*N117)</f>
        <v>0</v>
      </c>
      <c r="P120" s="254">
        <f>IF(P117="","",P119*P117)</f>
        <v>0</v>
      </c>
      <c r="Q120" s="30">
        <f>IF(Q117="","",P119*Q117)</f>
        <v>0</v>
      </c>
      <c r="S120" s="254">
        <f>IF(S117="","",S119*S117)</f>
        <v>0</v>
      </c>
      <c r="T120" s="30">
        <f>IF(T117="","",S119*T117)</f>
        <v>0</v>
      </c>
      <c r="V120" s="254">
        <f>IF(V117="","",V119*V117)</f>
        <v>0</v>
      </c>
      <c r="W120" s="30">
        <f>IF(W117="","",V119*W117)</f>
        <v>0</v>
      </c>
      <c r="Y120" s="254">
        <f>IF(Y117="","",Y119*Y117)</f>
        <v>0</v>
      </c>
      <c r="Z120" s="30">
        <f>IF(Z117="","",Y119*Z117)</f>
        <v>0</v>
      </c>
      <c r="AB120" s="31"/>
      <c r="AD120" s="321" t="str">
        <f>+IF(AH115="","",AH115)</f>
        <v/>
      </c>
      <c r="AE120" s="324" t="str">
        <f>IF(K115="","",IF($K$2="X - X",VLOOKUP(K115,Espesor!$C$8:$E$41,2,0),VLOOKUP(K115,Espesor!$C$8:$E$41,3,0)))</f>
        <v/>
      </c>
      <c r="AF120" s="319" t="str">
        <f>IF(AD120="","",IF(LOOKUP(AD120,Espesor!$C$8:$C$41,Espesor!$K$8:$K$41)="en voladizo","",IF(AD121="",0.75/AE120,1/AE120)))</f>
        <v/>
      </c>
      <c r="AG120" s="634"/>
      <c r="AH120" s="634" t="str">
        <f>IF(AF120="","",IF(AF121="","",ROUND(AF120/(AF120+AF121),3)))</f>
        <v/>
      </c>
      <c r="AI120" s="634"/>
      <c r="AJ120" s="634" t="str">
        <f>IF(AF120="","",IF(AF121="","",ROUND(AF121/(AF120+AF121),3)))</f>
        <v/>
      </c>
      <c r="AK120" s="317">
        <f>IF(E90="",0,IF($K$2="X - X",VLOOKUP(E90,'Moms de Empt'!$P$3:$T$36,3,0),VLOOKUP(E90,'Moms de Empt'!$P$3:$T$36,5,0)))</f>
        <v>0</v>
      </c>
      <c r="AL120" s="317">
        <f t="shared" ref="AL120:AL122" si="173">+IF(AD121="",0,-AK120)</f>
        <v>0</v>
      </c>
      <c r="AM120" s="629"/>
      <c r="AN120" s="629">
        <f>IF(AD121="",0,IF(LOOKUP(AD121,Espesor!$C$8:$C$41,Espesor!$K$8:$K$41)="en voladizo",MAX(ABS(AL120),ABS(AK121)),-(AK121+AL120)))</f>
        <v>0</v>
      </c>
      <c r="AO120" s="630"/>
      <c r="AP120" s="630" t="str">
        <f t="shared" ref="AP120" si="174">IF(AH120="","",AN120*AH120)</f>
        <v/>
      </c>
      <c r="AQ120" s="630"/>
      <c r="AR120" s="630" t="str">
        <f t="shared" ref="AR120" si="175">IF(AJ120="","",AN120*AJ120)</f>
        <v/>
      </c>
      <c r="AS120" s="632"/>
      <c r="AT120" s="631">
        <f t="shared" ref="AT120" si="176">-IF(AN120="","",IF(AL120="",IF(AP120="",0,AP120),IF(AP120="",AL120,AL120+AP120)))</f>
        <v>0</v>
      </c>
      <c r="AU120" s="341">
        <f>+AT120</f>
        <v>0</v>
      </c>
      <c r="AV120" s="332" t="str">
        <f>IF(K115="","",IF(L90="X - X",VLOOKUP(K115,'Moms de Empt'!$P$3:$T$36,2,0),VLOOKUP(K115,'Moms de Empt'!$P$3:$T$36,4,0)))</f>
        <v/>
      </c>
      <c r="AW120" s="635"/>
      <c r="AX120" s="633" t="str">
        <f>IF(AV120="","",IF(AV121="","",ROUND(AV120/(AV120+AV121),3)))</f>
        <v/>
      </c>
      <c r="AY120" s="635"/>
      <c r="AZ120" s="633" t="str">
        <f>IF(AV120="","",IF(AV121="","",ROUND(AV121/(AV120+AV121),3)))</f>
        <v/>
      </c>
      <c r="BA120" s="331" t="str">
        <f t="shared" si="172"/>
        <v/>
      </c>
      <c r="BB120" s="279"/>
      <c r="BC120" s="401"/>
      <c r="BD120" s="398"/>
      <c r="BE120" s="391"/>
      <c r="BN120" s="28"/>
      <c r="BO120" s="278"/>
      <c r="BP120" s="278"/>
      <c r="BQ120" s="278"/>
      <c r="BR120" s="278"/>
      <c r="BS120" s="278"/>
      <c r="BT120" s="278"/>
      <c r="BU120" s="278"/>
      <c r="BV120" s="278"/>
      <c r="BW120" s="278"/>
      <c r="BX120" s="278"/>
      <c r="BY120" s="278"/>
      <c r="BZ120" s="278"/>
      <c r="CA120" s="278"/>
      <c r="CB120" s="278"/>
      <c r="CC120" s="278"/>
      <c r="CD120" s="278"/>
      <c r="CE120" s="278"/>
      <c r="CF120" s="278"/>
      <c r="CG120" s="278"/>
      <c r="CH120" s="278"/>
      <c r="CI120" s="278"/>
      <c r="CJ120" s="278"/>
      <c r="CK120" s="278"/>
      <c r="CL120" s="278"/>
      <c r="CM120" s="476"/>
      <c r="CN120" s="35"/>
      <c r="CO120" s="279"/>
      <c r="CP120" s="279"/>
      <c r="CQ120" s="279"/>
      <c r="CR120" s="279"/>
      <c r="CS120" s="279"/>
      <c r="CT120" s="279"/>
      <c r="CU120" s="279"/>
      <c r="CV120" s="279"/>
      <c r="CW120" s="279"/>
      <c r="CX120" s="279"/>
      <c r="CY120" s="279"/>
      <c r="CZ120" s="279"/>
      <c r="DA120" s="279"/>
      <c r="DB120" s="279"/>
      <c r="DC120" s="279"/>
      <c r="DD120" s="279"/>
      <c r="DE120" s="279"/>
      <c r="DF120" s="279"/>
    </row>
    <row r="121" spans="1:110" s="32" customFormat="1" ht="21.75" customHeight="1" thickBot="1">
      <c r="B121" s="29"/>
      <c r="C121" s="30"/>
      <c r="D121" s="255">
        <f>IF(D119="",0,IF(D118="",IF(D120="",0,D120),IF(D120="",D118,D118+D120)))</f>
        <v>0</v>
      </c>
      <c r="E121" s="256">
        <f>IF(D119="",0,IF(E118="",IF(E120="",0,E120),IF(E120="",E118,E118+E120)))</f>
        <v>0</v>
      </c>
      <c r="F121" s="30"/>
      <c r="G121" s="276">
        <f>IF(G119="",0,IF(G118="",IF(G120="",0,G120),IF(G120="",G118,G118+G120)))</f>
        <v>0</v>
      </c>
      <c r="H121" s="256">
        <f>IF(G119="",0,IF(H118="",IF(H120="",0,H120),IF(H120="",H118,H118+H120)))</f>
        <v>0</v>
      </c>
      <c r="I121" s="30"/>
      <c r="J121" s="276">
        <f>IF(J119="",0,IF(J118="",IF(J120="",0,J120),IF(J120="",J118,J118+J120)))</f>
        <v>0</v>
      </c>
      <c r="K121" s="256">
        <f>IF(J119="",0,IF(K118="",IF(K120="",0,K120),IF(K120="",K118,K118+K120)))</f>
        <v>0</v>
      </c>
      <c r="L121" s="30"/>
      <c r="M121" s="276">
        <f>IF(M119="",0,IF(M118="",IF(M120="",0,M120),IF(M120="",M118,M118+M120)))</f>
        <v>0</v>
      </c>
      <c r="N121" s="256">
        <f>IF(M119="",0,IF(N118="",IF(N120="",0,N120),IF(N120="",N118,N118+N120)))</f>
        <v>0</v>
      </c>
      <c r="O121" s="30"/>
      <c r="P121" s="276">
        <f>IF(P119="",0,IF(P118="",IF(P120="",0,P120),IF(P120="",P118,P118+P120)))</f>
        <v>0</v>
      </c>
      <c r="Q121" s="256">
        <f>IF(P119="",0,IF(Q118="",IF(Q120="",0,Q120),IF(Q120="",Q118,Q118+Q120)))</f>
        <v>0</v>
      </c>
      <c r="R121" s="30"/>
      <c r="S121" s="276">
        <f>IF(S119="",0,IF(S118="",IF(S120="",0,S120),IF(S120="",S118,S118+S120)))</f>
        <v>0</v>
      </c>
      <c r="T121" s="256">
        <f>IF(S119="",0,IF(T118="",IF(T120="",0,T120),IF(T120="",T118,T118+T120)))</f>
        <v>0</v>
      </c>
      <c r="U121" s="30"/>
      <c r="V121" s="276">
        <f>IF(V119="",0,IF(V118="",IF(V120="",0,V120),IF(V120="",V118,V118+V120)))</f>
        <v>0</v>
      </c>
      <c r="W121" s="256">
        <f>IF(V119="",0,IF(W118="",IF(W120="",0,W120),IF(W120="",W118,W118+W120)))</f>
        <v>0</v>
      </c>
      <c r="X121" s="30"/>
      <c r="Y121" s="276">
        <f>IF(Y119="",0,IF(Y118="",IF(Y120="",0,Y120),IF(Y120="",Y118,Y118+Y120)))</f>
        <v>0</v>
      </c>
      <c r="Z121" s="256">
        <f>IF(Y119="",0,IF(Z118="",IF(Z120="",0,Z120),IF(Z120="",Z118,Z118+Z120)))</f>
        <v>0</v>
      </c>
      <c r="AA121" s="30"/>
      <c r="AB121" s="31"/>
      <c r="AC121" s="30"/>
      <c r="AD121" s="321" t="str">
        <f>+IF(AI115="","",AI115)</f>
        <v/>
      </c>
      <c r="AE121" s="324" t="str">
        <f>IF(N115="","",IF($K$2="X - X",VLOOKUP(N115,Espesor!$C$8:$E$41,2,0),VLOOKUP(N115,Espesor!$C$8:$E$41,3,0)))</f>
        <v/>
      </c>
      <c r="AF121" s="319" t="str">
        <f>IF(AD121="","",IF(LOOKUP(AD121,Espesor!$C$8:$C$41,Espesor!$K$8:$K$41)="en voladizo","",IF(AD122="",0.75/AE121,1/AE121)))</f>
        <v/>
      </c>
      <c r="AG121" s="634" t="str">
        <f>IF(AF121="","",IF(AF122="","",ROUND(AF121/(AF121+AF122),3)))</f>
        <v/>
      </c>
      <c r="AH121" s="634"/>
      <c r="AI121" s="634" t="str">
        <f>IF(AF122="","",IF(AF121="","",ROUND(AF122/(AF122+AF121),3)))</f>
        <v/>
      </c>
      <c r="AJ121" s="634"/>
      <c r="AK121" s="317">
        <f>IF(F90="",0,IF($K$2="X - X",VLOOKUP(F90,'Moms de Empt'!$P$3:$T$36,3,0),VLOOKUP(F90,'Moms de Empt'!$P$3:$T$36,5,0)))</f>
        <v>0</v>
      </c>
      <c r="AL121" s="317">
        <f t="shared" si="173"/>
        <v>0</v>
      </c>
      <c r="AM121" s="629">
        <f>IF(AD122="",0,IF(LOOKUP(AD122,Espesor!$C$8:$C$41,Espesor!$K$8:$K$41)="en voladizo",MAX(ABS(AL121),ABS(AK122)),-(AK122+AL121)))</f>
        <v>0</v>
      </c>
      <c r="AN121" s="629"/>
      <c r="AO121" s="630" t="str">
        <f t="shared" ref="AO121" si="177">IF(AG121="","",AM121*AG121)</f>
        <v/>
      </c>
      <c r="AP121" s="630"/>
      <c r="AQ121" s="630" t="str">
        <f t="shared" ref="AQ121" si="178">IF(AI121="","",AM121*AI121)</f>
        <v/>
      </c>
      <c r="AR121" s="630"/>
      <c r="AS121" s="631">
        <f>-IF(AM121="","",IF(AL121="",IF(AO121="",0,AO121),IF(AO121="",AL121,AL121+AO121)))</f>
        <v>0</v>
      </c>
      <c r="AT121" s="632"/>
      <c r="AU121" s="341">
        <f>+AS121</f>
        <v>0</v>
      </c>
      <c r="AV121" s="332" t="str">
        <f>IF(N115="","",IF(L90="X - X",VLOOKUP(N115,'Moms de Empt'!$P$3:$T$36,2,0),VLOOKUP(N115,'Moms de Empt'!$P$3:$T$36,4,0)))</f>
        <v/>
      </c>
      <c r="AW121" s="635" t="str">
        <f>IF(AV121="","",IF(AV122="","",ROUND(AV121/(AV121+AV122),3)))</f>
        <v/>
      </c>
      <c r="AX121" s="633"/>
      <c r="AY121" s="635" t="str">
        <f>IF(AV122="","",IF(AV121="","",ROUND(AV122/(AV122+AV121),3)))</f>
        <v/>
      </c>
      <c r="AZ121" s="633"/>
      <c r="BA121" s="331" t="str">
        <f t="shared" si="172"/>
        <v/>
      </c>
      <c r="BB121" s="30"/>
      <c r="BC121" s="401"/>
      <c r="BD121" s="398"/>
      <c r="BE121" s="391"/>
      <c r="BF121" s="30"/>
      <c r="BG121" s="30"/>
      <c r="BH121" s="30"/>
      <c r="BI121" s="30"/>
      <c r="BJ121" s="30"/>
      <c r="BK121" s="30"/>
      <c r="BL121" s="30"/>
      <c r="BM121" s="30"/>
      <c r="BN121" s="243"/>
      <c r="BO121" s="396"/>
      <c r="BP121" s="396"/>
      <c r="BQ121" s="396"/>
      <c r="BR121" s="396"/>
      <c r="BS121" s="396"/>
      <c r="BT121" s="396"/>
      <c r="BU121" s="396"/>
      <c r="BV121" s="396"/>
      <c r="BW121" s="396"/>
      <c r="BX121" s="396"/>
      <c r="BY121" s="396"/>
      <c r="BZ121" s="396"/>
      <c r="CA121" s="396"/>
      <c r="CB121" s="396"/>
      <c r="CC121" s="396"/>
      <c r="CD121" s="396"/>
      <c r="CE121" s="396"/>
      <c r="CF121" s="396"/>
      <c r="CG121" s="396"/>
      <c r="CH121" s="396"/>
      <c r="CI121" s="396"/>
      <c r="CJ121" s="396"/>
      <c r="CK121" s="396"/>
      <c r="CL121" s="396"/>
      <c r="CM121" s="474"/>
      <c r="CN121" s="279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</row>
    <row r="122" spans="1:110" s="36" customFormat="1" ht="21.75" customHeight="1" thickBot="1">
      <c r="A122" s="36" t="s">
        <v>66</v>
      </c>
      <c r="B122" s="273"/>
      <c r="D122" s="672">
        <f>IF(E114="",0,IF(D121=0,IF(E121=0,MAX(ABS(D118),ABS(E118)),E121),MAX(ABS(D121),ABS(E121))))</f>
        <v>0</v>
      </c>
      <c r="E122" s="674"/>
      <c r="G122" s="672">
        <f>IF(H114="",0,IF(G121=0,IF(H121=0,MAX(ABS(G118),ABS(H118)),H121),MAX(ABS(G121),ABS(H121))))</f>
        <v>0</v>
      </c>
      <c r="H122" s="674"/>
      <c r="J122" s="672">
        <f>IF(K114="",0,IF(J121=0,IF(K121=0,MAX(ABS(J118),ABS(K118)),K121),MAX(ABS(J121),ABS(K121))))</f>
        <v>0</v>
      </c>
      <c r="K122" s="674"/>
      <c r="M122" s="672">
        <f>IF(N114="",0,IF(M121=0,IF(N121=0,MAX(ABS(M118),ABS(N118)),N121),MAX(ABS(M121),ABS(N121))))</f>
        <v>0</v>
      </c>
      <c r="N122" s="674"/>
      <c r="P122" s="672">
        <f>IF(Q114="",0,IF(P121=0,IF(Q121=0,MAX(ABS(P118),ABS(Q118)),Q121),MAX(ABS(P121),ABS(Q121))))</f>
        <v>0</v>
      </c>
      <c r="Q122" s="674"/>
      <c r="S122" s="672">
        <f>IF(T114="",0,IF(S121=0,IF(T121=0,MAX(ABS(S118),ABS(T118)),T121),MAX(ABS(S121),ABS(T121))))</f>
        <v>0</v>
      </c>
      <c r="T122" s="674"/>
      <c r="U122" s="265"/>
      <c r="V122" s="672">
        <f>IF(W114="",0,IF(V121=0,IF(W121=0,MAX(ABS(V118),ABS(W118)),W121),MAX(ABS(V121),ABS(W121))))</f>
        <v>0</v>
      </c>
      <c r="W122" s="674"/>
      <c r="Y122" s="672">
        <f>IF(Z114="",0,IF(Y121=0,IF(Z121=0,MAX(ABS(Y118),ABS(Z118)),Z121),MAX(ABS(Y121),ABS(Z121))))</f>
        <v>0</v>
      </c>
      <c r="Z122" s="674"/>
      <c r="AA122" s="37"/>
      <c r="AB122" s="38"/>
      <c r="AC122" s="39"/>
      <c r="AD122" s="321" t="str">
        <f>+IF(AJ115="","",AJ115)</f>
        <v/>
      </c>
      <c r="AE122" s="324" t="str">
        <f>IF(Q115="","",IF($K$2="X - X",VLOOKUP(Q115,Espesor!$C$8:$E$41,2,0),VLOOKUP(Q115,Espesor!$C$8:$E$41,3,0)))</f>
        <v/>
      </c>
      <c r="AF122" s="319" t="str">
        <f>IF(AD122="","",IF(LOOKUP(AD122,Espesor!$C$8:$C$41,Espesor!$K$8:$K$41)="en voladizo","",IF(AD123="",0.75/AE122,1/AE122)))</f>
        <v/>
      </c>
      <c r="AG122" s="634"/>
      <c r="AH122" s="634" t="str">
        <f>IF(AF122="","",IF(AF123="","",ROUND(AF122/(AF122+AF123),3)))</f>
        <v/>
      </c>
      <c r="AI122" s="634"/>
      <c r="AJ122" s="634" t="str">
        <f>IF(AF122="","",IF(AF123="","",ROUND(AF123/(AF122+AF123),3)))</f>
        <v/>
      </c>
      <c r="AK122" s="317">
        <f>IF(G90="",0,IF($K$2="X - X",VLOOKUP(G90,'Moms de Empt'!$P$3:$T$36,3,0),VLOOKUP(G90,'Moms de Empt'!$P$3:$T$36,5,0)))</f>
        <v>0</v>
      </c>
      <c r="AL122" s="317">
        <f t="shared" si="173"/>
        <v>0</v>
      </c>
      <c r="AM122" s="629"/>
      <c r="AN122" s="629">
        <f>IF(AD123="",0,IF(LOOKUP(AD123,Espesor!$C$8:$C$41,Espesor!$K$8:$K$41)="en voladizo",MAX(ABS(AL122),ABS(AK123)),-(AK123+AL122)))</f>
        <v>0</v>
      </c>
      <c r="AO122" s="630"/>
      <c r="AP122" s="630" t="str">
        <f t="shared" ref="AP122" si="179">IF(AH122="","",AN122*AH122)</f>
        <v/>
      </c>
      <c r="AQ122" s="630"/>
      <c r="AR122" s="630" t="str">
        <f t="shared" ref="AR122" si="180">IF(AJ122="","",AN122*AJ122)</f>
        <v/>
      </c>
      <c r="AS122" s="632"/>
      <c r="AT122" s="631">
        <f t="shared" ref="AT122" si="181">-IF(AN122="","",IF(AL122="",IF(AP122="",0,AP122),IF(AP122="",AL122,AL122+AP122)))</f>
        <v>0</v>
      </c>
      <c r="AU122" s="341">
        <f>+AT122</f>
        <v>0</v>
      </c>
      <c r="AV122" s="332" t="str">
        <f>IF(Q115="","",IF(L90="X - X",VLOOKUP(Q115,'Moms de Empt'!$P$3:$T$36,2,0),VLOOKUP(Q115,'Moms de Empt'!$P$3:$T$36,4,0)))</f>
        <v/>
      </c>
      <c r="AW122" s="635"/>
      <c r="AX122" s="633" t="str">
        <f>IF(AV122="","",IF(AV123="","",ROUND(AV122/(AV122+AV123),3)))</f>
        <v/>
      </c>
      <c r="AY122" s="635"/>
      <c r="AZ122" s="633" t="str">
        <f>IF(AV122="","",IF(AV123="","",ROUND(AV123/(AV122+AV123),3)))</f>
        <v/>
      </c>
      <c r="BA122" s="331" t="str">
        <f t="shared" si="172"/>
        <v/>
      </c>
      <c r="BB122" s="32"/>
      <c r="BC122" s="401"/>
      <c r="BD122" s="398"/>
      <c r="BE122" s="391"/>
      <c r="BF122" s="393"/>
      <c r="BG122" s="393"/>
      <c r="BH122" s="393"/>
      <c r="BI122" s="393"/>
      <c r="BJ122" s="393"/>
      <c r="BK122" s="393"/>
      <c r="BL122" s="393"/>
      <c r="BM122" s="393"/>
      <c r="BN122" s="244"/>
      <c r="BO122" s="395"/>
      <c r="BP122" s="395"/>
      <c r="BQ122" s="395"/>
      <c r="BR122" s="395"/>
      <c r="BS122" s="395"/>
      <c r="BT122" s="395"/>
      <c r="BU122" s="395"/>
      <c r="BV122" s="395"/>
      <c r="BW122" s="395"/>
      <c r="BX122" s="395"/>
      <c r="BY122" s="395"/>
      <c r="BZ122" s="395"/>
      <c r="CA122" s="395"/>
      <c r="CB122" s="395"/>
      <c r="CC122" s="395"/>
      <c r="CD122" s="395"/>
      <c r="CE122" s="395"/>
      <c r="CF122" s="395"/>
      <c r="CG122" s="395"/>
      <c r="CH122" s="395"/>
      <c r="CI122" s="395"/>
      <c r="CJ122" s="395"/>
      <c r="CK122" s="395"/>
      <c r="CL122" s="395"/>
      <c r="CM122" s="474"/>
      <c r="CN122" s="30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</row>
    <row r="123" spans="1:110" s="36" customFormat="1" ht="21.75" customHeight="1" thickBot="1">
      <c r="B123" s="274"/>
      <c r="D123" s="690">
        <f>IF(D122="","",D122*100000)</f>
        <v>0</v>
      </c>
      <c r="E123" s="690"/>
      <c r="G123" s="690">
        <f>IF(G122="","",G122*100000)</f>
        <v>0</v>
      </c>
      <c r="H123" s="690"/>
      <c r="I123" s="388"/>
      <c r="J123" s="690">
        <f>IF(J122="","",J122*100000)</f>
        <v>0</v>
      </c>
      <c r="K123" s="690"/>
      <c r="L123" s="388"/>
      <c r="M123" s="690">
        <f>IF(M122="","",M122*100000)</f>
        <v>0</v>
      </c>
      <c r="N123" s="690"/>
      <c r="O123" s="388"/>
      <c r="P123" s="690">
        <f>IF(P122="","",P122*100000)</f>
        <v>0</v>
      </c>
      <c r="Q123" s="690"/>
      <c r="R123" s="388"/>
      <c r="S123" s="690">
        <f>IF(S122="","",S122*100000)</f>
        <v>0</v>
      </c>
      <c r="T123" s="690"/>
      <c r="U123" s="387"/>
      <c r="V123" s="690">
        <f>IF(V122="","",V122*100000)</f>
        <v>0</v>
      </c>
      <c r="W123" s="690"/>
      <c r="X123" s="388"/>
      <c r="Y123" s="690">
        <f>IF(Y122="","",Y122*100000)</f>
        <v>0</v>
      </c>
      <c r="Z123" s="690"/>
      <c r="AA123" s="37"/>
      <c r="AB123" s="275"/>
      <c r="AC123" s="39"/>
      <c r="AD123" s="321" t="str">
        <f>+IF(AK115="","",AK115)</f>
        <v/>
      </c>
      <c r="AE123" s="324" t="str">
        <f>IF(T115="","",IF($K$2="X - X",VLOOKUP(T115,Espesor!$C$8:$E$41,2,0),VLOOKUP(T115,Espesor!$C$8:$E$41,3,0)))</f>
        <v/>
      </c>
      <c r="AF123" s="319" t="str">
        <f>IF(AD123="","",IF(LOOKUP(AD123,Espesor!$C$8:$C$41,Espesor!$K$8:$K$41)="en voladizo","",IF(AD124="",0.75/AE123,1/AE123)))</f>
        <v/>
      </c>
      <c r="AG123" s="634" t="str">
        <f>IF(AF123="","",IF(AF124="","",ROUND(AF123/(AF123+AF124),3)))</f>
        <v/>
      </c>
      <c r="AH123" s="634"/>
      <c r="AI123" s="634" t="str">
        <f>IF(AF124="","",IF(AF123="","",ROUND(AF124/(AF124+AF123),3)))</f>
        <v/>
      </c>
      <c r="AJ123" s="634"/>
      <c r="AK123" s="317">
        <f>IF(H90="",0,IF($K$2="X - X",VLOOKUP(H90,'Moms de Empt'!$P$3:$T$36,3,0),VLOOKUP(H90,'Moms de Empt'!$P$3:$T$36,5,0)))</f>
        <v>0</v>
      </c>
      <c r="AL123" s="317">
        <f>+IF(AD124="",0,-AK123)</f>
        <v>0</v>
      </c>
      <c r="AM123" s="629">
        <f>IF(AD124="",0,IF(LOOKUP(AD124,Espesor!$C$8:$C$41,Espesor!$K$8:$K$41)="en voladizo",MAX(ABS(AL123),ABS(AK124)),-(AK124+AL123)))</f>
        <v>0</v>
      </c>
      <c r="AN123" s="629"/>
      <c r="AO123" s="630" t="str">
        <f>IF(AG123="","",AM123*AG123)</f>
        <v/>
      </c>
      <c r="AP123" s="630"/>
      <c r="AQ123" s="630" t="str">
        <f t="shared" ref="AQ123" si="182">IF(AI123="","",AM123*AI123)</f>
        <v/>
      </c>
      <c r="AR123" s="630"/>
      <c r="AS123" s="631">
        <f>-IF(AM123="","",IF(AL123="",IF(AO123="",0,AO123),IF(AO123="",AL123,AL123+AO123)))</f>
        <v>0</v>
      </c>
      <c r="AT123" s="632"/>
      <c r="AU123" s="341">
        <f>+AS123</f>
        <v>0</v>
      </c>
      <c r="AV123" s="332" t="str">
        <f>IF(T115="","",IF(L90="X - X",VLOOKUP(T115,'Moms de Empt'!$P$3:$T$36,2,0),VLOOKUP(T115,'Moms de Empt'!$P$3:$T$36,4,0)))</f>
        <v/>
      </c>
      <c r="AW123" s="635" t="str">
        <f>IF(AV123="","",IF(AV124="","",ROUND(AV123/(AV123+AV124),3)))</f>
        <v/>
      </c>
      <c r="AX123" s="633"/>
      <c r="AY123" s="635" t="str">
        <f>IF(AV124="","",IF(AV123="","",ROUND(AV124/(AV124+AV123),3)))</f>
        <v/>
      </c>
      <c r="AZ123" s="633"/>
      <c r="BA123" s="331" t="str">
        <f t="shared" si="172"/>
        <v/>
      </c>
      <c r="BC123" s="401"/>
      <c r="BD123" s="398"/>
      <c r="BE123" s="391"/>
      <c r="BF123" s="393"/>
      <c r="BG123" s="393"/>
      <c r="BH123" s="393"/>
      <c r="BI123" s="393"/>
      <c r="BJ123" s="393"/>
      <c r="BK123" s="393"/>
      <c r="BL123" s="393"/>
      <c r="BM123" s="393"/>
      <c r="BN123" s="389"/>
      <c r="BO123" s="396"/>
      <c r="BP123" s="396"/>
      <c r="BQ123" s="396"/>
      <c r="BR123" s="396"/>
      <c r="BS123" s="396"/>
      <c r="BT123" s="396"/>
      <c r="BU123" s="396"/>
      <c r="BV123" s="396"/>
      <c r="BW123" s="396"/>
      <c r="BX123" s="396"/>
      <c r="BY123" s="396"/>
      <c r="BZ123" s="396"/>
      <c r="CA123" s="396"/>
      <c r="CB123" s="396"/>
      <c r="CC123" s="396"/>
      <c r="CD123" s="396"/>
      <c r="CE123" s="396"/>
      <c r="CF123" s="396"/>
      <c r="CG123" s="396"/>
      <c r="CH123" s="396"/>
      <c r="CI123" s="396"/>
      <c r="CJ123" s="396"/>
      <c r="CK123" s="396"/>
      <c r="CL123" s="396"/>
      <c r="CM123" s="430"/>
      <c r="CN123" s="32"/>
    </row>
    <row r="124" spans="1:110" s="210" customFormat="1" ht="21.75" customHeight="1" thickBot="1">
      <c r="A124" s="257" t="s">
        <v>127</v>
      </c>
      <c r="B124" s="675" t="str">
        <f>IF(B114="","",IF(K7="X - X",VLOOKUP(B114,'Moms de Empt'!$P$3:$T$36,2,0),VLOOKUP(B114,'Moms de Empt'!$P$3:$T$36,4,0)))</f>
        <v/>
      </c>
      <c r="C124" s="676"/>
      <c r="D124" s="677"/>
      <c r="E124" s="675" t="str">
        <f>IF(E114="","",IF(K7="X - X",VLOOKUP(E114,'Moms de Empt'!$P$3:$T$36,2,0),VLOOKUP(E114,'Moms de Empt'!$P$3:$T$36,4,0)))</f>
        <v/>
      </c>
      <c r="F124" s="676"/>
      <c r="G124" s="677"/>
      <c r="H124" s="675" t="str">
        <f>IF(H114="","",IF(K7="X - X",VLOOKUP(H114,'Moms de Empt'!$P$3:$T$36,2,0),VLOOKUP(H114,'Moms de Empt'!$P$3:$T$36,4,0)))</f>
        <v/>
      </c>
      <c r="I124" s="676"/>
      <c r="J124" s="677"/>
      <c r="K124" s="675" t="str">
        <f>IF(K114="","",IF(K7="X - X",VLOOKUP(K114,'Moms de Empt'!$P$3:$T$36,2,0),VLOOKUP(K114,'Moms de Empt'!$P$3:$T$36,4,0)))</f>
        <v/>
      </c>
      <c r="L124" s="676"/>
      <c r="M124" s="677"/>
      <c r="N124" s="675" t="str">
        <f>IF(N114="","",IF(K7="X - X",VLOOKUP(N114,'Moms de Empt'!$P$3:$T$36,2,0),VLOOKUP(N114,'Moms de Empt'!$P$3:$T$36,4,0)))</f>
        <v/>
      </c>
      <c r="O124" s="676"/>
      <c r="P124" s="677"/>
      <c r="Q124" s="675" t="str">
        <f>IF(Q114="","",IF(K7="X - X",VLOOKUP(Q114,'Moms de Empt'!$P$3:$T$36,2,0),VLOOKUP(Q114,'Moms de Empt'!$P$3:$T$36,4,0)))</f>
        <v/>
      </c>
      <c r="R124" s="676"/>
      <c r="S124" s="677"/>
      <c r="T124" s="675" t="str">
        <f>IF(T114="","",IF(K7="X - X",VLOOKUP(T114,'Moms de Empt'!$P$3:$T$36,2,0),VLOOKUP(T114,'Moms de Empt'!$P$3:$T$36,4,0)))</f>
        <v/>
      </c>
      <c r="U124" s="676"/>
      <c r="V124" s="677"/>
      <c r="W124" s="675" t="str">
        <f>IF(W114="","",IF(K7="X - X",VLOOKUP(W114,'Moms de Empt'!$P$3:$T$36,2,0),VLOOKUP(W114,'Moms de Empt'!$P$3:$T$36,4,0)))</f>
        <v/>
      </c>
      <c r="X124" s="676"/>
      <c r="Y124" s="677"/>
      <c r="Z124" s="675" t="str">
        <f>IF(Z114="","",IF(K7="X - X",VLOOKUP(Z114,'Moms de Empt'!$P$3:$T$36,2,0),VLOOKUP(Z114,'Moms de Empt'!$P$3:$T$36,4,0)))</f>
        <v/>
      </c>
      <c r="AA124" s="676"/>
      <c r="AB124" s="677"/>
      <c r="AC124" s="40"/>
      <c r="AD124" s="321" t="str">
        <f>+IF(AL115="","",AL115)</f>
        <v/>
      </c>
      <c r="AE124" s="324" t="str">
        <f>IF(W115="","",IF($K$2="X - X",VLOOKUP(W115,Espesor!$C$8:$E$41,2,0),VLOOKUP(W115,Espesor!$C$8:$E$41,3,0)))</f>
        <v/>
      </c>
      <c r="AF124" s="319" t="str">
        <f>IF(AD124="","",IF(LOOKUP(AD124,Espesor!$C$8:$C$41,Espesor!$K$8:$K$41)="en voladizo","",IF(AD125="",0.75/AE124,1/AE124)))</f>
        <v/>
      </c>
      <c r="AG124" s="634"/>
      <c r="AH124" s="634" t="str">
        <f>IF(AF124="","",IF(AF125="","",ROUND(AF124/(AF124+AF125),3)))</f>
        <v/>
      </c>
      <c r="AI124" s="634"/>
      <c r="AJ124" s="634" t="str">
        <f>IF(AF124="","",IF(AF125="","",ROUND(AF125/(AF124+AF125),3)))</f>
        <v/>
      </c>
      <c r="AK124" s="317">
        <f>IF(I90="",0,IF($K$2="X - X",VLOOKUP(I90,'Moms de Empt'!$P$3:$T$36,3,0),VLOOKUP(I90,'Moms de Empt'!$P$3:$T$36,5,0)))</f>
        <v>0</v>
      </c>
      <c r="AL124" s="317">
        <f t="shared" ref="AL124:AL125" si="183">+IF(AD125="",0,-AK124)</f>
        <v>0</v>
      </c>
      <c r="AM124" s="629"/>
      <c r="AN124" s="629">
        <f>IF(AD125="",0,IF(LOOKUP(AD125,Espesor!$C$8:$C$41,Espesor!$K$8:$K$41)="en voladizo",MAX(ABS(AL124),ABS(AK125)),-(AK125+AL124)))</f>
        <v>0</v>
      </c>
      <c r="AO124" s="630"/>
      <c r="AP124" s="630" t="str">
        <f t="shared" ref="AP124" si="184">IF(AH124="","",AN124*AH124)</f>
        <v/>
      </c>
      <c r="AQ124" s="630"/>
      <c r="AR124" s="630" t="str">
        <f t="shared" ref="AR124" si="185">IF(AJ124="","",AN124*AJ124)</f>
        <v/>
      </c>
      <c r="AS124" s="632"/>
      <c r="AT124" s="631">
        <f t="shared" ref="AT124" si="186">-IF(AN124="","",IF(AL124="",IF(AP124="",0,AP124),IF(AP124="",AL124,AL124+AP124)))</f>
        <v>0</v>
      </c>
      <c r="AU124" s="341">
        <f>+AT124</f>
        <v>0</v>
      </c>
      <c r="AV124" s="332" t="str">
        <f>IF(W115="","",IF(L90="X - X",VLOOKUP(W115,'Moms de Empt'!$P$3:$T$36,2,0),VLOOKUP(W115,'Moms de Empt'!$P$3:$T$36,4,0)))</f>
        <v/>
      </c>
      <c r="AW124" s="635"/>
      <c r="AX124" s="633" t="str">
        <f>IF(AV124="","",IF(AV125="","",ROUND(AV124/(AV124+AV125),3)))</f>
        <v/>
      </c>
      <c r="AY124" s="635"/>
      <c r="AZ124" s="633" t="str">
        <f>IF(AV124="","",IF(AV125="","",ROUND(AV125/(AV124+AV125),3)))</f>
        <v/>
      </c>
      <c r="BA124" s="331" t="str">
        <f t="shared" si="172"/>
        <v/>
      </c>
      <c r="BB124" s="36"/>
      <c r="BC124" s="401"/>
      <c r="BD124" s="398"/>
      <c r="BE124" s="391"/>
      <c r="BF124" s="278"/>
      <c r="BG124" s="278"/>
      <c r="BH124" s="278"/>
      <c r="BI124" s="278"/>
      <c r="BJ124" s="278"/>
      <c r="BK124" s="278"/>
      <c r="BL124" s="278"/>
      <c r="BM124" s="278"/>
      <c r="BN124" s="30"/>
      <c r="BO124" s="397"/>
      <c r="BP124" s="397"/>
      <c r="BQ124" s="397"/>
      <c r="BR124" s="397"/>
      <c r="BS124" s="397"/>
      <c r="BT124" s="397"/>
      <c r="BU124" s="397"/>
      <c r="BV124" s="397"/>
      <c r="BW124" s="397"/>
      <c r="BX124" s="397"/>
      <c r="BY124" s="397"/>
      <c r="BZ124" s="397"/>
      <c r="CA124" s="397"/>
      <c r="CB124" s="397"/>
      <c r="CC124" s="397"/>
      <c r="CD124" s="397"/>
      <c r="CE124" s="397"/>
      <c r="CF124" s="397"/>
      <c r="CG124" s="397"/>
      <c r="CH124" s="397"/>
      <c r="CI124" s="397"/>
      <c r="CJ124" s="397"/>
      <c r="CK124" s="397"/>
      <c r="CL124" s="397"/>
      <c r="CM124" s="430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</row>
    <row r="125" spans="1:110" ht="21.75" customHeight="1" thickBot="1">
      <c r="A125" s="258"/>
      <c r="B125" s="209"/>
      <c r="C125" s="209"/>
      <c r="D125" s="209" t="str">
        <f>IF(B116="","",IF(D118="","",IF(ABS(D122)&gt;ABS(D118),-0.5*ABS(D120),0.5*ABS(D120))))</f>
        <v/>
      </c>
      <c r="E125" s="209" t="str">
        <f>IF(E116="","",IF(E118="","",IF(ABS(D122)&gt;ABS(E118),-0.5*ABS(E120),0.5*ABS(E120))))</f>
        <v/>
      </c>
      <c r="F125" s="209"/>
      <c r="G125" s="209" t="str">
        <f>IF(E116="","",IF(G118="","",IF(ABS(G122)&gt;ABS(G118),-0.5*ABS(G120),0.5*ABS(G120))))</f>
        <v/>
      </c>
      <c r="H125" s="209" t="str">
        <f>IF(H116="","",IF(H118="","",IF(ABS(G122)&gt;ABS(H118),-0.5*ABS(H120),0.5*ABS(H120))))</f>
        <v/>
      </c>
      <c r="I125" s="209"/>
      <c r="J125" s="209" t="str">
        <f>IF(H116="","",IF(J118="","",IF(ABS(J122)&gt;ABS(J118),-0.5*ABS(J120),0.5*ABS(J120))))</f>
        <v/>
      </c>
      <c r="K125" s="209" t="str">
        <f>IF(K116="","",IF(K118="","",IF(ABS(J122)&gt;ABS(K118),-0.5*ABS(K120),0.5*ABS(K120))))</f>
        <v/>
      </c>
      <c r="L125" s="209"/>
      <c r="M125" s="209" t="str">
        <f>IF(K116="","",IF(M118="","",IF(ABS(M122)&gt;ABS(M118),-0.5*ABS(M120),0.5*ABS(M120))))</f>
        <v/>
      </c>
      <c r="N125" s="209" t="str">
        <f>IF(N116="","",IF(N118="","",IF(ABS(M122)&gt;ABS(N118),-0.5*ABS(N120),0.5*ABS(N120))))</f>
        <v/>
      </c>
      <c r="O125" s="209"/>
      <c r="P125" s="209" t="str">
        <f>IF(N116="","",IF(P118="","",IF(ABS(P122)&gt;ABS(P118),-0.5*ABS(P120),0.5*ABS(P120))))</f>
        <v/>
      </c>
      <c r="Q125" s="209" t="str">
        <f>IF(Q116="","",IF(Q118="","",IF(ABS(P122)&gt;ABS(Q118),-0.5*ABS(Q120),0.5*ABS(Q120))))</f>
        <v/>
      </c>
      <c r="R125" s="209"/>
      <c r="S125" s="209" t="str">
        <f>IF(Q116="","",IF(S118="","",IF(ABS(S122)&gt;ABS(S118),-0.5*ABS(S120),0.5*ABS(S120))))</f>
        <v/>
      </c>
      <c r="T125" s="209" t="str">
        <f>IF(T116="","",IF(T118="","",IF(ABS(S122)&gt;ABS(T118),-0.5*ABS(T120),0.5*ABS(T120))))</f>
        <v/>
      </c>
      <c r="U125" s="209"/>
      <c r="V125" s="209" t="str">
        <f>IF(T116="","",IF(V118="","",IF(ABS(V122)&gt;ABS(V118),-0.5*ABS(V120),0.5*ABS(V120))))</f>
        <v/>
      </c>
      <c r="W125" s="209" t="str">
        <f>IF(W116="","",IF(W118="","",IF(ABS(V122)&gt;ABS(W118),-0.5*ABS(W120),0.5*ABS(W120))))</f>
        <v/>
      </c>
      <c r="X125" s="209"/>
      <c r="Y125" s="209" t="str">
        <f>IF(W116="","",IF(Y118="","",IF(ABS(Y122)&gt;ABS(Y118),-0.5*ABS(Y120),0.5*ABS(Y120))))</f>
        <v/>
      </c>
      <c r="Z125" s="209" t="str">
        <f>IF(Z116="","",IF(Z118="","",IF(ABS(Y122)&gt;ABS(Z118),-0.5*ABS(Z120),0.5*ABS(Z120))))</f>
        <v/>
      </c>
      <c r="AA125" s="209"/>
      <c r="AB125" s="209" t="str">
        <f>IF(Z116="","",IF(AB118="","",IF(AB122&gt;-AB118,IF(AB120&lt;0,0.5*AB120,-0.5*AB120),0.5*AB120)))</f>
        <v/>
      </c>
      <c r="AD125" s="321" t="str">
        <f>+IF(AM115="","",AM115)</f>
        <v/>
      </c>
      <c r="AE125" s="324" t="str">
        <f>IF(Z115="","",IF($K$2="X - X",VLOOKUP(Z115,Espesor!$C$8:$E$41,2,0),VLOOKUP(Z115,Espesor!$C$8:$E$41,3,0)))</f>
        <v/>
      </c>
      <c r="AF125" s="319" t="str">
        <f>IF(AD125="","",IF(LOOKUP(AD125,Espesor!$C$8:$C$41,Espesor!$K$8:$K$41)="en voladizo","",IF(AD126="",0.75/AE125,1/AE125)))</f>
        <v/>
      </c>
      <c r="AG125" s="344" t="str">
        <f>IF(AF125="","",IF(AK99="","",ROUND(AF125/(AF125+AK99),3)))</f>
        <v/>
      </c>
      <c r="AH125" s="634"/>
      <c r="AI125" s="344" t="str">
        <f>IF(AK99="","",IF(AF125="","",ROUND(AK99/(AK99+AF125),3)))</f>
        <v/>
      </c>
      <c r="AJ125" s="634"/>
      <c r="AK125" s="317">
        <f>IF(J90="",0,IF($K$2="X - X",VLOOKUP(J90,'Moms de Empt'!$P$3:$T$36,3,0),VLOOKUP(J90,'Moms de Empt'!$P$3:$T$36,5,0)))</f>
        <v>0</v>
      </c>
      <c r="AL125" s="317">
        <f t="shared" si="183"/>
        <v>0</v>
      </c>
      <c r="AM125" s="307" t="str">
        <f>IF(AI99="","",IF(LOOKUP(AI99,[6]Espesor!$C$8:$C$41,[6]Espesor!$K$8:$K$41)="en voladizo",MAX(ABS(AL125),ABS(AQ99)),-(AQ99-AL125)))</f>
        <v/>
      </c>
      <c r="AN125" s="629"/>
      <c r="AO125" s="340" t="str">
        <f t="shared" ref="AO125" si="187">IF(AG125="","",AM125*AG125)</f>
        <v/>
      </c>
      <c r="AP125" s="630"/>
      <c r="AQ125" s="315" t="str">
        <f t="shared" ref="AQ125" si="188">IF(AI125="","",AM125*AI125)</f>
        <v/>
      </c>
      <c r="AR125" s="630"/>
      <c r="AS125" s="312" t="str">
        <f t="shared" ref="AS125" si="189">IF(AM125="","",IF(AL125="",IF(AO125="",0,AO125),IF(AO125="",AL125,AL125+AO125)))</f>
        <v/>
      </c>
      <c r="AT125" s="632"/>
      <c r="AU125" s="341"/>
      <c r="AV125" s="333" t="str">
        <f>IF(Z115="","",IF(L90="X - X",VLOOKUP(Z115,'Moms de Empt'!$P$3:$T$36,2,0),VLOOKUP(Z115,'Moms de Empt'!$P$3:$T$36,4,0)))</f>
        <v/>
      </c>
      <c r="AW125" s="337" t="str">
        <f>IF(AV125="","",IF(BA99="","",ROUND(AV125/(AV125+BA99),3)))</f>
        <v/>
      </c>
      <c r="AX125" s="633"/>
      <c r="AY125" s="337" t="str">
        <f>IF(BA99="","",IF(AV125="","",ROUND(BA99/(BA99+AV125),3)))</f>
        <v/>
      </c>
      <c r="AZ125" s="633"/>
      <c r="BA125" s="331"/>
      <c r="BB125" s="210"/>
      <c r="BC125" s="401"/>
      <c r="BD125" s="398"/>
      <c r="BE125" s="391"/>
      <c r="BN125" s="392"/>
      <c r="BO125" s="397"/>
      <c r="BP125" s="397"/>
      <c r="BQ125" s="397"/>
      <c r="BR125" s="397"/>
      <c r="BS125" s="397"/>
      <c r="BT125" s="397"/>
      <c r="BU125" s="397"/>
      <c r="BV125" s="397"/>
      <c r="BW125" s="397"/>
      <c r="BX125" s="397"/>
      <c r="BY125" s="397"/>
      <c r="BZ125" s="397"/>
      <c r="CA125" s="397"/>
      <c r="CB125" s="397"/>
      <c r="CC125" s="397"/>
      <c r="CD125" s="397"/>
      <c r="CE125" s="397"/>
      <c r="CF125" s="397"/>
      <c r="CG125" s="397"/>
      <c r="CH125" s="397"/>
      <c r="CI125" s="397"/>
      <c r="CJ125" s="397"/>
      <c r="CK125" s="397"/>
      <c r="CL125" s="397"/>
      <c r="CM125" s="477"/>
      <c r="CN125" s="36"/>
      <c r="CO125" s="210"/>
      <c r="CP125" s="210"/>
      <c r="CQ125" s="210"/>
      <c r="CR125" s="210"/>
      <c r="CS125" s="210"/>
      <c r="CT125" s="210"/>
      <c r="CU125" s="210"/>
      <c r="CV125" s="210"/>
      <c r="CW125" s="210"/>
      <c r="CX125" s="210"/>
      <c r="CY125" s="210"/>
      <c r="CZ125" s="210"/>
      <c r="DA125" s="210"/>
      <c r="DB125" s="210"/>
      <c r="DC125" s="210"/>
      <c r="DD125" s="210"/>
      <c r="DE125" s="210"/>
      <c r="DF125" s="210"/>
    </row>
    <row r="126" spans="1:110" s="260" customFormat="1" ht="21.75" customHeight="1" thickBot="1">
      <c r="A126" s="259" t="s">
        <v>128</v>
      </c>
      <c r="B126" s="672" t="str">
        <f>IF(B125="",IF(D125="",B124,B124+D125),IF(D125="",B124+B125,B124+B125+D125))</f>
        <v/>
      </c>
      <c r="C126" s="673"/>
      <c r="D126" s="674"/>
      <c r="E126" s="672" t="str">
        <f>IF(E125="",IF(G125="",E124,E124+G125),IF(G125="",E124+E125,E124+E125+G125))</f>
        <v/>
      </c>
      <c r="F126" s="673"/>
      <c r="G126" s="674"/>
      <c r="H126" s="672" t="str">
        <f>IF(H125="",IF(J125="",H124,H124+J125),IF(J125="",H124+H125,H124+H125+J125))</f>
        <v/>
      </c>
      <c r="I126" s="673"/>
      <c r="J126" s="674"/>
      <c r="K126" s="672" t="str">
        <f>IF(K125="",IF(M125="",K124,K124+M125),IF(M125="",K124+K125,K124+K125+M125))</f>
        <v/>
      </c>
      <c r="L126" s="673"/>
      <c r="M126" s="674"/>
      <c r="N126" s="672" t="str">
        <f>IF(N125="",IF(P125="",N124,N124+P125),IF(P125="",N124+N125,N124+N125+P125))</f>
        <v/>
      </c>
      <c r="O126" s="673"/>
      <c r="P126" s="674"/>
      <c r="Q126" s="672" t="str">
        <f>IF(Q125="",IF(S125="",Q124,Q124+S125),IF(S125="",Q124+Q125,Q124+Q125+S125))</f>
        <v/>
      </c>
      <c r="R126" s="673"/>
      <c r="S126" s="674"/>
      <c r="T126" s="672" t="str">
        <f>IF(T125="",IF(V125="",T124,T124+V125),IF(V125="",T124+T125,T124+T125+V125))</f>
        <v/>
      </c>
      <c r="U126" s="673"/>
      <c r="V126" s="674"/>
      <c r="W126" s="672" t="str">
        <f>IF(W125="",IF(Y125="",W124,W124+Y125),IF(Y125="",W124+W125,W124+W125+Y125))</f>
        <v/>
      </c>
      <c r="X126" s="673"/>
      <c r="Y126" s="674"/>
      <c r="Z126" s="672" t="str">
        <f>IF(Z125="",IF(AB125="",Z124,Z124+AB125),IF(AB125="",Z124+Z125,Z124+Z125+AB125))</f>
        <v/>
      </c>
      <c r="AA126" s="673"/>
      <c r="AB126" s="674"/>
      <c r="AC126" s="39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401"/>
      <c r="BD126" s="398"/>
      <c r="BE126" s="391"/>
      <c r="BF126" s="395"/>
      <c r="BG126" s="395"/>
      <c r="BH126" s="395"/>
      <c r="BI126" s="395"/>
      <c r="BJ126" s="395"/>
      <c r="BK126" s="395"/>
      <c r="BL126" s="395"/>
      <c r="BM126" s="395"/>
      <c r="BN126" s="406"/>
      <c r="BO126" s="396"/>
      <c r="BP126" s="396"/>
      <c r="BQ126" s="396"/>
      <c r="BR126" s="396"/>
      <c r="BS126" s="396"/>
      <c r="BT126" s="396"/>
      <c r="BU126" s="396"/>
      <c r="BV126" s="396"/>
      <c r="BW126" s="396"/>
      <c r="BX126" s="396"/>
      <c r="BY126" s="396"/>
      <c r="BZ126" s="396"/>
      <c r="CA126" s="396"/>
      <c r="CB126" s="396"/>
      <c r="CC126" s="396"/>
      <c r="CD126" s="396"/>
      <c r="CE126" s="396"/>
      <c r="CF126" s="396"/>
      <c r="CG126" s="396"/>
      <c r="CH126" s="396"/>
      <c r="CI126" s="396"/>
      <c r="CJ126" s="396"/>
      <c r="CK126" s="396"/>
      <c r="CL126" s="396"/>
      <c r="CM126" s="431"/>
      <c r="CN126" s="210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</row>
    <row r="127" spans="1:110" ht="21.75" customHeight="1">
      <c r="AD127" s="260"/>
      <c r="AE127" s="260"/>
      <c r="AF127" s="260"/>
      <c r="AG127" s="260"/>
      <c r="AH127" s="260"/>
      <c r="AI127" s="260"/>
      <c r="AJ127" s="260"/>
      <c r="AK127" s="39"/>
      <c r="AL127" s="39"/>
      <c r="AM127" s="260"/>
      <c r="AN127" s="260"/>
      <c r="AO127" s="39"/>
      <c r="AP127" s="39"/>
      <c r="AQ127" s="39"/>
      <c r="AR127" s="39"/>
      <c r="AS127" s="260"/>
      <c r="AT127" s="260"/>
      <c r="AU127" s="260"/>
      <c r="AV127" s="260"/>
      <c r="AW127" s="260"/>
      <c r="AX127" s="260"/>
      <c r="AY127" s="260"/>
      <c r="AZ127" s="260"/>
      <c r="BA127" s="260"/>
      <c r="BB127" s="260"/>
      <c r="BC127" s="401"/>
      <c r="BD127" s="398"/>
      <c r="BE127" s="391"/>
      <c r="BN127" s="30"/>
      <c r="BO127" s="243"/>
      <c r="BP127" s="243"/>
      <c r="BQ127" s="243"/>
      <c r="BR127" s="243"/>
      <c r="BS127" s="243"/>
      <c r="BT127" s="243"/>
      <c r="BU127" s="243"/>
      <c r="BV127" s="243"/>
      <c r="BW127" s="243"/>
      <c r="BX127" s="243"/>
      <c r="BY127" s="243"/>
      <c r="BZ127" s="243"/>
      <c r="CA127" s="243"/>
      <c r="CB127" s="243"/>
      <c r="CC127" s="243"/>
      <c r="CD127" s="243"/>
      <c r="CE127" s="243"/>
      <c r="CF127" s="243"/>
      <c r="CG127" s="243"/>
      <c r="CH127" s="243"/>
      <c r="CI127" s="243"/>
      <c r="CJ127" s="243"/>
      <c r="CK127" s="243"/>
      <c r="CL127" s="243"/>
      <c r="CM127" s="478"/>
      <c r="CO127" s="260"/>
      <c r="CP127" s="260"/>
      <c r="CQ127" s="260"/>
      <c r="CR127" s="260"/>
      <c r="CS127" s="260"/>
      <c r="CT127" s="260"/>
      <c r="CU127" s="260"/>
      <c r="CV127" s="260"/>
      <c r="CW127" s="260"/>
      <c r="CX127" s="260"/>
      <c r="CY127" s="260"/>
      <c r="CZ127" s="260"/>
      <c r="DA127" s="260"/>
      <c r="DB127" s="260"/>
      <c r="DC127" s="260"/>
      <c r="DD127" s="260"/>
      <c r="DE127" s="260"/>
      <c r="DF127" s="260"/>
    </row>
    <row r="128" spans="1:110" ht="21.75" customHeight="1">
      <c r="AD128" s="260"/>
      <c r="AE128" s="260"/>
      <c r="AF128" s="260"/>
      <c r="AG128" s="260"/>
      <c r="AH128" s="260"/>
      <c r="AI128" s="260"/>
      <c r="AJ128" s="260"/>
      <c r="AK128" s="39"/>
      <c r="AL128" s="39"/>
      <c r="AM128" s="260"/>
      <c r="AN128" s="260"/>
      <c r="AO128" s="39"/>
      <c r="AP128" s="39"/>
      <c r="AQ128" s="39"/>
      <c r="AR128" s="39"/>
      <c r="AS128" s="260"/>
      <c r="AT128" s="260"/>
      <c r="AU128" s="260"/>
      <c r="AV128" s="260"/>
      <c r="AW128" s="260"/>
      <c r="AX128" s="260"/>
      <c r="AY128" s="260"/>
      <c r="AZ128" s="260"/>
      <c r="BA128" s="260"/>
      <c r="BC128" s="401"/>
      <c r="BD128" s="398"/>
      <c r="BE128" s="391"/>
      <c r="BF128" s="397"/>
      <c r="BG128" s="397"/>
      <c r="BH128" s="397"/>
      <c r="BI128" s="397"/>
      <c r="BJ128" s="397"/>
      <c r="BK128" s="397"/>
      <c r="BL128" s="397"/>
      <c r="BM128" s="397"/>
      <c r="BN128" s="30"/>
      <c r="BO128" s="244"/>
      <c r="BP128" s="244"/>
      <c r="BQ128" s="244"/>
      <c r="BR128" s="244"/>
      <c r="BS128" s="244"/>
      <c r="BT128" s="244"/>
      <c r="BU128" s="244"/>
      <c r="BV128" s="244"/>
      <c r="BW128" s="244"/>
      <c r="BX128" s="244"/>
      <c r="BY128" s="244"/>
      <c r="BZ128" s="244"/>
      <c r="CA128" s="244"/>
      <c r="CB128" s="244"/>
      <c r="CC128" s="244"/>
      <c r="CD128" s="244"/>
      <c r="CE128" s="244"/>
      <c r="CF128" s="244"/>
      <c r="CG128" s="244"/>
      <c r="CH128" s="244"/>
      <c r="CI128" s="244"/>
      <c r="CJ128" s="244"/>
      <c r="CK128" s="244"/>
      <c r="CL128" s="244"/>
      <c r="CN128" s="260"/>
    </row>
    <row r="129" spans="1:110" s="263" customFormat="1" ht="21.75" customHeight="1" thickBot="1">
      <c r="A129" s="626">
        <f>+A8</f>
        <v>7</v>
      </c>
      <c r="B129" s="626"/>
      <c r="C129" s="626"/>
      <c r="D129" s="626"/>
      <c r="E129" s="626"/>
      <c r="F129" s="262"/>
      <c r="G129" s="262"/>
      <c r="H129" s="262"/>
      <c r="I129" s="262"/>
      <c r="J129" s="628" t="s">
        <v>134</v>
      </c>
      <c r="K129" s="628"/>
      <c r="L129" s="271" t="str">
        <f>+K8</f>
        <v>X - X</v>
      </c>
      <c r="M129" s="262"/>
      <c r="N129" s="404"/>
      <c r="O129" s="402"/>
      <c r="P129" s="262"/>
      <c r="BB129" s="27"/>
      <c r="BC129" s="401"/>
      <c r="BD129" s="398"/>
      <c r="BE129" s="391"/>
      <c r="BF129" s="397"/>
      <c r="BG129" s="397"/>
      <c r="BH129" s="397"/>
      <c r="BI129" s="397"/>
      <c r="BJ129" s="397"/>
      <c r="BK129" s="397"/>
      <c r="BL129" s="397"/>
      <c r="BM129" s="397"/>
      <c r="BN129" s="393"/>
      <c r="BO129" s="389"/>
      <c r="BP129" s="389"/>
      <c r="BQ129" s="389"/>
      <c r="BR129" s="389"/>
      <c r="BS129" s="389"/>
      <c r="BT129" s="389"/>
      <c r="BU129" s="389"/>
      <c r="BV129" s="389"/>
      <c r="BW129" s="389"/>
      <c r="BX129" s="389"/>
      <c r="BY129" s="389"/>
      <c r="BZ129" s="389"/>
      <c r="CA129" s="389"/>
      <c r="CB129" s="389"/>
      <c r="CC129" s="389"/>
      <c r="CD129" s="389"/>
      <c r="CE129" s="389"/>
      <c r="CF129" s="389"/>
      <c r="CG129" s="389"/>
      <c r="CH129" s="389"/>
      <c r="CI129" s="389"/>
      <c r="CJ129" s="389"/>
      <c r="CK129" s="389"/>
      <c r="CL129" s="389"/>
      <c r="CM129" s="431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</row>
    <row r="130" spans="1:110" s="263" customFormat="1" ht="21.75" customHeight="1" thickTop="1">
      <c r="A130" s="686" t="str">
        <f>+Espesor!$J$3</f>
        <v>Techo</v>
      </c>
      <c r="B130" s="686"/>
      <c r="C130" s="688" t="s">
        <v>136</v>
      </c>
      <c r="D130" s="688"/>
      <c r="E130" s="264" t="str">
        <f>IF(B8="","",B8)</f>
        <v/>
      </c>
      <c r="F130" s="264" t="str">
        <f t="shared" ref="F130:K130" si="190">IF(C8="","",C8)</f>
        <v/>
      </c>
      <c r="G130" s="264" t="str">
        <f t="shared" si="190"/>
        <v/>
      </c>
      <c r="H130" s="264" t="str">
        <f t="shared" si="190"/>
        <v/>
      </c>
      <c r="I130" s="264" t="str">
        <f t="shared" si="190"/>
        <v/>
      </c>
      <c r="J130" s="264" t="str">
        <f t="shared" si="190"/>
        <v/>
      </c>
      <c r="K130" s="264" t="str">
        <f t="shared" si="190"/>
        <v/>
      </c>
      <c r="L130" s="264" t="str">
        <f>IF(I8="","",I8)</f>
        <v/>
      </c>
      <c r="M130" s="264" t="str">
        <f t="shared" ref="M130" si="191">IF(J8="","",J8)</f>
        <v/>
      </c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BC130" s="401"/>
      <c r="BD130" s="398"/>
      <c r="BE130" s="391"/>
      <c r="BF130" s="396"/>
      <c r="BG130" s="396"/>
      <c r="BH130" s="396"/>
      <c r="BI130" s="396"/>
      <c r="BJ130" s="396"/>
      <c r="BK130" s="396"/>
      <c r="BL130" s="396"/>
      <c r="BM130" s="396"/>
      <c r="BN130" s="393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472"/>
      <c r="CN130" s="27"/>
    </row>
    <row r="131" spans="1:110" s="291" customFormat="1" ht="21.75" customHeight="1">
      <c r="A131" s="689"/>
      <c r="B131" s="689"/>
      <c r="C131" s="689"/>
      <c r="D131" s="689"/>
      <c r="E131" s="689"/>
      <c r="F131" s="689"/>
      <c r="G131" s="689"/>
      <c r="H131" s="689"/>
      <c r="I131" s="689"/>
      <c r="J131" s="689"/>
      <c r="K131" s="689"/>
      <c r="L131" s="689"/>
      <c r="M131" s="689"/>
      <c r="N131" s="689"/>
      <c r="O131" s="689"/>
      <c r="P131" s="689"/>
      <c r="Q131" s="689"/>
      <c r="R131" s="689"/>
      <c r="S131" s="689"/>
      <c r="T131" s="689"/>
      <c r="U131" s="689"/>
      <c r="V131" s="689"/>
      <c r="W131" s="689"/>
      <c r="X131" s="689"/>
      <c r="Y131" s="689"/>
      <c r="Z131" s="689"/>
      <c r="AA131" s="689"/>
      <c r="AB131" s="689"/>
      <c r="AD131" s="624" t="s">
        <v>64</v>
      </c>
      <c r="AE131" s="624"/>
      <c r="AF131" s="624"/>
      <c r="AG131" s="624"/>
      <c r="AH131" s="624"/>
      <c r="AI131" s="624"/>
      <c r="AJ131" s="624"/>
      <c r="AK131" s="624"/>
      <c r="AL131" s="624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63"/>
      <c r="BC131" s="401"/>
      <c r="BD131" s="398"/>
      <c r="BE131" s="391"/>
      <c r="BF131" s="243"/>
      <c r="BG131" s="243"/>
      <c r="BH131" s="243"/>
      <c r="BI131" s="243"/>
      <c r="BJ131" s="243"/>
      <c r="BK131" s="243"/>
      <c r="BL131" s="243"/>
      <c r="BM131" s="243"/>
      <c r="BN131" s="278"/>
      <c r="BO131" s="392"/>
      <c r="BP131" s="392"/>
      <c r="BQ131" s="392"/>
      <c r="BR131" s="392"/>
      <c r="BS131" s="392"/>
      <c r="BT131" s="392"/>
      <c r="BU131" s="392"/>
      <c r="BV131" s="392"/>
      <c r="BW131" s="392"/>
      <c r="BX131" s="392"/>
      <c r="BY131" s="392"/>
      <c r="BZ131" s="392"/>
      <c r="CA131" s="392"/>
      <c r="CB131" s="392"/>
      <c r="CC131" s="392"/>
      <c r="CD131" s="392"/>
      <c r="CE131" s="392"/>
      <c r="CF131" s="392"/>
      <c r="CG131" s="392"/>
      <c r="CH131" s="392"/>
      <c r="CI131" s="392"/>
      <c r="CJ131" s="392"/>
      <c r="CK131" s="392"/>
      <c r="CL131" s="392"/>
      <c r="CM131" s="472"/>
      <c r="CN131" s="263"/>
      <c r="CO131" s="263"/>
      <c r="CP131" s="263"/>
      <c r="CQ131" s="263"/>
      <c r="CR131" s="263"/>
      <c r="CS131" s="263"/>
      <c r="CT131" s="263"/>
      <c r="CU131" s="263"/>
      <c r="CV131" s="263"/>
      <c r="CW131" s="263"/>
      <c r="CX131" s="263"/>
      <c r="CY131" s="263"/>
      <c r="CZ131" s="263"/>
      <c r="DA131" s="263"/>
      <c r="DB131" s="263"/>
      <c r="DC131" s="263"/>
      <c r="DD131" s="263"/>
      <c r="DE131" s="263"/>
      <c r="DF131" s="263"/>
    </row>
    <row r="132" spans="1:110" s="242" customFormat="1" ht="21.75" customHeight="1" thickBot="1">
      <c r="A132" s="360"/>
      <c r="B132" s="682" t="str">
        <f>IF($E130="","",$E130)</f>
        <v/>
      </c>
      <c r="C132" s="682"/>
      <c r="D132" s="682"/>
      <c r="E132" s="682" t="str">
        <f>IF($F130="","",$F130)</f>
        <v/>
      </c>
      <c r="F132" s="682"/>
      <c r="G132" s="682"/>
      <c r="H132" s="682" t="str">
        <f>IF($G130="","",$G130)</f>
        <v/>
      </c>
      <c r="I132" s="682"/>
      <c r="J132" s="682"/>
      <c r="K132" s="682" t="str">
        <f>IF($H130="","",$H130)</f>
        <v/>
      </c>
      <c r="L132" s="682"/>
      <c r="M132" s="682"/>
      <c r="N132" s="682" t="str">
        <f>IF($I130="","",$I130)</f>
        <v/>
      </c>
      <c r="O132" s="682"/>
      <c r="P132" s="682"/>
      <c r="Q132" s="682" t="str">
        <f>IF($J130="","",$J130)</f>
        <v/>
      </c>
      <c r="R132" s="682"/>
      <c r="S132" s="682"/>
      <c r="T132" s="682" t="str">
        <f>IF($K130="","",$K130)</f>
        <v/>
      </c>
      <c r="U132" s="682"/>
      <c r="V132" s="682"/>
      <c r="W132" s="682" t="str">
        <f>IF($L130="","",$L130)</f>
        <v/>
      </c>
      <c r="X132" s="682"/>
      <c r="Y132" s="682"/>
      <c r="Z132" s="682" t="str">
        <f>IF($M130="","",$M130)</f>
        <v/>
      </c>
      <c r="AA132" s="682"/>
      <c r="AB132" s="682"/>
      <c r="AC132" s="420"/>
      <c r="AD132" s="287" t="str">
        <f>+A107</f>
        <v>M+ =</v>
      </c>
      <c r="AE132" s="325" t="str">
        <f>+IF(B107="","",B107)</f>
        <v/>
      </c>
      <c r="AF132" s="325" t="str">
        <f>+IF(C107="","",C107)</f>
        <v/>
      </c>
      <c r="AG132" s="325" t="str">
        <f t="shared" ref="AG132" si="192">+IF(D107="","",D107)</f>
        <v/>
      </c>
      <c r="AH132" s="325" t="str">
        <f t="shared" ref="AH132" si="193">+IF(E107="","",E107)</f>
        <v/>
      </c>
      <c r="AI132" s="325" t="str">
        <f t="shared" ref="AI132" si="194">+IF(F107="","",F107)</f>
        <v/>
      </c>
      <c r="AJ132" s="325" t="str">
        <f t="shared" ref="AJ132" si="195">+IF(G107="","",G107)</f>
        <v/>
      </c>
      <c r="AK132" s="325" t="str">
        <f t="shared" ref="AK132" si="196">+IF(H107="","",H107)</f>
        <v/>
      </c>
      <c r="AL132" s="325" t="str">
        <f t="shared" ref="AL132" si="197">+IF(I107="","",I107)</f>
        <v/>
      </c>
      <c r="AM132" s="325" t="str">
        <f t="shared" ref="AM132" si="198">+IF(J107="","",J107)</f>
        <v/>
      </c>
      <c r="BB132" s="291"/>
      <c r="BC132" s="401"/>
      <c r="BD132" s="398"/>
      <c r="BE132" s="428">
        <f>BE$27</f>
        <v>1</v>
      </c>
      <c r="BF132" s="428">
        <f t="shared" ref="BF132:CL132" si="199">BF$27</f>
        <v>2</v>
      </c>
      <c r="BG132" s="428">
        <f t="shared" si="199"/>
        <v>3</v>
      </c>
      <c r="BH132" s="428">
        <f t="shared" si="199"/>
        <v>4</v>
      </c>
      <c r="BI132" s="428">
        <f t="shared" si="199"/>
        <v>5</v>
      </c>
      <c r="BJ132" s="428">
        <f t="shared" si="199"/>
        <v>6</v>
      </c>
      <c r="BK132" s="428">
        <f t="shared" si="199"/>
        <v>7</v>
      </c>
      <c r="BL132" s="428">
        <f t="shared" si="199"/>
        <v>8</v>
      </c>
      <c r="BM132" s="428">
        <f t="shared" si="199"/>
        <v>9</v>
      </c>
      <c r="BN132" s="428">
        <f t="shared" si="199"/>
        <v>10</v>
      </c>
      <c r="BO132" s="428">
        <f t="shared" si="199"/>
        <v>11</v>
      </c>
      <c r="BP132" s="428">
        <f t="shared" si="199"/>
        <v>12</v>
      </c>
      <c r="BQ132" s="428">
        <f t="shared" si="199"/>
        <v>13</v>
      </c>
      <c r="BR132" s="428">
        <f t="shared" si="199"/>
        <v>14</v>
      </c>
      <c r="BS132" s="428">
        <f t="shared" si="199"/>
        <v>15</v>
      </c>
      <c r="BT132" s="428">
        <f t="shared" si="199"/>
        <v>16</v>
      </c>
      <c r="BU132" s="428">
        <f t="shared" si="199"/>
        <v>17</v>
      </c>
      <c r="BV132" s="428">
        <f t="shared" si="199"/>
        <v>18</v>
      </c>
      <c r="BW132" s="428">
        <f t="shared" si="199"/>
        <v>19</v>
      </c>
      <c r="BX132" s="428">
        <f t="shared" si="199"/>
        <v>20</v>
      </c>
      <c r="BY132" s="428">
        <f t="shared" si="199"/>
        <v>21</v>
      </c>
      <c r="BZ132" s="428">
        <f t="shared" si="199"/>
        <v>22</v>
      </c>
      <c r="CA132" s="428">
        <f t="shared" si="199"/>
        <v>23</v>
      </c>
      <c r="CB132" s="428">
        <f t="shared" si="199"/>
        <v>24</v>
      </c>
      <c r="CC132" s="428">
        <f t="shared" si="199"/>
        <v>25</v>
      </c>
      <c r="CD132" s="428">
        <f t="shared" si="199"/>
        <v>26</v>
      </c>
      <c r="CE132" s="428">
        <f t="shared" si="199"/>
        <v>27</v>
      </c>
      <c r="CF132" s="428">
        <f t="shared" si="199"/>
        <v>28</v>
      </c>
      <c r="CG132" s="428">
        <f t="shared" si="199"/>
        <v>29</v>
      </c>
      <c r="CH132" s="428">
        <f t="shared" si="199"/>
        <v>30</v>
      </c>
      <c r="CI132" s="428">
        <f t="shared" si="199"/>
        <v>31</v>
      </c>
      <c r="CJ132" s="428">
        <f t="shared" si="199"/>
        <v>32</v>
      </c>
      <c r="CK132" s="428">
        <f t="shared" si="199"/>
        <v>33</v>
      </c>
      <c r="CL132" s="428">
        <f t="shared" si="199"/>
        <v>34</v>
      </c>
      <c r="CM132" s="431"/>
      <c r="CN132" s="263"/>
      <c r="CO132" s="291"/>
      <c r="CP132" s="291"/>
      <c r="CQ132" s="291"/>
      <c r="CR132" s="291"/>
      <c r="CS132" s="291"/>
      <c r="CT132" s="291"/>
      <c r="CU132" s="291"/>
      <c r="CV132" s="291"/>
      <c r="CW132" s="291"/>
      <c r="CX132" s="291"/>
      <c r="CY132" s="291"/>
      <c r="CZ132" s="291"/>
      <c r="DA132" s="291"/>
      <c r="DB132" s="291"/>
      <c r="DC132" s="291"/>
      <c r="DD132" s="291"/>
      <c r="DE132" s="291"/>
      <c r="DF132" s="291"/>
    </row>
    <row r="133" spans="1:110" s="245" customFormat="1" ht="21.75" customHeight="1" thickBot="1">
      <c r="A133" s="413" t="s">
        <v>3</v>
      </c>
      <c r="B133" s="683" t="str">
        <f>IF(B132="","",IF(K8="X - X",VLOOKUP(B132,Espesor!$C$8:$E$41,2,0),VLOOKUP(B132,Espesor!$C$8:$E$41,3,0)))</f>
        <v/>
      </c>
      <c r="C133" s="684"/>
      <c r="D133" s="685"/>
      <c r="E133" s="683" t="str">
        <f>IF(E132="","",IF(K8="X - X",VLOOKUP(E132,Espesor!$C$8:$E$41,2,0),VLOOKUP(E132,Espesor!$C$8:$E$41,3,0)))</f>
        <v/>
      </c>
      <c r="F133" s="684"/>
      <c r="G133" s="685"/>
      <c r="H133" s="683" t="str">
        <f>IF(H132="","",IF(K8="X - X",VLOOKUP(H132,Espesor!$C$8:$E$41,2,0),VLOOKUP(H132,Espesor!$C$8:$E$41,3,0)))</f>
        <v/>
      </c>
      <c r="I133" s="684"/>
      <c r="J133" s="685"/>
      <c r="K133" s="683" t="str">
        <f>IF(K132="","",IF(K8="X - X",VLOOKUP(K132,Espesor!$C$8:$E$41,2,0),VLOOKUP(K132,Espesor!$C$8:$E$41,3,0)))</f>
        <v/>
      </c>
      <c r="L133" s="684"/>
      <c r="M133" s="685"/>
      <c r="N133" s="683" t="str">
        <f>IF(N132="","",IF(K8="X - X",VLOOKUP(N132,Espesor!$C$8:$E$41,2,0),VLOOKUP(N132,Espesor!$C$8:$E$41,3,0)))</f>
        <v/>
      </c>
      <c r="O133" s="684"/>
      <c r="P133" s="685"/>
      <c r="Q133" s="683" t="str">
        <f>IF(Q132="","",IF(K8="X - X",VLOOKUP(Q132,Espesor!$C$8:$E$41,2,0),VLOOKUP(Q132,Espesor!$C$8:$E$41,3,0)))</f>
        <v/>
      </c>
      <c r="R133" s="684"/>
      <c r="S133" s="685"/>
      <c r="T133" s="683" t="str">
        <f>IF(T132="","",IF(K8="X - X",VLOOKUP(T132,Espesor!$C$8:$E$41,2,0),VLOOKUP(T132,Espesor!$C$8:$E$41,3,0)))</f>
        <v/>
      </c>
      <c r="U133" s="684"/>
      <c r="V133" s="685"/>
      <c r="W133" s="683" t="str">
        <f>IF(W132="","",IF(K8="X - X",VLOOKUP(W132,Espesor!$C$8:$E$41,2,0),VLOOKUP(W132,Espesor!$C$8:$E$41,3,0)))</f>
        <v/>
      </c>
      <c r="X133" s="684"/>
      <c r="Y133" s="685"/>
      <c r="Z133" s="683" t="str">
        <f>IF(Z132="","",IF(K8="X - X",VLOOKUP(Z132,Espesor!$C$8:$E$41,2,0),VLOOKUP(Z132,Espesor!$C$8:$E$41,3,0)))</f>
        <v/>
      </c>
      <c r="AA133" s="684"/>
      <c r="AB133" s="685"/>
      <c r="AC133" s="380"/>
      <c r="AD133" s="338" t="s">
        <v>4</v>
      </c>
      <c r="AE133" s="322" t="s">
        <v>3</v>
      </c>
      <c r="AF133" s="339" t="s">
        <v>138</v>
      </c>
      <c r="AG133" s="637" t="s">
        <v>139</v>
      </c>
      <c r="AH133" s="638"/>
      <c r="AI133" s="638"/>
      <c r="AJ133" s="639"/>
      <c r="AK133" s="640" t="s">
        <v>142</v>
      </c>
      <c r="AL133" s="641"/>
      <c r="AM133" s="637" t="s">
        <v>143</v>
      </c>
      <c r="AN133" s="639"/>
      <c r="AO133" s="642" t="s">
        <v>144</v>
      </c>
      <c r="AP133" s="643"/>
      <c r="AQ133" s="643"/>
      <c r="AR133" s="644"/>
      <c r="AS133" s="642" t="s">
        <v>145</v>
      </c>
      <c r="AT133" s="643"/>
      <c r="AU133" s="644"/>
      <c r="AV133" s="645" t="s">
        <v>157</v>
      </c>
      <c r="AW133" s="646"/>
      <c r="AX133" s="646"/>
      <c r="AY133" s="646"/>
      <c r="AZ133" s="646"/>
      <c r="BA133" s="647"/>
      <c r="BB133" s="242"/>
      <c r="BC133" s="422">
        <f>+A129</f>
        <v>7</v>
      </c>
      <c r="BD133" s="398" t="s">
        <v>153</v>
      </c>
      <c r="BE133" s="429">
        <f>IF(BE132=$B$132,$B$144,IF(BE132=$E$132,$E$144,IF(BE132=$H$132,$H$144,IF(BE132=$K$132,$K$144,IF(BE132=$N$132,$N$144,IF(BE132=$Q$132,$Q$144,IF(BE132=$T$132,$T$144,IF(BE132=$W$132,$W$144,IF(BE132=$Z$132,$Z$144,0)))))))))</f>
        <v>0</v>
      </c>
      <c r="BF133" s="429">
        <f t="shared" ref="BF133:CL133" si="200">IF(BF132=$B$132,$B$144,IF(BF132=$E$132,$E$144,IF(BF132=$H$132,$H$144,IF(BF132=$K$132,$K$144,IF(BF132=$N$132,$N$144,IF(BF132=$Q$132,$Q$144,IF(BF132=$T$132,$T$144,IF(BF132=$W$132,$W$144,IF(BF132=$Z$132,$Z$144,0)))))))))</f>
        <v>0</v>
      </c>
      <c r="BG133" s="429">
        <f t="shared" si="200"/>
        <v>0</v>
      </c>
      <c r="BH133" s="429">
        <f t="shared" si="200"/>
        <v>0</v>
      </c>
      <c r="BI133" s="429">
        <f t="shared" si="200"/>
        <v>0</v>
      </c>
      <c r="BJ133" s="429">
        <f t="shared" si="200"/>
        <v>0</v>
      </c>
      <c r="BK133" s="429">
        <f t="shared" si="200"/>
        <v>0</v>
      </c>
      <c r="BL133" s="429">
        <f t="shared" si="200"/>
        <v>0</v>
      </c>
      <c r="BM133" s="429">
        <f t="shared" si="200"/>
        <v>0</v>
      </c>
      <c r="BN133" s="429">
        <f t="shared" si="200"/>
        <v>0</v>
      </c>
      <c r="BO133" s="429">
        <f t="shared" si="200"/>
        <v>0</v>
      </c>
      <c r="BP133" s="429">
        <f t="shared" si="200"/>
        <v>0</v>
      </c>
      <c r="BQ133" s="429">
        <f t="shared" si="200"/>
        <v>0</v>
      </c>
      <c r="BR133" s="429">
        <f t="shared" si="200"/>
        <v>0</v>
      </c>
      <c r="BS133" s="429">
        <f t="shared" si="200"/>
        <v>0</v>
      </c>
      <c r="BT133" s="429">
        <f t="shared" si="200"/>
        <v>0</v>
      </c>
      <c r="BU133" s="429">
        <f t="shared" si="200"/>
        <v>0</v>
      </c>
      <c r="BV133" s="429">
        <f t="shared" si="200"/>
        <v>0</v>
      </c>
      <c r="BW133" s="429">
        <f t="shared" si="200"/>
        <v>0</v>
      </c>
      <c r="BX133" s="429">
        <f t="shared" si="200"/>
        <v>0</v>
      </c>
      <c r="BY133" s="429">
        <f t="shared" si="200"/>
        <v>0</v>
      </c>
      <c r="BZ133" s="429">
        <f t="shared" si="200"/>
        <v>0</v>
      </c>
      <c r="CA133" s="429">
        <f t="shared" si="200"/>
        <v>0</v>
      </c>
      <c r="CB133" s="429">
        <f t="shared" si="200"/>
        <v>0</v>
      </c>
      <c r="CC133" s="429">
        <f t="shared" si="200"/>
        <v>0</v>
      </c>
      <c r="CD133" s="429">
        <f t="shared" si="200"/>
        <v>0</v>
      </c>
      <c r="CE133" s="429">
        <f t="shared" si="200"/>
        <v>0</v>
      </c>
      <c r="CF133" s="429">
        <f t="shared" si="200"/>
        <v>0</v>
      </c>
      <c r="CG133" s="429">
        <f t="shared" si="200"/>
        <v>0</v>
      </c>
      <c r="CH133" s="429">
        <f t="shared" si="200"/>
        <v>0</v>
      </c>
      <c r="CI133" s="429">
        <f t="shared" si="200"/>
        <v>0</v>
      </c>
      <c r="CJ133" s="429">
        <f t="shared" si="200"/>
        <v>0</v>
      </c>
      <c r="CK133" s="429">
        <f t="shared" si="200"/>
        <v>0</v>
      </c>
      <c r="CL133" s="429">
        <f t="shared" si="200"/>
        <v>0</v>
      </c>
      <c r="CM133" s="473"/>
      <c r="CN133" s="291"/>
      <c r="CO133" s="242"/>
      <c r="CP133" s="242"/>
      <c r="CQ133" s="242"/>
      <c r="CR133" s="242"/>
      <c r="CS133" s="242"/>
      <c r="CT133" s="242"/>
      <c r="CU133" s="242"/>
      <c r="CV133" s="242"/>
      <c r="CW133" s="242"/>
      <c r="CX133" s="242"/>
      <c r="CY133" s="242"/>
      <c r="CZ133" s="242"/>
      <c r="DA133" s="242"/>
      <c r="DB133" s="242"/>
      <c r="DC133" s="242"/>
      <c r="DD133" s="242"/>
      <c r="DE133" s="242"/>
      <c r="DF133" s="242"/>
    </row>
    <row r="134" spans="1:110" s="246" customFormat="1" ht="23.25" customHeight="1">
      <c r="A134" s="257" t="s">
        <v>65</v>
      </c>
      <c r="B134" s="679" t="str">
        <f>+IF(B132="","",IF(LOOKUP(B132,Espesor!$C$8:$C$41,Espesor!$K$8:$K$41)="en voladizo","",0.75/B133))</f>
        <v/>
      </c>
      <c r="C134" s="680"/>
      <c r="D134" s="681"/>
      <c r="E134" s="679" t="str">
        <f>IF(E132="","",IF(LOOKUP(E132,Espesor!$C$8:$C$41,Espesor!$K$8:$K$41)="en voladizo","",IF(H132="",0.75/E133,1/E133)))</f>
        <v/>
      </c>
      <c r="F134" s="680"/>
      <c r="G134" s="681"/>
      <c r="H134" s="679" t="str">
        <f>IF(H132="","",IF(LOOKUP(H132,Espesor!$C$8:$C$41,Espesor!$K$8:$K$41)="en voladizo","",IF(K132="",0.75/H133,1/H133)))</f>
        <v/>
      </c>
      <c r="I134" s="680"/>
      <c r="J134" s="681"/>
      <c r="K134" s="679" t="str">
        <f>IF(K132="","",IF(LOOKUP(K132,Espesor!$C$8:$C$41,Espesor!$K$8:$K$41)="en voladizo","",IF(N132="",0.75/K133,1/K133)))</f>
        <v/>
      </c>
      <c r="L134" s="680"/>
      <c r="M134" s="681"/>
      <c r="N134" s="679" t="str">
        <f>IF(N132="","",IF(LOOKUP(N132,Espesor!$C$8:$C$41,Espesor!$K$8:$K$41)="en voladizo","",IF(Q132="",0.75/N133,1/N133)))</f>
        <v/>
      </c>
      <c r="O134" s="680"/>
      <c r="P134" s="681"/>
      <c r="Q134" s="679" t="str">
        <f>IF(Q132="","",IF(LOOKUP(Q132,Espesor!$C$8:$C$41,Espesor!$K$8:$K$41)="en voladizo","",IF(T132="",0.75/Q133,1/Q133)))</f>
        <v/>
      </c>
      <c r="R134" s="680"/>
      <c r="S134" s="681"/>
      <c r="T134" s="679" t="str">
        <f>IF(T132="","",IF(LOOKUP(T132,Espesor!$C$8:$C$41,Espesor!$K$8:$K$41)="en voladizo","",IF(W132="",0.75/T133,1/T133)))</f>
        <v/>
      </c>
      <c r="U134" s="680"/>
      <c r="V134" s="681"/>
      <c r="W134" s="679" t="str">
        <f>IF(W132="","",IF(LOOKUP(W132,Espesor!$C$8:$C$41,Espesor!$K$8:$K$41)="en voladizo","",IF(Z132="",0.75/W133,1/W133)))</f>
        <v/>
      </c>
      <c r="X134" s="680"/>
      <c r="Y134" s="681"/>
      <c r="Z134" s="679" t="str">
        <f>IF(Z132="","",IF(LOOKUP(Z132,Espesor!$C$8:$C$41,Espesor!$K$8:$K$41)="en voladizo","",IF(AC132="",0.75/Z133,1/Z133)))</f>
        <v/>
      </c>
      <c r="AA134" s="680"/>
      <c r="AB134" s="681"/>
      <c r="AC134" s="210"/>
      <c r="AD134" s="320" t="str">
        <f>+IF(AE132="","",AE132)</f>
        <v/>
      </c>
      <c r="AE134" s="323" t="str">
        <f>IF(B108="","",IF($K$2="X - X",VLOOKUP(B108,Espesor!$C$8:$E$41,2,0),VLOOKUP(B108,Espesor!$C$8:$E$41,3,0)))</f>
        <v/>
      </c>
      <c r="AF134" s="318" t="str">
        <f>+IF(AD134="","",IF(LOOKUP(AD134,Espesor!$C$8:$C$41,Espesor!$K$8:$K$41)="en voladizo","",0.75/AE134))</f>
        <v/>
      </c>
      <c r="AG134" s="648" t="str">
        <f>IF(AF134="","",IF(AF135="","",ROUND(AF134/(AF134+AF135),3)))</f>
        <v/>
      </c>
      <c r="AH134" s="343"/>
      <c r="AI134" s="648" t="str">
        <f>IF(AF135="","",IF(AF134="","",ROUND(AF135/(AF135+AF134),3)))</f>
        <v/>
      </c>
      <c r="AJ134" s="343"/>
      <c r="AK134" s="342">
        <v>0</v>
      </c>
      <c r="AL134" s="316" t="e">
        <f>-IF(B107="","",IF($K$2="X - X",VLOOKUP(B107,'Moms de Empt'!$P$3:$T$36,3,0),VLOOKUP(B107,'Moms de Empt'!$P$3:$T$36,5,0)))</f>
        <v>#VALUE!</v>
      </c>
      <c r="AM134" s="649">
        <f>IF(AD135="",0,IF(LOOKUP(AD135,Espesor!$C$8:$C$41,Espesor!$K$8:$K$41)="en voladizo",MAX(ABS(AL134),ABS(AK135)),-(AK135+AL134)))</f>
        <v>0</v>
      </c>
      <c r="AN134" s="345"/>
      <c r="AO134" s="650" t="str">
        <f>IF(AG134="","",AM134*AG134)</f>
        <v/>
      </c>
      <c r="AP134" s="342"/>
      <c r="AQ134" s="650" t="str">
        <f>IF(AI134="","",AM134*AI134)</f>
        <v/>
      </c>
      <c r="AR134" s="342"/>
      <c r="AS134" s="651" t="e">
        <f>-IF(AM134="","",IF(AL134="",IF(AO134="",0,AO134),IF(AO134="",AL134,AL134+AO134)))</f>
        <v>#VALUE!</v>
      </c>
      <c r="AT134" s="341"/>
      <c r="AU134" s="341" t="e">
        <f>+AS134</f>
        <v>#VALUE!</v>
      </c>
      <c r="AV134" s="329" t="str">
        <f>IF(B107="","",IF(L107="X - X",VLOOKUP(B132,'Moms de Empt'!$P$3:$T$36,2,0),VLOOKUP(B132,'Moms de Empt'!$P$3:$T$36,4,0)))</f>
        <v/>
      </c>
      <c r="AW134" s="653" t="str">
        <f>IF(B134="","",IF(D136="","",IF(ABS(D140)&gt;ABS(D136),-0.5*ABS(D138),0.5*ABS(D138))))</f>
        <v/>
      </c>
      <c r="AX134" s="330"/>
      <c r="AY134" s="653" t="str">
        <f>IF(AV135="","",IF(AV134="","",ROUND(AV135/(AV135+AV134),3)))</f>
        <v/>
      </c>
      <c r="AZ134" s="330"/>
      <c r="BA134" s="331" t="str">
        <f t="shared" ref="BA134:BA141" si="201">+AV134</f>
        <v/>
      </c>
      <c r="BB134" s="245"/>
      <c r="BC134" s="422"/>
      <c r="BD134" s="398"/>
      <c r="BE134" s="429"/>
      <c r="BF134" s="30"/>
      <c r="BG134" s="30"/>
      <c r="BH134" s="30"/>
      <c r="BI134" s="30"/>
      <c r="BJ134" s="30"/>
      <c r="BK134" s="30"/>
      <c r="BL134" s="30"/>
      <c r="BM134" s="30"/>
      <c r="BN134" s="396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432"/>
      <c r="CN134" s="242"/>
      <c r="CO134" s="245"/>
      <c r="CP134" s="245"/>
      <c r="CQ134" s="245"/>
      <c r="CR134" s="245"/>
      <c r="CS134" s="245"/>
      <c r="CT134" s="245"/>
      <c r="CU134" s="245"/>
      <c r="CV134" s="245"/>
      <c r="CW134" s="245"/>
      <c r="CX134" s="245"/>
      <c r="CY134" s="245"/>
      <c r="CZ134" s="245"/>
      <c r="DA134" s="245"/>
      <c r="DB134" s="245"/>
      <c r="DC134" s="245"/>
      <c r="DD134" s="245"/>
      <c r="DE134" s="245"/>
      <c r="DF134" s="245"/>
    </row>
    <row r="135" spans="1:110" s="32" customFormat="1" ht="21.75" customHeight="1">
      <c r="A135" s="247" t="s">
        <v>123</v>
      </c>
      <c r="B135" s="29"/>
      <c r="C135" s="30"/>
      <c r="D135" s="31">
        <f>IF(B134="",0,IF(E134="",0,ROUND(B134/(B134+E134),3)))</f>
        <v>0</v>
      </c>
      <c r="E135" s="29">
        <f>IF(E134="",0,IF(B134="",0,ROUND(E134/(E134+B134),3)))</f>
        <v>0</v>
      </c>
      <c r="F135" s="30"/>
      <c r="G135" s="31">
        <f>IF(E134="",0,IF(H134="",0,ROUND(E134/(E134+H134),3)))</f>
        <v>0</v>
      </c>
      <c r="H135" s="29">
        <f>IF(H134="",0,IF(E134="",0,ROUND(H134/(H134+E134),3)))</f>
        <v>0</v>
      </c>
      <c r="I135" s="30"/>
      <c r="J135" s="31">
        <f>IF(H134="",0,IF(K134="",0,ROUND(H134/(H134+K134),3)))</f>
        <v>0</v>
      </c>
      <c r="K135" s="29">
        <f>IF(K134="",0,IF(H134="",0,ROUND(K134/(K134+H134),3)))</f>
        <v>0</v>
      </c>
      <c r="L135" s="30"/>
      <c r="M135" s="31">
        <f>IF(K134="",0,IF(N134="",0,ROUND(K134/(K134+N134),3)))</f>
        <v>0</v>
      </c>
      <c r="N135" s="29">
        <f>IF(N134="",0,IF(K134="",0,ROUND(N134/(N134+K134),3)))</f>
        <v>0</v>
      </c>
      <c r="O135" s="30"/>
      <c r="P135" s="31">
        <f>IF(N134="",0,IF(Q134="",0,ROUND(N134/(N134+Q134),3)))</f>
        <v>0</v>
      </c>
      <c r="Q135" s="29">
        <f>IF(Q134="",0,IF(N134="",0,ROUND(Q134/(Q134+N134),3)))</f>
        <v>0</v>
      </c>
      <c r="R135" s="30"/>
      <c r="S135" s="31">
        <f>IF(Q134="",0,IF(T134="",0,ROUND(Q134/(Q134+T134),3)))</f>
        <v>0</v>
      </c>
      <c r="T135" s="29">
        <f>IF(T134="",0,IF(Q134="",0,ROUND(T134/(T134+Q134),3)))</f>
        <v>0</v>
      </c>
      <c r="U135" s="30"/>
      <c r="V135" s="31">
        <f>IF(T134="",0,IF(W134="",0,ROUND(T134/(T134+W134),3)))</f>
        <v>0</v>
      </c>
      <c r="W135" s="29">
        <f>IF(W134="",0,IF(T134="",0,ROUND(W134/(W134+T134),3)))</f>
        <v>0</v>
      </c>
      <c r="X135" s="30"/>
      <c r="Y135" s="31">
        <f>IF(W134="",0,IF(Z134="",0,ROUND(W134/(W134+Z134),3)))</f>
        <v>0</v>
      </c>
      <c r="Z135" s="29">
        <f>IF(Z134="",0,IF(W134="",0,ROUND(Z134/(Z134+W134),3)))</f>
        <v>0</v>
      </c>
      <c r="AA135" s="30"/>
      <c r="AB135" s="31">
        <f>IF(Z134="",0,IF(AC134="",0,ROUND(Z134/(Z134+AC134),3)))</f>
        <v>0</v>
      </c>
      <c r="AC135" s="29"/>
      <c r="AD135" s="321" t="str">
        <f>+IF(AF132="","",AF132)</f>
        <v/>
      </c>
      <c r="AE135" s="324" t="str">
        <f>IF(C107="","",IF($K$2="X - X",VLOOKUP(C107,Espesor!$C$8:$E$41,2,0),VLOOKUP(C107,Espesor!$C$8:$E$41,3,0)))</f>
        <v/>
      </c>
      <c r="AF135" s="319" t="str">
        <f>IF(AD135="","",IF(LOOKUP(AD135,Espesor!$C$8:$C$41,Espesor!$K$8:$K$41)="en voladizo","",IF(AD136="",0.75/AE135,1/AE135)))</f>
        <v/>
      </c>
      <c r="AG135" s="634"/>
      <c r="AH135" s="634" t="str">
        <f>IF(AF135="","",IF(AF136="","",ROUND(AF135/(AF135+AF136),3)))</f>
        <v/>
      </c>
      <c r="AI135" s="634"/>
      <c r="AJ135" s="634" t="str">
        <f>IF(AF135="","",IF(AF136="","",ROUND(AF136/(AF135+AF136),3)))</f>
        <v/>
      </c>
      <c r="AK135" s="317">
        <f>IF(C107="",0,IF($K$2="X - X",VLOOKUP(C107,'Moms de Empt'!$P$3:$T$36,3,0),VLOOKUP(C107,'Moms de Empt'!$P$3:$T$36,5,0)))</f>
        <v>0</v>
      </c>
      <c r="AL135" s="317">
        <f>+IF(AD136="",0,-AK135)</f>
        <v>0</v>
      </c>
      <c r="AM135" s="629"/>
      <c r="AN135" s="629">
        <f>IF(AD136="",0,IF(LOOKUP(AD136,Espesor!$C$8:$C$41,Espesor!$K$8:$K$41)="en voladizo",MAX(ABS(AL135),ABS(AK136)),-(AK136+AL135)))</f>
        <v>0</v>
      </c>
      <c r="AO135" s="630"/>
      <c r="AP135" s="630" t="str">
        <f>IF(AH135="","",AN135*AH135)</f>
        <v/>
      </c>
      <c r="AQ135" s="630"/>
      <c r="AR135" s="630" t="str">
        <f>IF(AJ135="","",AN135*AJ135)</f>
        <v/>
      </c>
      <c r="AS135" s="652"/>
      <c r="AT135" s="631">
        <f>-IF(AN135="","",IF(AL135="",IF(AP135="",0,AP135),IF(AP135="",AL135,AL135+AP135)))</f>
        <v>0</v>
      </c>
      <c r="AU135" s="341">
        <f>+AT135</f>
        <v>0</v>
      </c>
      <c r="AV135" s="332" t="str">
        <f>IF(E132="","",IF(L107="X - X",VLOOKUP(E132,'Moms de Empt'!$P$3:$T$36,2,0),VLOOKUP(E132,'Moms de Empt'!$P$3:$T$36,4,0)))</f>
        <v/>
      </c>
      <c r="AW135" s="635"/>
      <c r="AX135" s="633" t="str">
        <f>IF(AV135="","",IF(AV136="","",ROUND(AV135/(AV135+AV136),3)))</f>
        <v/>
      </c>
      <c r="AY135" s="635"/>
      <c r="AZ135" s="633" t="str">
        <f>IF(AV135="","",IF(AV136="","",ROUND(AV136/(AV135+AV136),3)))</f>
        <v/>
      </c>
      <c r="BA135" s="331" t="str">
        <f t="shared" si="201"/>
        <v/>
      </c>
      <c r="BB135" s="246"/>
      <c r="BC135" s="422"/>
      <c r="BD135" s="398"/>
      <c r="BE135" s="429"/>
      <c r="BF135" s="392"/>
      <c r="BG135" s="392"/>
      <c r="BH135" s="392"/>
      <c r="BI135" s="392"/>
      <c r="BJ135" s="392"/>
      <c r="BK135" s="397"/>
      <c r="BL135" s="393"/>
      <c r="BM135" s="393"/>
      <c r="BN135" s="393"/>
      <c r="BO135" s="393"/>
      <c r="BP135" s="393"/>
      <c r="BQ135" s="393"/>
      <c r="BR135" s="393"/>
      <c r="BS135" s="393"/>
      <c r="BT135" s="393"/>
      <c r="BU135" s="393"/>
      <c r="BV135" s="393"/>
      <c r="BW135" s="393"/>
      <c r="BX135" s="393"/>
      <c r="BY135" s="393"/>
      <c r="BZ135" s="393"/>
      <c r="CA135" s="393"/>
      <c r="CB135" s="393"/>
      <c r="CC135" s="393"/>
      <c r="CD135" s="393"/>
      <c r="CE135" s="393"/>
      <c r="CF135" s="393"/>
      <c r="CG135" s="393"/>
      <c r="CH135" s="393"/>
      <c r="CI135" s="393"/>
      <c r="CJ135" s="393"/>
      <c r="CK135" s="393"/>
      <c r="CL135" s="393"/>
      <c r="CM135" s="477"/>
      <c r="CN135" s="245"/>
      <c r="CO135" s="246"/>
      <c r="CP135" s="246"/>
      <c r="CQ135" s="246"/>
      <c r="CR135" s="246"/>
      <c r="CS135" s="246"/>
      <c r="CT135" s="246"/>
      <c r="CU135" s="246"/>
      <c r="CV135" s="246"/>
      <c r="CW135" s="246"/>
      <c r="CX135" s="246"/>
      <c r="CY135" s="246"/>
      <c r="CZ135" s="246"/>
      <c r="DA135" s="246"/>
      <c r="DB135" s="246"/>
      <c r="DC135" s="246"/>
      <c r="DD135" s="246"/>
      <c r="DE135" s="246"/>
      <c r="DF135" s="246"/>
    </row>
    <row r="136" spans="1:110" s="35" customFormat="1" ht="21.75" customHeight="1">
      <c r="A136" s="248" t="s">
        <v>124</v>
      </c>
      <c r="B136" s="249"/>
      <c r="C136" s="34"/>
      <c r="D136" s="33" t="str">
        <f>IF(B132="","",-VLOOKUP(B132,'Moms de Empt'!$P$3:$T$36,3,0))</f>
        <v/>
      </c>
      <c r="E136" s="34" t="str">
        <f>IF(E132="","",IF($K$8="X - X",VLOOKUP(E132,'Moms de Empt'!$P$3:$T$36,3,0),VLOOKUP(E132,'Moms de Empt'!$P$3:$T$36,5,0)))</f>
        <v/>
      </c>
      <c r="F136" s="34"/>
      <c r="G136" s="33" t="str">
        <f>+IF(H132="","",-E136)</f>
        <v/>
      </c>
      <c r="H136" s="34" t="str">
        <f>IF(H132="","",IF($K$8="X - X",VLOOKUP(H132,'Moms de Empt'!$P$3:$T$36,3,0),VLOOKUP(H132,'Moms de Empt'!$P$3:$T$36,5,0)))</f>
        <v/>
      </c>
      <c r="I136" s="34"/>
      <c r="J136" s="33" t="str">
        <f>+IF(K132="","",-H136)</f>
        <v/>
      </c>
      <c r="K136" s="34" t="str">
        <f>IF(K132="","",IF($K$8="X - X",VLOOKUP(K132,'Moms de Empt'!$P$3:$T$36,3,0),VLOOKUP(K132,'Moms de Empt'!$P$3:$T$36,5,0)))</f>
        <v/>
      </c>
      <c r="L136" s="34"/>
      <c r="M136" s="33" t="str">
        <f>+IF(N132="","",-K136)</f>
        <v/>
      </c>
      <c r="N136" s="34" t="str">
        <f>IF(N132="","",IF($K$8="X - X",VLOOKUP(N132,'Moms de Empt'!$P$3:$T$36,3,0),VLOOKUP(N132,'Moms de Empt'!$P$3:$T$36,5,0)))</f>
        <v/>
      </c>
      <c r="O136" s="34"/>
      <c r="P136" s="33" t="str">
        <f>+IF(Q132="","",-N136)</f>
        <v/>
      </c>
      <c r="Q136" s="34" t="str">
        <f>IF(Q132="","",IF($K$8="X - X",VLOOKUP(Q132,'Moms de Empt'!$P$3:$T$36,3,0),VLOOKUP(Q132,'Moms de Empt'!$P$3:$T$36,5,0)))</f>
        <v/>
      </c>
      <c r="R136" s="34"/>
      <c r="S136" s="33" t="str">
        <f>+IF(T132="","",-Q136)</f>
        <v/>
      </c>
      <c r="T136" s="34" t="str">
        <f>IF(T132="","",IF($K$8="X - X",VLOOKUP(T132,'Moms de Empt'!$P$3:$T$36,3,0),VLOOKUP(T132,'Moms de Empt'!$P$3:$T$36,5,0)))</f>
        <v/>
      </c>
      <c r="U136" s="34"/>
      <c r="V136" s="33" t="str">
        <f>+IF(W132="","",-T136)</f>
        <v/>
      </c>
      <c r="W136" s="34" t="str">
        <f>IF(W132="","",IF($K$8="X - X",VLOOKUP(W132,'Moms de Empt'!$P$3:$T$36,3,0),VLOOKUP(W132,'Moms de Empt'!$P$3:$T$36,5,0)))</f>
        <v/>
      </c>
      <c r="X136" s="34"/>
      <c r="Y136" s="33" t="str">
        <f>+IF(Z132="","",-W136)</f>
        <v/>
      </c>
      <c r="Z136" s="34" t="str">
        <f>IF(Z132="","",IF($K$8="X - X",VLOOKUP(Z132,'Moms de Empt'!$P$3:$T$36,3,0),VLOOKUP(Z132,'Moms de Empt'!$P$3:$T$36,5,0)))</f>
        <v/>
      </c>
      <c r="AA136" s="34"/>
      <c r="AB136" s="33"/>
      <c r="AD136" s="321" t="str">
        <f>+IF(AG132="","",AG132)</f>
        <v/>
      </c>
      <c r="AE136" s="324" t="str">
        <f>IF(C108="","",IF($K$2="X - X",VLOOKUP(C108,Espesor!$C$8:$E$41,2,0),VLOOKUP(C108,Espesor!$C$8:$E$41,3,0)))</f>
        <v/>
      </c>
      <c r="AF136" s="319" t="str">
        <f>IF(AD136="","",IF(LOOKUP(AD136,Espesor!$C$8:$C$41,Espesor!$K$8:$K$41)="en voladizo","",IF(AD137="",0.75/AE136,1/AE136)))</f>
        <v/>
      </c>
      <c r="AG136" s="634" t="str">
        <f>IF(AF136="","",IF(AF137="","",ROUND(AF136/(AF136+AF137),3)))</f>
        <v/>
      </c>
      <c r="AH136" s="634"/>
      <c r="AI136" s="634" t="str">
        <f>IF(AF137="","",IF(AF136="","",ROUND(AF137/(AF137+AF136),3)))</f>
        <v/>
      </c>
      <c r="AJ136" s="634"/>
      <c r="AK136" s="317">
        <f>IF(D107="",0,IF($K$2="X - X",VLOOKUP(D107,'Moms de Empt'!$P$3:$T$36,3,0),VLOOKUP(D107,'Moms de Empt'!$P$3:$T$36,5,0)))</f>
        <v>0</v>
      </c>
      <c r="AL136" s="317">
        <f>+IF(AD137="",0,-AK136)</f>
        <v>0</v>
      </c>
      <c r="AM136" s="629">
        <f>IF(AD137="",0,IF(LOOKUP(AD137,Espesor!$C$8:$C$41,Espesor!$K$8:$K$41)="en voladizo",MAX(ABS(AL136),ABS(AK137)),-(AK137+AL136)))</f>
        <v>0</v>
      </c>
      <c r="AN136" s="629"/>
      <c r="AO136" s="630" t="str">
        <f>IF(AG136="","",AM136*AG136)</f>
        <v/>
      </c>
      <c r="AP136" s="630"/>
      <c r="AQ136" s="630" t="str">
        <f>IF(AI136="","",AM136*AI136)</f>
        <v/>
      </c>
      <c r="AR136" s="630"/>
      <c r="AS136" s="631">
        <f>-IF(AM136="","",IF(AL136="",IF(AO136="",0,AO136),IF(AO136="",AL136,AL136+AO136)))</f>
        <v>0</v>
      </c>
      <c r="AT136" s="632"/>
      <c r="AU136" s="341">
        <f>+AS136</f>
        <v>0</v>
      </c>
      <c r="AV136" s="332" t="str">
        <f>IF(H132="","",IF(L107="X - X",VLOOKUP(H132,'Moms de Empt'!$P$3:$T$36,2,0),VLOOKUP(H132,'Moms de Empt'!$P$3:$T$36,4,0)))</f>
        <v/>
      </c>
      <c r="AW136" s="635" t="str">
        <f>IF(AV136="","",IF(AV137="","",ROUND(AV136/(AV136+AV137),3)))</f>
        <v/>
      </c>
      <c r="AX136" s="633"/>
      <c r="AY136" s="635" t="str">
        <f>IF(AV137="","",IF(AV136="","",ROUND(AV137/(AV137+AV136),3)))</f>
        <v/>
      </c>
      <c r="AZ136" s="633"/>
      <c r="BA136" s="331" t="str">
        <f t="shared" si="201"/>
        <v/>
      </c>
      <c r="BB136" s="32"/>
      <c r="BC136" s="422"/>
      <c r="BD136" s="398"/>
      <c r="BE136" s="429"/>
      <c r="BF136" s="406"/>
      <c r="BG136" s="406"/>
      <c r="BH136" s="406"/>
      <c r="BI136" s="406"/>
      <c r="BJ136" s="406"/>
      <c r="BK136" s="397"/>
      <c r="BL136" s="393"/>
      <c r="BM136" s="393"/>
      <c r="BN136" s="393"/>
      <c r="BO136" s="393"/>
      <c r="BP136" s="393"/>
      <c r="BQ136" s="393"/>
      <c r="BR136" s="393"/>
      <c r="BS136" s="393"/>
      <c r="BT136" s="393"/>
      <c r="BU136" s="393"/>
      <c r="BV136" s="393"/>
      <c r="BW136" s="393"/>
      <c r="BX136" s="393"/>
      <c r="BY136" s="393"/>
      <c r="BZ136" s="393"/>
      <c r="CA136" s="393"/>
      <c r="CB136" s="393"/>
      <c r="CC136" s="393"/>
      <c r="CD136" s="393"/>
      <c r="CE136" s="393"/>
      <c r="CF136" s="393"/>
      <c r="CG136" s="393"/>
      <c r="CH136" s="393"/>
      <c r="CI136" s="393"/>
      <c r="CJ136" s="393"/>
      <c r="CK136" s="393"/>
      <c r="CL136" s="393"/>
      <c r="CM136" s="474"/>
      <c r="CN136" s="246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</row>
    <row r="137" spans="1:110" s="279" customFormat="1" ht="21.75" customHeight="1">
      <c r="A137" s="250" t="s">
        <v>125</v>
      </c>
      <c r="B137" s="272"/>
      <c r="C137" s="406"/>
      <c r="D137" s="678">
        <f>+IF(E132="",0,IF(LOOKUP(E132,Espesor!$C$8:$C$41,Espesor!$K$8:$K$41)="en voladizo",IF(LOOKUP(B132,Espesor!$C$8:$C$41,Espesor!$K$8:$K$41)="en voladizo","Inestable",MAX(ABS(D136),ABS(E136))),IF(LOOKUP(B132,Espesor!$C$8:$C$41,Espesor!$K$8:$K$41)="en voladizo",MAX(ABS(D136),ABS(E136)),-(E136+D136))))</f>
        <v>0</v>
      </c>
      <c r="E137" s="678"/>
      <c r="F137" s="406"/>
      <c r="G137" s="678">
        <f>+IF(H132="",0,IF(LOOKUP(H132,Espesor!$C$8:$C$41,Espesor!$K$8:$K$41)="en voladizo",IF(LOOKUP(E132,Espesor!$C$8:$C$41,Espesor!$K$8:$K$41)="en voladizo","Inestable",MAX(ABS(G136),ABS(H136))),IF(LOOKUP(E132,Espesor!$C$8:$C$41,Espesor!$K$8:$K$41)="en voladizo",MAX(ABS(G136),ABS(H136)),-(H136+G136))))</f>
        <v>0</v>
      </c>
      <c r="H137" s="678"/>
      <c r="I137" s="406"/>
      <c r="J137" s="678">
        <f>+IF(K132="",0,IF(LOOKUP(K132,Espesor!$C$8:$C$41,Espesor!$K$8:$K$41)="en voladizo",IF(LOOKUP(H132,Espesor!$C$8:$C$41,Espesor!$K$8:$K$41)="en voladizo","Inestable",MAX(ABS(J136),ABS(K136))),IF(LOOKUP(H132,Espesor!$C$8:$C$41,Espesor!$K$8:$K$41)="en voladizo",MAX(ABS(J136),ABS(K136)),-(K136+J136))))</f>
        <v>0</v>
      </c>
      <c r="K137" s="678"/>
      <c r="L137" s="406"/>
      <c r="M137" s="678">
        <f>+IF(N132="",0,IF(LOOKUP(N132,Espesor!$C$8:$C$41,Espesor!$K$8:$K$41)="en voladizo",IF(LOOKUP(K132,Espesor!$C$8:$C$41,Espesor!$K$8:$K$41)="en voladizo","Inestable",MAX(ABS(M136),ABS(N136))),IF(LOOKUP(K132,Espesor!$C$8:$C$41,Espesor!$K$8:$K$41)="en voladizo",MAX(ABS(M136),ABS(N136)),-(N136+M136))))</f>
        <v>0</v>
      </c>
      <c r="N137" s="678"/>
      <c r="O137" s="406"/>
      <c r="P137" s="678">
        <f>+IF(Q132="",0,IF(LOOKUP(Q132,Espesor!$C$8:$C$41,Espesor!$K$8:$K$41)="en voladizo",IF(LOOKUP(N132,Espesor!$C$8:$C$41,Espesor!$K$8:$K$41)="en voladizo","Inestable",MAX(ABS(P136),ABS(Q136))),IF(LOOKUP(N132,Espesor!$C$8:$C$41,Espesor!$K$8:$K$41)="en voladizo",MAX(ABS(P136),ABS(Q136)),-(Q136+P136))))</f>
        <v>0</v>
      </c>
      <c r="Q137" s="678"/>
      <c r="R137" s="406"/>
      <c r="S137" s="678">
        <f>+IF(T132="",0,IF(LOOKUP(T132,Espesor!$C$8:$C$41,Espesor!$K$8:$K$41)="en voladizo",IF(LOOKUP(Q132,Espesor!$C$8:$C$41,Espesor!$K$8:$K$41)="en voladizo","Inestable",MAX(ABS(S136),ABS(T136))),IF(LOOKUP(Q132,Espesor!$C$8:$C$41,Espesor!$K$8:$K$41)="en voladizo",MAX(ABS(S136),ABS(T136)),-(T136+S136))))</f>
        <v>0</v>
      </c>
      <c r="T137" s="678"/>
      <c r="U137" s="406"/>
      <c r="V137" s="678">
        <f>+IF(W132="",0,IF(LOOKUP(W132,Espesor!$C$8:$C$41,Espesor!$K$8:$K$41)="en voladizo",IF(LOOKUP(T132,Espesor!$C$8:$C$41,Espesor!$K$8:$K$41)="en voladizo","Inestable",MAX(ABS(V136),ABS(W136))),IF(LOOKUP(T132,Espesor!$C$8:$C$41,Espesor!$K$8:$K$41)="en voladizo",MAX(ABS(V136),ABS(W136)),-(W136+V136))))</f>
        <v>0</v>
      </c>
      <c r="W137" s="678"/>
      <c r="X137" s="406"/>
      <c r="Y137" s="678">
        <f>+IF(Z132="",0,IF(LOOKUP(Z132,Espesor!$C$8:$C$41,Espesor!$K$8:$K$41)="en voladizo",IF(LOOKUP(W132,Espesor!$C$8:$C$41,Espesor!$K$8:$K$41)="en voladizo","Inestable",MAX(ABS(Y136),ABS(Z136))),IF(LOOKUP(W132,Espesor!$C$8:$C$41,Espesor!$K$8:$K$41)="en voladizo",MAX(ABS(Y136),ABS(Z136)),-(Z136+Y136))))</f>
        <v>0</v>
      </c>
      <c r="Z137" s="678"/>
      <c r="AA137" s="406"/>
      <c r="AB137" s="252"/>
      <c r="AC137" s="292"/>
      <c r="AD137" s="321" t="str">
        <f>+IF(AH132="","",AH132)</f>
        <v/>
      </c>
      <c r="AE137" s="324" t="str">
        <f>IF(K132="","",IF($K$2="X - X",VLOOKUP(K132,Espesor!$C$8:$E$41,2,0),VLOOKUP(K132,Espesor!$C$8:$E$41,3,0)))</f>
        <v/>
      </c>
      <c r="AF137" s="319" t="str">
        <f>IF(AD137="","",IF(LOOKUP(AD137,Espesor!$C$8:$C$41,Espesor!$K$8:$K$41)="en voladizo","",IF(AD138="",0.75/AE137,1/AE137)))</f>
        <v/>
      </c>
      <c r="AG137" s="634"/>
      <c r="AH137" s="634" t="str">
        <f>IF(AF137="","",IF(AF138="","",ROUND(AF137/(AF137+AF138),3)))</f>
        <v/>
      </c>
      <c r="AI137" s="634"/>
      <c r="AJ137" s="634" t="str">
        <f>IF(AF137="","",IF(AF138="","",ROUND(AF138/(AF137+AF138),3)))</f>
        <v/>
      </c>
      <c r="AK137" s="317">
        <f>IF(E107="",0,IF($K$2="X - X",VLOOKUP(E107,'Moms de Empt'!$P$3:$T$36,3,0),VLOOKUP(E107,'Moms de Empt'!$P$3:$T$36,5,0)))</f>
        <v>0</v>
      </c>
      <c r="AL137" s="317">
        <f t="shared" ref="AL137:AL139" si="202">+IF(AD138="",0,-AK137)</f>
        <v>0</v>
      </c>
      <c r="AM137" s="629"/>
      <c r="AN137" s="629">
        <f>IF(AD138="",0,IF(LOOKUP(AD138,Espesor!$C$8:$C$41,Espesor!$K$8:$K$41)="en voladizo",MAX(ABS(AL137),ABS(AK138)),-(AK138+AL137)))</f>
        <v>0</v>
      </c>
      <c r="AO137" s="630"/>
      <c r="AP137" s="630" t="str">
        <f t="shared" ref="AP137" si="203">IF(AH137="","",AN137*AH137)</f>
        <v/>
      </c>
      <c r="AQ137" s="630"/>
      <c r="AR137" s="630" t="str">
        <f t="shared" ref="AR137" si="204">IF(AJ137="","",AN137*AJ137)</f>
        <v/>
      </c>
      <c r="AS137" s="632"/>
      <c r="AT137" s="631">
        <f t="shared" ref="AT137" si="205">-IF(AN137="","",IF(AL137="",IF(AP137="",0,AP137),IF(AP137="",AL137,AL137+AP137)))</f>
        <v>0</v>
      </c>
      <c r="AU137" s="341">
        <f>+AT137</f>
        <v>0</v>
      </c>
      <c r="AV137" s="332" t="str">
        <f>IF(K132="","",IF(L107="X - X",VLOOKUP(K132,'Moms de Empt'!$P$3:$T$36,2,0),VLOOKUP(K132,'Moms de Empt'!$P$3:$T$36,4,0)))</f>
        <v/>
      </c>
      <c r="AW137" s="635"/>
      <c r="AX137" s="633" t="str">
        <f>IF(AV137="","",IF(AV138="","",ROUND(AV137/(AV137+AV138),3)))</f>
        <v/>
      </c>
      <c r="AY137" s="635"/>
      <c r="AZ137" s="633" t="str">
        <f>IF(AV137="","",IF(AV138="","",ROUND(AV138/(AV137+AV138),3)))</f>
        <v/>
      </c>
      <c r="BA137" s="331" t="str">
        <f t="shared" si="201"/>
        <v/>
      </c>
      <c r="BB137" s="35"/>
      <c r="BC137" s="401"/>
      <c r="BD137" s="398"/>
      <c r="BE137" s="391"/>
      <c r="BF137" s="30"/>
      <c r="BG137" s="30"/>
      <c r="BH137" s="30"/>
      <c r="BI137" s="30"/>
      <c r="BJ137" s="30"/>
      <c r="BK137" s="28"/>
      <c r="BL137" s="278"/>
      <c r="BM137" s="278"/>
      <c r="BN137" s="278"/>
      <c r="BO137" s="278"/>
      <c r="BP137" s="278"/>
      <c r="BQ137" s="278"/>
      <c r="BR137" s="278"/>
      <c r="BS137" s="278"/>
      <c r="BT137" s="278"/>
      <c r="BU137" s="278"/>
      <c r="BV137" s="278"/>
      <c r="BW137" s="278"/>
      <c r="BX137" s="278"/>
      <c r="BY137" s="278"/>
      <c r="BZ137" s="278"/>
      <c r="CA137" s="278"/>
      <c r="CB137" s="278"/>
      <c r="CC137" s="278"/>
      <c r="CD137" s="278"/>
      <c r="CE137" s="278"/>
      <c r="CF137" s="278"/>
      <c r="CG137" s="278"/>
      <c r="CH137" s="278"/>
      <c r="CI137" s="278"/>
      <c r="CJ137" s="278"/>
      <c r="CK137" s="278"/>
      <c r="CL137" s="278"/>
      <c r="CM137" s="475"/>
      <c r="CN137" s="32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</row>
    <row r="138" spans="1:110" s="30" customFormat="1" ht="21.75" customHeight="1">
      <c r="A138" s="253" t="s">
        <v>126</v>
      </c>
      <c r="B138" s="29"/>
      <c r="D138" s="254">
        <f>IF(D135="","",D137*D135)</f>
        <v>0</v>
      </c>
      <c r="E138" s="30">
        <f>IF(E135="","",D137*E135)</f>
        <v>0</v>
      </c>
      <c r="G138" s="277">
        <f>IF(G135="","",G137*G135)</f>
        <v>0</v>
      </c>
      <c r="H138" s="278">
        <f>IF(H135="","",G137*H135)</f>
        <v>0</v>
      </c>
      <c r="J138" s="254">
        <f>IF(J135="","",J137*J135)</f>
        <v>0</v>
      </c>
      <c r="K138" s="30">
        <f>IF(K135="","",J137*K135)</f>
        <v>0</v>
      </c>
      <c r="M138" s="254">
        <f>IF(M135="","",M137*M135)</f>
        <v>0</v>
      </c>
      <c r="N138" s="30">
        <f>IF(N135="","",M137*N135)</f>
        <v>0</v>
      </c>
      <c r="P138" s="254">
        <f>IF(P135="","",P137*P135)</f>
        <v>0</v>
      </c>
      <c r="Q138" s="30">
        <f>IF(Q135="","",P137*Q135)</f>
        <v>0</v>
      </c>
      <c r="S138" s="254">
        <f>IF(S135="","",S137*S135)</f>
        <v>0</v>
      </c>
      <c r="T138" s="30">
        <f>IF(T135="","",S137*T135)</f>
        <v>0</v>
      </c>
      <c r="V138" s="254">
        <f>IF(V135="","",V137*V135)</f>
        <v>0</v>
      </c>
      <c r="W138" s="30">
        <f>IF(W135="","",V137*W135)</f>
        <v>0</v>
      </c>
      <c r="Y138" s="254">
        <f>IF(Y135="","",Y137*Y135)</f>
        <v>0</v>
      </c>
      <c r="Z138" s="30">
        <f>IF(Z135="","",Y137*Z135)</f>
        <v>0</v>
      </c>
      <c r="AB138" s="31"/>
      <c r="AD138" s="321" t="str">
        <f>+IF(AI132="","",AI132)</f>
        <v/>
      </c>
      <c r="AE138" s="324" t="str">
        <f>IF(N132="","",IF($K$2="X - X",VLOOKUP(N132,Espesor!$C$8:$E$41,2,0),VLOOKUP(N132,Espesor!$C$8:$E$41,3,0)))</f>
        <v/>
      </c>
      <c r="AF138" s="319" t="str">
        <f>IF(AD138="","",IF(LOOKUP(AD138,Espesor!$C$8:$C$41,Espesor!$K$8:$K$41)="en voladizo","",IF(AD139="",0.75/AE138,1/AE138)))</f>
        <v/>
      </c>
      <c r="AG138" s="634" t="str">
        <f>IF(AF138="","",IF(AF139="","",ROUND(AF138/(AF138+AF139),3)))</f>
        <v/>
      </c>
      <c r="AH138" s="634"/>
      <c r="AI138" s="634" t="str">
        <f>IF(AF139="","",IF(AF138="","",ROUND(AF139/(AF139+AF138),3)))</f>
        <v/>
      </c>
      <c r="AJ138" s="634"/>
      <c r="AK138" s="317">
        <f>IF(F107="",0,IF($K$2="X - X",VLOOKUP(F107,'Moms de Empt'!$P$3:$T$36,3,0),VLOOKUP(F107,'Moms de Empt'!$P$3:$T$36,5,0)))</f>
        <v>0</v>
      </c>
      <c r="AL138" s="317">
        <f t="shared" si="202"/>
        <v>0</v>
      </c>
      <c r="AM138" s="629">
        <f>IF(AD139="",0,IF(LOOKUP(AD139,Espesor!$C$8:$C$41,Espesor!$K$8:$K$41)="en voladizo",MAX(ABS(AL138),ABS(AK139)),-(AK139+AL138)))</f>
        <v>0</v>
      </c>
      <c r="AN138" s="629"/>
      <c r="AO138" s="630" t="str">
        <f t="shared" ref="AO138" si="206">IF(AG138="","",AM138*AG138)</f>
        <v/>
      </c>
      <c r="AP138" s="630"/>
      <c r="AQ138" s="630" t="str">
        <f t="shared" ref="AQ138" si="207">IF(AI138="","",AM138*AI138)</f>
        <v/>
      </c>
      <c r="AR138" s="630"/>
      <c r="AS138" s="631">
        <f>-IF(AM138="","",IF(AL138="",IF(AO138="",0,AO138),IF(AO138="",AL138,AL138+AO138)))</f>
        <v>0</v>
      </c>
      <c r="AT138" s="632"/>
      <c r="AU138" s="341">
        <f>+AS138</f>
        <v>0</v>
      </c>
      <c r="AV138" s="332" t="str">
        <f>IF(N132="","",IF(L107="X - X",VLOOKUP(N132,'Moms de Empt'!$P$3:$T$36,2,0),VLOOKUP(N132,'Moms de Empt'!$P$3:$T$36,4,0)))</f>
        <v/>
      </c>
      <c r="AW138" s="635" t="str">
        <f>IF(AV138="","",IF(AV139="","",ROUND(AV138/(AV138+AV139),3)))</f>
        <v/>
      </c>
      <c r="AX138" s="633"/>
      <c r="AY138" s="635" t="str">
        <f>IF(AV139="","",IF(AV138="","",ROUND(AV139/(AV139+AV138),3)))</f>
        <v/>
      </c>
      <c r="AZ138" s="633"/>
      <c r="BA138" s="331" t="str">
        <f t="shared" si="201"/>
        <v/>
      </c>
      <c r="BB138" s="279"/>
      <c r="BC138" s="401"/>
      <c r="BD138" s="398"/>
      <c r="BE138" s="391"/>
      <c r="BK138" s="243"/>
      <c r="BL138" s="396"/>
      <c r="BM138" s="396"/>
      <c r="BN138" s="396"/>
      <c r="BO138" s="396"/>
      <c r="BP138" s="396"/>
      <c r="BQ138" s="396"/>
      <c r="BR138" s="396"/>
      <c r="BS138" s="396"/>
      <c r="BT138" s="396"/>
      <c r="BU138" s="396"/>
      <c r="BV138" s="396"/>
      <c r="BW138" s="396"/>
      <c r="BX138" s="396"/>
      <c r="BY138" s="396"/>
      <c r="BZ138" s="396"/>
      <c r="CA138" s="396"/>
      <c r="CB138" s="396"/>
      <c r="CC138" s="396"/>
      <c r="CD138" s="396"/>
      <c r="CE138" s="396"/>
      <c r="CF138" s="396"/>
      <c r="CG138" s="396"/>
      <c r="CH138" s="396"/>
      <c r="CI138" s="396"/>
      <c r="CJ138" s="396"/>
      <c r="CK138" s="396"/>
      <c r="CL138" s="396"/>
      <c r="CM138" s="476"/>
      <c r="CN138" s="35"/>
      <c r="CO138" s="279"/>
      <c r="CP138" s="279"/>
      <c r="CQ138" s="279"/>
      <c r="CR138" s="279"/>
      <c r="CS138" s="279"/>
      <c r="CT138" s="279"/>
      <c r="CU138" s="279"/>
      <c r="CV138" s="279"/>
      <c r="CW138" s="279"/>
      <c r="CX138" s="279"/>
      <c r="CY138" s="279"/>
      <c r="CZ138" s="279"/>
      <c r="DA138" s="279"/>
      <c r="DB138" s="279"/>
      <c r="DC138" s="279"/>
      <c r="DD138" s="279"/>
      <c r="DE138" s="279"/>
      <c r="DF138" s="279"/>
    </row>
    <row r="139" spans="1:110" s="32" customFormat="1" ht="21.75" customHeight="1" thickBot="1">
      <c r="B139" s="29"/>
      <c r="C139" s="30"/>
      <c r="D139" s="255">
        <f>IF(D137="",0,IF(D136="",IF(D138="",0,D138),IF(D138="",D136,D136+D138)))</f>
        <v>0</v>
      </c>
      <c r="E139" s="256">
        <f>IF(D137="",0,IF(E136="",IF(E138="",0,E138),IF(E138="",E136,E136+E138)))</f>
        <v>0</v>
      </c>
      <c r="F139" s="30"/>
      <c r="G139" s="276">
        <f>IF(G137="",0,IF(G136="",IF(G138="",0,G138),IF(G138="",G136,G136+G138)))</f>
        <v>0</v>
      </c>
      <c r="H139" s="256">
        <f>IF(G137="",0,IF(H136="",IF(H138="",0,H138),IF(H138="",H136,H136+H138)))</f>
        <v>0</v>
      </c>
      <c r="I139" s="30"/>
      <c r="J139" s="276">
        <f>IF(J137="",0,IF(J136="",IF(J138="",0,J138),IF(J138="",J136,J136+J138)))</f>
        <v>0</v>
      </c>
      <c r="K139" s="256">
        <f>IF(J137="",0,IF(K136="",IF(K138="",0,K138),IF(K138="",K136,K136+K138)))</f>
        <v>0</v>
      </c>
      <c r="L139" s="30"/>
      <c r="M139" s="276">
        <f>IF(M137="",0,IF(M136="",IF(M138="",0,M138),IF(M138="",M136,M136+M138)))</f>
        <v>0</v>
      </c>
      <c r="N139" s="256">
        <f>IF(M137="",0,IF(N136="",IF(N138="",0,N138),IF(N138="",N136,N136+N138)))</f>
        <v>0</v>
      </c>
      <c r="O139" s="30"/>
      <c r="P139" s="276">
        <f>IF(P137="",0,IF(P136="",IF(P138="",0,P138),IF(P138="",P136,P136+P138)))</f>
        <v>0</v>
      </c>
      <c r="Q139" s="256">
        <f>IF(P137="",0,IF(Q136="",IF(Q138="",0,Q138),IF(Q138="",Q136,Q136+Q138)))</f>
        <v>0</v>
      </c>
      <c r="R139" s="30"/>
      <c r="S139" s="276">
        <f>IF(S137="",0,IF(S136="",IF(S138="",0,S138),IF(S138="",S136,S136+S138)))</f>
        <v>0</v>
      </c>
      <c r="T139" s="256">
        <f>IF(S137="",0,IF(T136="",IF(T138="",0,T138),IF(T138="",T136,T136+T138)))</f>
        <v>0</v>
      </c>
      <c r="U139" s="30"/>
      <c r="V139" s="276">
        <f>IF(V137="",0,IF(V136="",IF(V138="",0,V138),IF(V138="",V136,V136+V138)))</f>
        <v>0</v>
      </c>
      <c r="W139" s="256">
        <f>IF(V137="",0,IF(W136="",IF(W138="",0,W138),IF(W138="",W136,W136+W138)))</f>
        <v>0</v>
      </c>
      <c r="X139" s="30"/>
      <c r="Y139" s="276">
        <f>IF(Y137="",0,IF(Y136="",IF(Y138="",0,Y138),IF(Y138="",Y136,Y136+Y138)))</f>
        <v>0</v>
      </c>
      <c r="Z139" s="256">
        <f>IF(Y137="",0,IF(Z136="",IF(Z138="",0,Z138),IF(Z138="",Z136,Z136+Z138)))</f>
        <v>0</v>
      </c>
      <c r="AA139" s="30"/>
      <c r="AB139" s="31"/>
      <c r="AC139" s="30"/>
      <c r="AD139" s="321" t="str">
        <f>+IF(AJ132="","",AJ132)</f>
        <v/>
      </c>
      <c r="AE139" s="324" t="str">
        <f>IF(Q132="","",IF($K$2="X - X",VLOOKUP(Q132,Espesor!$C$8:$E$41,2,0),VLOOKUP(Q132,Espesor!$C$8:$E$41,3,0)))</f>
        <v/>
      </c>
      <c r="AF139" s="319" t="str">
        <f>IF(AD139="","",IF(LOOKUP(AD139,Espesor!$C$8:$C$41,Espesor!$K$8:$K$41)="en voladizo","",IF(AD140="",0.75/AE139,1/AE139)))</f>
        <v/>
      </c>
      <c r="AG139" s="634"/>
      <c r="AH139" s="634" t="str">
        <f>IF(AF139="","",IF(AF140="","",ROUND(AF139/(AF139+AF140),3)))</f>
        <v/>
      </c>
      <c r="AI139" s="634"/>
      <c r="AJ139" s="634" t="str">
        <f>IF(AF139="","",IF(AF140="","",ROUND(AF140/(AF139+AF140),3)))</f>
        <v/>
      </c>
      <c r="AK139" s="317">
        <f>IF(G107="",0,IF($K$2="X - X",VLOOKUP(G107,'Moms de Empt'!$P$3:$T$36,3,0),VLOOKUP(G107,'Moms de Empt'!$P$3:$T$36,5,0)))</f>
        <v>0</v>
      </c>
      <c r="AL139" s="317">
        <f t="shared" si="202"/>
        <v>0</v>
      </c>
      <c r="AM139" s="629"/>
      <c r="AN139" s="629">
        <f>IF(AD140="",0,IF(LOOKUP(AD140,Espesor!$C$8:$C$41,Espesor!$K$8:$K$41)="en voladizo",MAX(ABS(AL139),ABS(AK140)),-(AK140+AL139)))</f>
        <v>0</v>
      </c>
      <c r="AO139" s="630"/>
      <c r="AP139" s="630" t="str">
        <f t="shared" ref="AP139" si="208">IF(AH139="","",AN139*AH139)</f>
        <v/>
      </c>
      <c r="AQ139" s="630"/>
      <c r="AR139" s="630" t="str">
        <f t="shared" ref="AR139" si="209">IF(AJ139="","",AN139*AJ139)</f>
        <v/>
      </c>
      <c r="AS139" s="632"/>
      <c r="AT139" s="631">
        <f t="shared" ref="AT139" si="210">-IF(AN139="","",IF(AL139="",IF(AP139="",0,AP139),IF(AP139="",AL139,AL139+AP139)))</f>
        <v>0</v>
      </c>
      <c r="AU139" s="341">
        <f>+AT139</f>
        <v>0</v>
      </c>
      <c r="AV139" s="332" t="str">
        <f>IF(Q132="","",IF(L107="X - X",VLOOKUP(Q132,'Moms de Empt'!$P$3:$T$36,2,0),VLOOKUP(Q132,'Moms de Empt'!$P$3:$T$36,4,0)))</f>
        <v/>
      </c>
      <c r="AW139" s="635"/>
      <c r="AX139" s="633" t="str">
        <f>IF(AV139="","",IF(AV140="","",ROUND(AV139/(AV139+AV140),3)))</f>
        <v/>
      </c>
      <c r="AY139" s="635"/>
      <c r="AZ139" s="633" t="str">
        <f>IF(AV139="","",IF(AV140="","",ROUND(AV140/(AV139+AV140),3)))</f>
        <v/>
      </c>
      <c r="BA139" s="331" t="str">
        <f t="shared" si="201"/>
        <v/>
      </c>
      <c r="BB139" s="30"/>
      <c r="BC139" s="401"/>
      <c r="BD139" s="398"/>
      <c r="BE139" s="391"/>
      <c r="BF139" s="393"/>
      <c r="BG139" s="393"/>
      <c r="BH139" s="393"/>
      <c r="BI139" s="393"/>
      <c r="BJ139" s="393"/>
      <c r="BK139" s="244"/>
      <c r="BL139" s="395"/>
      <c r="BM139" s="395"/>
      <c r="BN139" s="395"/>
      <c r="BO139" s="395"/>
      <c r="BP139" s="395"/>
      <c r="BQ139" s="395"/>
      <c r="BR139" s="395"/>
      <c r="BS139" s="395"/>
      <c r="BT139" s="395"/>
      <c r="BU139" s="395"/>
      <c r="BV139" s="395"/>
      <c r="BW139" s="395"/>
      <c r="BX139" s="395"/>
      <c r="BY139" s="395"/>
      <c r="BZ139" s="395"/>
      <c r="CA139" s="395"/>
      <c r="CB139" s="395"/>
      <c r="CC139" s="395"/>
      <c r="CD139" s="395"/>
      <c r="CE139" s="395"/>
      <c r="CF139" s="395"/>
      <c r="CG139" s="395"/>
      <c r="CH139" s="395"/>
      <c r="CI139" s="395"/>
      <c r="CJ139" s="395"/>
      <c r="CK139" s="395"/>
      <c r="CL139" s="395"/>
      <c r="CM139" s="474"/>
      <c r="CN139" s="279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</row>
    <row r="140" spans="1:110" s="36" customFormat="1" ht="21.75" customHeight="1" thickBot="1">
      <c r="A140" s="36" t="s">
        <v>66</v>
      </c>
      <c r="B140" s="273"/>
      <c r="D140" s="672">
        <f>IF(E132="",0,IF(D139=0,IF(E139=0,MAX(ABS(D136),ABS(E136)),E139),MAX(ABS(D139),ABS(E139))))</f>
        <v>0</v>
      </c>
      <c r="E140" s="674"/>
      <c r="G140" s="672">
        <f>IF(H132="",0,IF(G139=0,IF(H139=0,MAX(ABS(G136),ABS(H136)),H139),MAX(ABS(G139),ABS(H139))))</f>
        <v>0</v>
      </c>
      <c r="H140" s="674"/>
      <c r="J140" s="672">
        <f>IF(K132="",0,IF(J139=0,IF(K139=0,MAX(ABS(J136),ABS(K136)),K139),MAX(ABS(J139),ABS(K139))))</f>
        <v>0</v>
      </c>
      <c r="K140" s="674"/>
      <c r="M140" s="672">
        <f>IF(N132="",0,IF(M139=0,IF(N139=0,MAX(ABS(M136),ABS(N136)),N139),MAX(ABS(M139),ABS(N139))))</f>
        <v>0</v>
      </c>
      <c r="N140" s="674"/>
      <c r="P140" s="672">
        <f>IF(Q132="",0,IF(P139=0,IF(Q139=0,MAX(ABS(P136),ABS(Q136)),Q139),MAX(ABS(P139),ABS(Q139))))</f>
        <v>0</v>
      </c>
      <c r="Q140" s="674"/>
      <c r="S140" s="672">
        <f>IF(T132="",0,IF(S139=0,IF(T139=0,MAX(ABS(S136),ABS(T136)),T139),MAX(ABS(S139),ABS(T139))))</f>
        <v>0</v>
      </c>
      <c r="T140" s="674"/>
      <c r="U140" s="265"/>
      <c r="V140" s="672">
        <f>IF(W132="",0,IF(V139=0,IF(W139=0,MAX(ABS(V136),ABS(W136)),W139),MAX(ABS(V139),ABS(W139))))</f>
        <v>0</v>
      </c>
      <c r="W140" s="674"/>
      <c r="Y140" s="672">
        <f>IF(Z132="",0,IF(Y139=0,IF(Z139=0,MAX(ABS(Y136),ABS(Z136)),Z139),MAX(ABS(Y139),ABS(Z139))))</f>
        <v>0</v>
      </c>
      <c r="Z140" s="674"/>
      <c r="AA140" s="37"/>
      <c r="AB140" s="38"/>
      <c r="AC140" s="39"/>
      <c r="AD140" s="321" t="str">
        <f>+IF(AK132="","",AK132)</f>
        <v/>
      </c>
      <c r="AE140" s="324" t="str">
        <f>IF(T132="","",IF($K$2="X - X",VLOOKUP(T132,Espesor!$C$8:$E$41,2,0),VLOOKUP(T132,Espesor!$C$8:$E$41,3,0)))</f>
        <v/>
      </c>
      <c r="AF140" s="319" t="str">
        <f>IF(AD140="","",IF(LOOKUP(AD140,Espesor!$C$8:$C$41,Espesor!$K$8:$K$41)="en voladizo","",IF(AD141="",0.75/AE140,1/AE140)))</f>
        <v/>
      </c>
      <c r="AG140" s="634" t="str">
        <f>IF(AF140="","",IF(AF141="","",ROUND(AF140/(AF140+AF141),3)))</f>
        <v/>
      </c>
      <c r="AH140" s="634"/>
      <c r="AI140" s="634" t="str">
        <f>IF(AF141="","",IF(AF140="","",ROUND(AF141/(AF141+AF140),3)))</f>
        <v/>
      </c>
      <c r="AJ140" s="634"/>
      <c r="AK140" s="317">
        <f>IF(H107="",0,IF($K$2="X - X",VLOOKUP(H107,'Moms de Empt'!$P$3:$T$36,3,0),VLOOKUP(H107,'Moms de Empt'!$P$3:$T$36,5,0)))</f>
        <v>0</v>
      </c>
      <c r="AL140" s="317">
        <f>+IF(AD141="",0,-AK140)</f>
        <v>0</v>
      </c>
      <c r="AM140" s="629">
        <f>IF(AD141="",0,IF(LOOKUP(AD141,Espesor!$C$8:$C$41,Espesor!$K$8:$K$41)="en voladizo",MAX(ABS(AL140),ABS(AK141)),-(AK141+AL140)))</f>
        <v>0</v>
      </c>
      <c r="AN140" s="629"/>
      <c r="AO140" s="630" t="str">
        <f>IF(AG140="","",AM140*AG140)</f>
        <v/>
      </c>
      <c r="AP140" s="630"/>
      <c r="AQ140" s="630" t="str">
        <f t="shared" ref="AQ140" si="211">IF(AI140="","",AM140*AI140)</f>
        <v/>
      </c>
      <c r="AR140" s="630"/>
      <c r="AS140" s="631">
        <f>-IF(AM140="","",IF(AL140="",IF(AO140="",0,AO140),IF(AO140="",AL140,AL140+AO140)))</f>
        <v>0</v>
      </c>
      <c r="AT140" s="632"/>
      <c r="AU140" s="341">
        <f>+AS140</f>
        <v>0</v>
      </c>
      <c r="AV140" s="332" t="str">
        <f>IF(T132="","",IF(L107="X - X",VLOOKUP(T132,'Moms de Empt'!$P$3:$T$36,2,0),VLOOKUP(T132,'Moms de Empt'!$P$3:$T$36,4,0)))</f>
        <v/>
      </c>
      <c r="AW140" s="635" t="str">
        <f>IF(AV140="","",IF(AV141="","",ROUND(AV140/(AV140+AV141),3)))</f>
        <v/>
      </c>
      <c r="AX140" s="633"/>
      <c r="AY140" s="635" t="str">
        <f>IF(AV141="","",IF(AV140="","",ROUND(AV141/(AV141+AV140),3)))</f>
        <v/>
      </c>
      <c r="AZ140" s="633"/>
      <c r="BA140" s="331" t="str">
        <f t="shared" si="201"/>
        <v/>
      </c>
      <c r="BB140" s="32"/>
      <c r="BC140" s="401"/>
      <c r="BD140" s="398"/>
      <c r="BE140" s="391"/>
      <c r="BF140" s="393"/>
      <c r="BG140" s="393"/>
      <c r="BH140" s="393"/>
      <c r="BI140" s="393"/>
      <c r="BJ140" s="393"/>
      <c r="BK140" s="389"/>
      <c r="BL140" s="396"/>
      <c r="BM140" s="396"/>
      <c r="BN140" s="396"/>
      <c r="BO140" s="396"/>
      <c r="BP140" s="396"/>
      <c r="BQ140" s="396"/>
      <c r="BR140" s="396"/>
      <c r="BS140" s="396"/>
      <c r="BT140" s="396"/>
      <c r="BU140" s="396"/>
      <c r="BV140" s="396"/>
      <c r="BW140" s="396"/>
      <c r="BX140" s="396"/>
      <c r="BY140" s="396"/>
      <c r="BZ140" s="396"/>
      <c r="CA140" s="396"/>
      <c r="CB140" s="396"/>
      <c r="CC140" s="396"/>
      <c r="CD140" s="396"/>
      <c r="CE140" s="396"/>
      <c r="CF140" s="396"/>
      <c r="CG140" s="396"/>
      <c r="CH140" s="396"/>
      <c r="CI140" s="396"/>
      <c r="CJ140" s="396"/>
      <c r="CK140" s="396"/>
      <c r="CL140" s="396"/>
      <c r="CM140" s="474"/>
      <c r="CN140" s="30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</row>
    <row r="141" spans="1:110" s="36" customFormat="1" ht="21.75" customHeight="1" thickBot="1">
      <c r="B141" s="274"/>
      <c r="D141" s="690">
        <f>IF(D140="","",D140*100000)</f>
        <v>0</v>
      </c>
      <c r="E141" s="690"/>
      <c r="G141" s="690">
        <f>IF(G140="","",G140*100000)</f>
        <v>0</v>
      </c>
      <c r="H141" s="690"/>
      <c r="I141" s="388"/>
      <c r="J141" s="690">
        <f>IF(J140="","",J140*100000)</f>
        <v>0</v>
      </c>
      <c r="K141" s="690"/>
      <c r="L141" s="388"/>
      <c r="M141" s="690">
        <f>IF(M140="","",M140*100000)</f>
        <v>0</v>
      </c>
      <c r="N141" s="690"/>
      <c r="O141" s="388"/>
      <c r="P141" s="690">
        <f>IF(P140="","",P140*100000)</f>
        <v>0</v>
      </c>
      <c r="Q141" s="690"/>
      <c r="R141" s="388"/>
      <c r="S141" s="690">
        <f>IF(S140="","",S140*100000)</f>
        <v>0</v>
      </c>
      <c r="T141" s="690"/>
      <c r="U141" s="387"/>
      <c r="V141" s="690">
        <f>IF(V140="","",V140*100000)</f>
        <v>0</v>
      </c>
      <c r="W141" s="690"/>
      <c r="X141" s="388"/>
      <c r="Y141" s="690">
        <f>IF(Y140="","",Y140*100000)</f>
        <v>0</v>
      </c>
      <c r="Z141" s="690"/>
      <c r="AA141" s="37"/>
      <c r="AB141" s="275"/>
      <c r="AC141" s="39"/>
      <c r="AD141" s="321" t="str">
        <f>+IF(AL132="","",AL132)</f>
        <v/>
      </c>
      <c r="AE141" s="324" t="str">
        <f>IF(W132="","",IF($K$2="X - X",VLOOKUP(W132,Espesor!$C$8:$E$41,2,0),VLOOKUP(W132,Espesor!$C$8:$E$41,3,0)))</f>
        <v/>
      </c>
      <c r="AF141" s="319" t="str">
        <f>IF(AD141="","",IF(LOOKUP(AD141,Espesor!$C$8:$C$41,Espesor!$K$8:$K$41)="en voladizo","",IF(AD142="",0.75/AE141,1/AE141)))</f>
        <v/>
      </c>
      <c r="AG141" s="634"/>
      <c r="AH141" s="634" t="str">
        <f>IF(AF141="","",IF(AF142="","",ROUND(AF141/(AF141+AF142),3)))</f>
        <v/>
      </c>
      <c r="AI141" s="634"/>
      <c r="AJ141" s="634" t="str">
        <f>IF(AF141="","",IF(AF142="","",ROUND(AF142/(AF141+AF142),3)))</f>
        <v/>
      </c>
      <c r="AK141" s="317">
        <f>IF(I107="",0,IF($K$2="X - X",VLOOKUP(I107,'Moms de Empt'!$P$3:$T$36,3,0),VLOOKUP(I107,'Moms de Empt'!$P$3:$T$36,5,0)))</f>
        <v>0</v>
      </c>
      <c r="AL141" s="317">
        <f t="shared" ref="AL141:AL142" si="212">+IF(AD142="",0,-AK141)</f>
        <v>0</v>
      </c>
      <c r="AM141" s="629"/>
      <c r="AN141" s="629">
        <f>IF(AD142="",0,IF(LOOKUP(AD142,Espesor!$C$8:$C$41,Espesor!$K$8:$K$41)="en voladizo",MAX(ABS(AL141),ABS(AK142)),-(AK142+AL141)))</f>
        <v>0</v>
      </c>
      <c r="AO141" s="630"/>
      <c r="AP141" s="630" t="str">
        <f t="shared" ref="AP141" si="213">IF(AH141="","",AN141*AH141)</f>
        <v/>
      </c>
      <c r="AQ141" s="630"/>
      <c r="AR141" s="630" t="str">
        <f t="shared" ref="AR141" si="214">IF(AJ141="","",AN141*AJ141)</f>
        <v/>
      </c>
      <c r="AS141" s="632"/>
      <c r="AT141" s="631">
        <f t="shared" ref="AT141" si="215">-IF(AN141="","",IF(AL141="",IF(AP141="",0,AP141),IF(AP141="",AL141,AL141+AP141)))</f>
        <v>0</v>
      </c>
      <c r="AU141" s="341">
        <f>+AT141</f>
        <v>0</v>
      </c>
      <c r="AV141" s="332" t="str">
        <f>IF(W132="","",IF(L107="X - X",VLOOKUP(W132,'Moms de Empt'!$P$3:$T$36,2,0),VLOOKUP(W132,'Moms de Empt'!$P$3:$T$36,4,0)))</f>
        <v/>
      </c>
      <c r="AW141" s="635"/>
      <c r="AX141" s="633" t="str">
        <f>IF(AV141="","",IF(AV142="","",ROUND(AV141/(AV141+AV142),3)))</f>
        <v/>
      </c>
      <c r="AY141" s="635"/>
      <c r="AZ141" s="633" t="str">
        <f>IF(AV141="","",IF(AV142="","",ROUND(AV142/(AV141+AV142),3)))</f>
        <v/>
      </c>
      <c r="BA141" s="331" t="str">
        <f t="shared" si="201"/>
        <v/>
      </c>
      <c r="BC141" s="401"/>
      <c r="BD141" s="398"/>
      <c r="BE141" s="391"/>
      <c r="BF141" s="278"/>
      <c r="BG141" s="278"/>
      <c r="BH141" s="278"/>
      <c r="BI141" s="278"/>
      <c r="BJ141" s="278"/>
      <c r="BK141" s="30"/>
      <c r="BL141" s="396"/>
      <c r="BM141" s="396"/>
      <c r="BN141" s="396"/>
      <c r="BO141" s="396"/>
      <c r="BP141" s="396"/>
      <c r="BQ141" s="396"/>
      <c r="BR141" s="396"/>
      <c r="BS141" s="396"/>
      <c r="BT141" s="396"/>
      <c r="BU141" s="396"/>
      <c r="BV141" s="396"/>
      <c r="BW141" s="396"/>
      <c r="BX141" s="396"/>
      <c r="BY141" s="396"/>
      <c r="BZ141" s="396"/>
      <c r="CA141" s="396"/>
      <c r="CB141" s="396"/>
      <c r="CC141" s="396"/>
      <c r="CD141" s="396"/>
      <c r="CE141" s="396"/>
      <c r="CF141" s="396"/>
      <c r="CG141" s="396"/>
      <c r="CH141" s="396"/>
      <c r="CI141" s="396"/>
      <c r="CJ141" s="396"/>
      <c r="CK141" s="396"/>
      <c r="CL141" s="396"/>
      <c r="CM141" s="430"/>
      <c r="CN141" s="32"/>
    </row>
    <row r="142" spans="1:110" s="210" customFormat="1" ht="21.75" customHeight="1" thickBot="1">
      <c r="A142" s="257" t="s">
        <v>127</v>
      </c>
      <c r="B142" s="675" t="str">
        <f>IF(B132="","",IF(K8="X - X",VLOOKUP(B132,'Moms de Empt'!$P$3:$T$36,2,0),VLOOKUP(B132,'Moms de Empt'!$P$3:$T$36,4,0)))</f>
        <v/>
      </c>
      <c r="C142" s="676"/>
      <c r="D142" s="677"/>
      <c r="E142" s="675" t="str">
        <f>IF(E132="","",IF(K8="X - X",VLOOKUP(E132,'Moms de Empt'!$P$3:$T$36,2,0),VLOOKUP(E132,'Moms de Empt'!$P$3:$T$36,4,0)))</f>
        <v/>
      </c>
      <c r="F142" s="676"/>
      <c r="G142" s="677"/>
      <c r="H142" s="675" t="str">
        <f>IF(H132="","",IF(K8="X - X",VLOOKUP(H132,'Moms de Empt'!$P$3:$T$36,2,0),VLOOKUP(H132,'Moms de Empt'!$P$3:$T$36,4,0)))</f>
        <v/>
      </c>
      <c r="I142" s="676"/>
      <c r="J142" s="677"/>
      <c r="K142" s="675" t="str">
        <f>IF(K132="","",IF(K8="X - X",VLOOKUP(K132,'Moms de Empt'!$P$3:$T$36,2,0),VLOOKUP(K132,'Moms de Empt'!$P$3:$T$36,4,0)))</f>
        <v/>
      </c>
      <c r="L142" s="676"/>
      <c r="M142" s="677"/>
      <c r="N142" s="675" t="str">
        <f>IF(N132="","",IF(K8="X - X",VLOOKUP(N132,'Moms de Empt'!$P$3:$T$36,2,0),VLOOKUP(N132,'Moms de Empt'!$P$3:$T$36,4,0)))</f>
        <v/>
      </c>
      <c r="O142" s="676"/>
      <c r="P142" s="677"/>
      <c r="Q142" s="675" t="str">
        <f>IF(Q132="","",IF(K8="X - X",VLOOKUP(Q132,'Moms de Empt'!$P$3:$T$36,2,0),VLOOKUP(Q132,'Moms de Empt'!$P$3:$T$36,4,0)))</f>
        <v/>
      </c>
      <c r="R142" s="676"/>
      <c r="S142" s="677"/>
      <c r="T142" s="675" t="str">
        <f>IF(T132="","",IF(K8="X - X",VLOOKUP(T132,'Moms de Empt'!$P$3:$T$36,2,0),VLOOKUP(T132,'Moms de Empt'!$P$3:$T$36,4,0)))</f>
        <v/>
      </c>
      <c r="U142" s="676"/>
      <c r="V142" s="677"/>
      <c r="W142" s="675" t="str">
        <f>IF(W132="","",IF(K8="X - X",VLOOKUP(W132,'Moms de Empt'!$P$3:$T$36,2,0),VLOOKUP(W132,'Moms de Empt'!$P$3:$T$36,4,0)))</f>
        <v/>
      </c>
      <c r="X142" s="676"/>
      <c r="Y142" s="677"/>
      <c r="Z142" s="675" t="str">
        <f>IF(Z132="","",IF(K8="X - X",VLOOKUP(Z132,'Moms de Empt'!$P$3:$T$36,2,0),VLOOKUP(Z132,'Moms de Empt'!$P$3:$T$36,4,0)))</f>
        <v/>
      </c>
      <c r="AA142" s="676"/>
      <c r="AB142" s="677"/>
      <c r="AC142" s="40"/>
      <c r="AD142" s="321" t="str">
        <f>+IF(AM132="","",AM132)</f>
        <v/>
      </c>
      <c r="AE142" s="324" t="str">
        <f>IF(Z132="","",IF($K$2="X - X",VLOOKUP(Z132,Espesor!$C$8:$E$41,2,0),VLOOKUP(Z132,Espesor!$C$8:$E$41,3,0)))</f>
        <v/>
      </c>
      <c r="AF142" s="319" t="str">
        <f>IF(AD142="","",IF(LOOKUP(AD142,Espesor!$C$8:$C$41,Espesor!$K$8:$K$41)="en voladizo","",IF(AD143="",0.75/AE142,1/AE142)))</f>
        <v/>
      </c>
      <c r="AG142" s="344" t="str">
        <f>IF(AF142="","",IF(AK116="","",ROUND(AF142/(AF142+AK116),3)))</f>
        <v/>
      </c>
      <c r="AH142" s="634"/>
      <c r="AI142" s="344" t="str">
        <f>IF(AK116="","",IF(AF142="","",ROUND(AK116/(AK116+AF142),3)))</f>
        <v/>
      </c>
      <c r="AJ142" s="634"/>
      <c r="AK142" s="317">
        <f>IF(J107="",0,IF($K$2="X - X",VLOOKUP(J107,'Moms de Empt'!$P$3:$T$36,3,0),VLOOKUP(J107,'Moms de Empt'!$P$3:$T$36,5,0)))</f>
        <v>0</v>
      </c>
      <c r="AL142" s="317">
        <f t="shared" si="212"/>
        <v>0</v>
      </c>
      <c r="AM142" s="307" t="str">
        <f>IF(AI116="","",IF(LOOKUP(AI116,[6]Espesor!$C$8:$C$41,[6]Espesor!$K$8:$K$41)="en voladizo",MAX(ABS(AL142),ABS(AQ116)),-(AQ116-AL142)))</f>
        <v/>
      </c>
      <c r="AN142" s="629"/>
      <c r="AO142" s="340" t="str">
        <f t="shared" ref="AO142" si="216">IF(AG142="","",AM142*AG142)</f>
        <v/>
      </c>
      <c r="AP142" s="630"/>
      <c r="AQ142" s="315" t="str">
        <f t="shared" ref="AQ142" si="217">IF(AI142="","",AM142*AI142)</f>
        <v/>
      </c>
      <c r="AR142" s="630"/>
      <c r="AS142" s="312" t="str">
        <f t="shared" ref="AS142" si="218">IF(AM142="","",IF(AL142="",IF(AO142="",0,AO142),IF(AO142="",AL142,AL142+AO142)))</f>
        <v/>
      </c>
      <c r="AT142" s="632"/>
      <c r="AU142" s="341"/>
      <c r="AV142" s="333" t="str">
        <f>IF(Z132="","",IF(L107="X - X",VLOOKUP(Z132,'Moms de Empt'!$P$3:$T$36,2,0),VLOOKUP(Z132,'Moms de Empt'!$P$3:$T$36,4,0)))</f>
        <v/>
      </c>
      <c r="AW142" s="337" t="str">
        <f>IF(AV142="","",IF(BA116="","",ROUND(AV142/(AV142+BA116),3)))</f>
        <v/>
      </c>
      <c r="AX142" s="633"/>
      <c r="AY142" s="337" t="str">
        <f>IF(BA116="","",IF(AV142="","",ROUND(BA116/(BA116+AV142),3)))</f>
        <v/>
      </c>
      <c r="AZ142" s="633"/>
      <c r="BA142" s="331"/>
      <c r="BB142" s="36"/>
      <c r="BC142" s="401"/>
      <c r="BD142" s="398"/>
      <c r="BE142" s="391"/>
      <c r="BF142" s="396"/>
      <c r="BG142" s="396"/>
      <c r="BH142" s="396"/>
      <c r="BI142" s="396"/>
      <c r="BJ142" s="396"/>
      <c r="BK142" s="392"/>
      <c r="BL142" s="397"/>
      <c r="BM142" s="397"/>
      <c r="BN142" s="397"/>
      <c r="BO142" s="397"/>
      <c r="BP142" s="397"/>
      <c r="BQ142" s="397"/>
      <c r="BR142" s="397"/>
      <c r="BS142" s="397"/>
      <c r="BT142" s="397"/>
      <c r="BU142" s="397"/>
      <c r="BV142" s="397"/>
      <c r="BW142" s="397"/>
      <c r="BX142" s="397"/>
      <c r="BY142" s="397"/>
      <c r="BZ142" s="397"/>
      <c r="CA142" s="397"/>
      <c r="CB142" s="397"/>
      <c r="CC142" s="397"/>
      <c r="CD142" s="397"/>
      <c r="CE142" s="397"/>
      <c r="CF142" s="397"/>
      <c r="CG142" s="397"/>
      <c r="CH142" s="397"/>
      <c r="CI142" s="397"/>
      <c r="CJ142" s="397"/>
      <c r="CK142" s="397"/>
      <c r="CL142" s="397"/>
      <c r="CM142" s="430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</row>
    <row r="143" spans="1:110" ht="21.75" customHeight="1" thickBot="1">
      <c r="A143" s="258"/>
      <c r="B143" s="209"/>
      <c r="C143" s="209"/>
      <c r="D143" s="209" t="str">
        <f>IF(B134="","",IF(D136="","",IF(ABS(D140)&gt;ABS(D136),-0.5*ABS(D138),0.5*ABS(D138))))</f>
        <v/>
      </c>
      <c r="E143" s="209" t="str">
        <f>IF(E134="","",IF(E136="","",IF(ABS(D140)&gt;ABS(E136),-0.5*ABS(E138),0.5*ABS(E138))))</f>
        <v/>
      </c>
      <c r="F143" s="209"/>
      <c r="G143" s="209" t="str">
        <f>IF(E134="","",IF(G136="","",IF(ABS(G140)&gt;ABS(G136),-0.5*ABS(G138),0.5*ABS(G138))))</f>
        <v/>
      </c>
      <c r="H143" s="209" t="str">
        <f>IF(H134="","",IF(H136="","",IF(ABS(G140)&gt;ABS(H136),-0.5*ABS(H138),0.5*ABS(H138))))</f>
        <v/>
      </c>
      <c r="I143" s="209"/>
      <c r="J143" s="209" t="str">
        <f>IF(H134="","",IF(J136="","",IF(ABS(J140)&gt;ABS(J136),-0.5*ABS(J138),0.5*ABS(J138))))</f>
        <v/>
      </c>
      <c r="K143" s="209" t="str">
        <f>IF(K134="","",IF(K136="","",IF(ABS(J140)&gt;ABS(K136),-0.5*ABS(K138),0.5*ABS(K138))))</f>
        <v/>
      </c>
      <c r="L143" s="209"/>
      <c r="M143" s="209" t="str">
        <f>IF(K134="","",IF(M136="","",IF(ABS(M140)&gt;ABS(M136),-0.5*ABS(M138),0.5*ABS(M138))))</f>
        <v/>
      </c>
      <c r="N143" s="209" t="str">
        <f>IF(N134="","",IF(N136="","",IF(ABS(M140)&gt;ABS(N136),-0.5*ABS(N138),0.5*ABS(N138))))</f>
        <v/>
      </c>
      <c r="O143" s="209"/>
      <c r="P143" s="209" t="str">
        <f>IF(N134="","",IF(P136="","",IF(ABS(P140)&gt;ABS(P136),-0.5*ABS(P138),0.5*ABS(P138))))</f>
        <v/>
      </c>
      <c r="Q143" s="209" t="str">
        <f>IF(Q134="","",IF(Q136="","",IF(ABS(P140)&gt;ABS(Q136),-0.5*ABS(Q138),0.5*ABS(Q138))))</f>
        <v/>
      </c>
      <c r="R143" s="209"/>
      <c r="S143" s="209" t="str">
        <f>IF(Q134="","",IF(S136="","",IF(ABS(S140)&gt;ABS(S136),-0.5*ABS(S138),0.5*ABS(S138))))</f>
        <v/>
      </c>
      <c r="T143" s="209" t="str">
        <f>IF(T134="","",IF(T136="","",IF(ABS(S140)&gt;ABS(T136),-0.5*ABS(T138),0.5*ABS(T138))))</f>
        <v/>
      </c>
      <c r="U143" s="209"/>
      <c r="V143" s="209" t="str">
        <f>IF(T134="","",IF(V136="","",IF(ABS(V140)&gt;ABS(V136),-0.5*ABS(V138),0.5*ABS(V138))))</f>
        <v/>
      </c>
      <c r="W143" s="209" t="str">
        <f>IF(W134="","",IF(W136="","",IF(ABS(V140)&gt;ABS(W136),-0.5*ABS(W138),0.5*ABS(W138))))</f>
        <v/>
      </c>
      <c r="X143" s="209"/>
      <c r="Y143" s="209" t="str">
        <f>IF(W134="","",IF(Y136="","",IF(ABS(Y140)&gt;ABS(Y136),-0.5*ABS(Y138),0.5*ABS(Y138))))</f>
        <v/>
      </c>
      <c r="Z143" s="209" t="str">
        <f>IF(Z134="","",IF(Z136="","",IF(ABS(Y140)&gt;ABS(Z136),-0.5*ABS(Z138),0.5*ABS(Z138))))</f>
        <v/>
      </c>
      <c r="AA143" s="209"/>
      <c r="AB143" s="209" t="str">
        <f>IF(Z134="","",IF(AB136="","",IF(AB140&gt;-AB136,IF(AB138&lt;0,0.5*AB138,-0.5*AB138),0.5*AB138)))</f>
        <v/>
      </c>
      <c r="AD143" s="210"/>
      <c r="AE143" s="210"/>
      <c r="AF143" s="210"/>
      <c r="AG143" s="210"/>
      <c r="AH143" s="210"/>
      <c r="AI143" s="210"/>
      <c r="AJ143" s="210"/>
      <c r="AK143" s="40"/>
      <c r="AL143" s="210"/>
      <c r="AM143" s="40"/>
      <c r="AN143" s="40"/>
      <c r="AO143" s="40"/>
      <c r="AP143" s="40"/>
      <c r="AQ143" s="40"/>
      <c r="AR143" s="40"/>
      <c r="AS143" s="40"/>
      <c r="AT143" s="40"/>
      <c r="AU143" s="210"/>
      <c r="AV143" s="210"/>
      <c r="AW143" s="210"/>
      <c r="AX143" s="210"/>
      <c r="AY143" s="210"/>
      <c r="AZ143" s="210"/>
      <c r="BA143" s="210"/>
      <c r="BB143" s="210"/>
      <c r="BC143" s="401"/>
      <c r="BD143" s="398"/>
      <c r="BE143" s="391"/>
      <c r="BF143" s="395"/>
      <c r="BG143" s="395"/>
      <c r="BH143" s="395"/>
      <c r="BI143" s="395"/>
      <c r="BJ143" s="395"/>
      <c r="BK143" s="406"/>
      <c r="BL143" s="397"/>
      <c r="BM143" s="397"/>
      <c r="BN143" s="397"/>
      <c r="BO143" s="397"/>
      <c r="BP143" s="397"/>
      <c r="BQ143" s="397"/>
      <c r="BR143" s="397"/>
      <c r="BS143" s="397"/>
      <c r="BT143" s="397"/>
      <c r="BU143" s="397"/>
      <c r="BV143" s="397"/>
      <c r="BW143" s="397"/>
      <c r="BX143" s="397"/>
      <c r="BY143" s="397"/>
      <c r="BZ143" s="397"/>
      <c r="CA143" s="397"/>
      <c r="CB143" s="397"/>
      <c r="CC143" s="397"/>
      <c r="CD143" s="397"/>
      <c r="CE143" s="397"/>
      <c r="CF143" s="397"/>
      <c r="CG143" s="397"/>
      <c r="CH143" s="397"/>
      <c r="CI143" s="397"/>
      <c r="CJ143" s="397"/>
      <c r="CK143" s="397"/>
      <c r="CL143" s="397"/>
      <c r="CM143" s="477"/>
      <c r="CN143" s="36"/>
      <c r="CO143" s="210"/>
      <c r="CP143" s="210"/>
      <c r="CQ143" s="210"/>
      <c r="CR143" s="210"/>
      <c r="CS143" s="210"/>
      <c r="CT143" s="210"/>
      <c r="CU143" s="210"/>
      <c r="CV143" s="210"/>
      <c r="CW143" s="210"/>
      <c r="CX143" s="210"/>
      <c r="CY143" s="210"/>
      <c r="CZ143" s="210"/>
      <c r="DA143" s="210"/>
      <c r="DB143" s="210"/>
      <c r="DC143" s="210"/>
      <c r="DD143" s="210"/>
      <c r="DE143" s="210"/>
      <c r="DF143" s="210"/>
    </row>
    <row r="144" spans="1:110" s="260" customFormat="1" ht="21.75" customHeight="1" thickBot="1">
      <c r="A144" s="259" t="s">
        <v>128</v>
      </c>
      <c r="B144" s="672" t="str">
        <f>IF(B143="",IF(D143="",B142,B142+D143),IF(D143="",B142+B143,B142+B143+D143))</f>
        <v/>
      </c>
      <c r="C144" s="673"/>
      <c r="D144" s="674"/>
      <c r="E144" s="672" t="str">
        <f>IF(E143="",IF(G143="",E142,E142+G143),IF(G143="",E142+E143,E142+E143+G143))</f>
        <v/>
      </c>
      <c r="F144" s="673"/>
      <c r="G144" s="674"/>
      <c r="H144" s="672" t="str">
        <f>IF(H143="",IF(J143="",H142,H142+J143),IF(J143="",H142+H143,H142+H143+J143))</f>
        <v/>
      </c>
      <c r="I144" s="673"/>
      <c r="J144" s="674"/>
      <c r="K144" s="672" t="str">
        <f>IF(K143="",IF(M143="",K142,K142+M143),IF(M143="",K142+K143,K142+K143+M143))</f>
        <v/>
      </c>
      <c r="L144" s="673"/>
      <c r="M144" s="674"/>
      <c r="N144" s="672" t="str">
        <f>IF(N143="",IF(P143="",N142,N142+P143),IF(P143="",N142+N143,N142+N143+P143))</f>
        <v/>
      </c>
      <c r="O144" s="673"/>
      <c r="P144" s="674"/>
      <c r="Q144" s="672" t="str">
        <f>IF(Q143="",IF(S143="",Q142,Q142+S143),IF(S143="",Q142+Q143,Q142+Q143+S143))</f>
        <v/>
      </c>
      <c r="R144" s="673"/>
      <c r="S144" s="674"/>
      <c r="T144" s="672" t="str">
        <f>IF(T143="",IF(V143="",T142,T142+V143),IF(V143="",T142+T143,T142+T143+V143))</f>
        <v/>
      </c>
      <c r="U144" s="673"/>
      <c r="V144" s="674"/>
      <c r="W144" s="672" t="str">
        <f>IF(W143="",IF(Y143="",W142,W142+Y143),IF(Y143="",W142+W143,W142+W143+Y143))</f>
        <v/>
      </c>
      <c r="X144" s="673"/>
      <c r="Y144" s="674"/>
      <c r="Z144" s="672" t="str">
        <f>IF(Z143="",IF(AB143="",Z142,Z142+AB143),IF(AB143="",Z142+Z143,Z142+Z143+AB143))</f>
        <v/>
      </c>
      <c r="AA144" s="673"/>
      <c r="AB144" s="674"/>
      <c r="AC144" s="39"/>
      <c r="AK144" s="39"/>
      <c r="AL144" s="39"/>
      <c r="AO144" s="39"/>
      <c r="AP144" s="39"/>
      <c r="AQ144" s="39"/>
      <c r="AR144" s="39"/>
      <c r="BB144" s="27"/>
      <c r="BC144" s="401"/>
      <c r="BD144" s="398"/>
      <c r="BE144" s="391"/>
      <c r="BF144" s="396"/>
      <c r="BG144" s="396"/>
      <c r="BH144" s="396"/>
      <c r="BI144" s="396"/>
      <c r="BJ144" s="396"/>
      <c r="BK144" s="30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431"/>
      <c r="CN144" s="210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</row>
    <row r="145" spans="1:110" ht="21.75" customHeight="1">
      <c r="BB145" s="260"/>
      <c r="BC145" s="401"/>
      <c r="BD145" s="398"/>
      <c r="BE145" s="391"/>
      <c r="BK145" s="30"/>
      <c r="BL145" s="243"/>
      <c r="BM145" s="243"/>
      <c r="BN145" s="243"/>
      <c r="BO145" s="243"/>
      <c r="BP145" s="243"/>
      <c r="BQ145" s="243"/>
      <c r="BR145" s="243"/>
      <c r="BS145" s="243"/>
      <c r="BT145" s="243"/>
      <c r="BU145" s="243"/>
      <c r="BV145" s="243"/>
      <c r="BW145" s="243"/>
      <c r="BX145" s="243"/>
      <c r="BY145" s="243"/>
      <c r="BZ145" s="243"/>
      <c r="CA145" s="243"/>
      <c r="CB145" s="243"/>
      <c r="CC145" s="243"/>
      <c r="CD145" s="243"/>
      <c r="CE145" s="243"/>
      <c r="CF145" s="243"/>
      <c r="CG145" s="243"/>
      <c r="CH145" s="243"/>
      <c r="CI145" s="243"/>
      <c r="CJ145" s="243"/>
      <c r="CK145" s="243"/>
      <c r="CL145" s="243"/>
      <c r="CM145" s="478"/>
      <c r="CO145" s="260"/>
      <c r="CP145" s="260"/>
      <c r="CQ145" s="260"/>
      <c r="CR145" s="260"/>
      <c r="CS145" s="260"/>
      <c r="CT145" s="260"/>
      <c r="CU145" s="260"/>
      <c r="CV145" s="260"/>
      <c r="CW145" s="260"/>
      <c r="CX145" s="260"/>
      <c r="CY145" s="260"/>
      <c r="CZ145" s="260"/>
      <c r="DA145" s="260"/>
      <c r="DB145" s="260"/>
      <c r="DC145" s="260"/>
      <c r="DD145" s="260"/>
      <c r="DE145" s="260"/>
      <c r="DF145" s="260"/>
    </row>
    <row r="146" spans="1:110" s="263" customFormat="1" ht="21.75" customHeight="1" thickBot="1">
      <c r="A146" s="626">
        <f>+A9</f>
        <v>8</v>
      </c>
      <c r="B146" s="626"/>
      <c r="C146" s="626"/>
      <c r="D146" s="626"/>
      <c r="E146" s="626"/>
      <c r="F146" s="627"/>
      <c r="G146" s="627"/>
      <c r="H146" s="627"/>
      <c r="I146" s="627"/>
      <c r="J146" s="628" t="s">
        <v>134</v>
      </c>
      <c r="K146" s="628"/>
      <c r="L146" s="271" t="str">
        <f>+K9</f>
        <v>X - X</v>
      </c>
      <c r="M146" s="262"/>
      <c r="N146" s="404"/>
      <c r="O146" s="402"/>
      <c r="P146" s="262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401"/>
      <c r="BD146" s="398"/>
      <c r="BE146" s="391"/>
      <c r="BF146" s="397"/>
      <c r="BG146" s="397"/>
      <c r="BH146" s="397"/>
      <c r="BI146" s="397"/>
      <c r="BJ146" s="397"/>
      <c r="BK146" s="393"/>
      <c r="BL146" s="244"/>
      <c r="BM146" s="244"/>
      <c r="BN146" s="244"/>
      <c r="BO146" s="244"/>
      <c r="BP146" s="244"/>
      <c r="BQ146" s="244"/>
      <c r="BR146" s="244"/>
      <c r="BS146" s="244"/>
      <c r="BT146" s="244"/>
      <c r="BU146" s="244"/>
      <c r="BV146" s="244"/>
      <c r="BW146" s="244"/>
      <c r="BX146" s="244"/>
      <c r="BY146" s="244"/>
      <c r="BZ146" s="244"/>
      <c r="CA146" s="244"/>
      <c r="CB146" s="244"/>
      <c r="CC146" s="244"/>
      <c r="CD146" s="244"/>
      <c r="CE146" s="244"/>
      <c r="CF146" s="244"/>
      <c r="CG146" s="244"/>
      <c r="CH146" s="244"/>
      <c r="CI146" s="244"/>
      <c r="CJ146" s="244"/>
      <c r="CK146" s="244"/>
      <c r="CL146" s="244"/>
      <c r="CM146" s="431"/>
      <c r="CN146" s="260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</row>
    <row r="147" spans="1:110" s="263" customFormat="1" ht="21.75" customHeight="1" thickTop="1">
      <c r="A147" s="686" t="str">
        <f>+Espesor!$J$3</f>
        <v>Techo</v>
      </c>
      <c r="B147" s="686"/>
      <c r="C147" s="687" t="s">
        <v>136</v>
      </c>
      <c r="D147" s="687"/>
      <c r="E147" s="264" t="str">
        <f>IF(B9="","",B9)</f>
        <v/>
      </c>
      <c r="F147" s="264" t="str">
        <f t="shared" ref="F147:M147" si="219">IF(C9="","",C9)</f>
        <v/>
      </c>
      <c r="G147" s="264" t="str">
        <f t="shared" si="219"/>
        <v/>
      </c>
      <c r="H147" s="264" t="str">
        <f t="shared" si="219"/>
        <v/>
      </c>
      <c r="I147" s="264" t="str">
        <f t="shared" si="219"/>
        <v/>
      </c>
      <c r="J147" s="264" t="str">
        <f t="shared" si="219"/>
        <v/>
      </c>
      <c r="K147" s="264" t="str">
        <f t="shared" si="219"/>
        <v/>
      </c>
      <c r="L147" s="264" t="str">
        <f t="shared" si="219"/>
        <v/>
      </c>
      <c r="M147" s="264" t="str">
        <f t="shared" si="219"/>
        <v/>
      </c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264"/>
      <c r="BC147" s="401"/>
      <c r="BD147" s="398"/>
      <c r="BE147" s="391"/>
      <c r="BF147" s="397"/>
      <c r="BG147" s="397"/>
      <c r="BH147" s="397"/>
      <c r="BI147" s="397"/>
      <c r="BJ147" s="397"/>
      <c r="BK147" s="393"/>
      <c r="BL147" s="389"/>
      <c r="BM147" s="389"/>
      <c r="BN147" s="389"/>
      <c r="BO147" s="389"/>
      <c r="BP147" s="389"/>
      <c r="BQ147" s="389"/>
      <c r="BR147" s="389"/>
      <c r="BS147" s="389"/>
      <c r="BT147" s="389"/>
      <c r="BU147" s="389"/>
      <c r="BV147" s="389"/>
      <c r="BW147" s="389"/>
      <c r="BX147" s="389"/>
      <c r="BY147" s="389"/>
      <c r="BZ147" s="389"/>
      <c r="CA147" s="389"/>
      <c r="CB147" s="389"/>
      <c r="CC147" s="389"/>
      <c r="CD147" s="389"/>
      <c r="CE147" s="389"/>
      <c r="CF147" s="389"/>
      <c r="CG147" s="389"/>
      <c r="CH147" s="389"/>
      <c r="CI147" s="389"/>
      <c r="CJ147" s="389"/>
      <c r="CK147" s="389"/>
      <c r="CL147" s="389"/>
      <c r="CM147" s="472"/>
      <c r="CN147" s="27"/>
    </row>
    <row r="148" spans="1:110" s="28" customFormat="1" ht="21.75" customHeight="1">
      <c r="A148" s="238"/>
      <c r="B148" s="239"/>
      <c r="C148" s="240"/>
      <c r="D148" s="240"/>
      <c r="E148" s="240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  <c r="AO148" s="263"/>
      <c r="AP148" s="263"/>
      <c r="AQ148" s="263"/>
      <c r="AR148" s="263"/>
      <c r="AS148" s="263"/>
      <c r="AT148" s="263"/>
      <c r="AU148" s="263"/>
      <c r="AV148" s="263"/>
      <c r="AW148" s="263"/>
      <c r="AX148" s="263"/>
      <c r="AY148" s="263"/>
      <c r="AZ148" s="263"/>
      <c r="BA148" s="263"/>
      <c r="BB148" s="263"/>
      <c r="BC148" s="401"/>
      <c r="BD148" s="398"/>
      <c r="BE148" s="391"/>
      <c r="BK148" s="278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472"/>
      <c r="CN148" s="263"/>
      <c r="CO148" s="263"/>
      <c r="CP148" s="263"/>
      <c r="CQ148" s="263"/>
      <c r="CR148" s="263"/>
      <c r="CS148" s="263"/>
      <c r="CT148" s="263"/>
      <c r="CU148" s="263"/>
      <c r="CV148" s="263"/>
      <c r="CW148" s="263"/>
      <c r="CX148" s="263"/>
      <c r="CY148" s="263"/>
      <c r="CZ148" s="263"/>
      <c r="DA148" s="263"/>
      <c r="DB148" s="263"/>
      <c r="DC148" s="263"/>
      <c r="DD148" s="263"/>
      <c r="DE148" s="263"/>
      <c r="DF148" s="263"/>
    </row>
    <row r="149" spans="1:110" s="242" customFormat="1" ht="21.75" customHeight="1" thickBot="1">
      <c r="A149" s="360"/>
      <c r="B149" s="682" t="str">
        <f>IF($E147="","",$E147)</f>
        <v/>
      </c>
      <c r="C149" s="682"/>
      <c r="D149" s="682"/>
      <c r="E149" s="682" t="str">
        <f>IF($F147="","",$F147)</f>
        <v/>
      </c>
      <c r="F149" s="682"/>
      <c r="G149" s="682"/>
      <c r="H149" s="682" t="str">
        <f>IF($G147="","",$G147)</f>
        <v/>
      </c>
      <c r="I149" s="682"/>
      <c r="J149" s="682"/>
      <c r="K149" s="682" t="str">
        <f>IF($H147="","",$H147)</f>
        <v/>
      </c>
      <c r="L149" s="682"/>
      <c r="M149" s="682"/>
      <c r="N149" s="682" t="str">
        <f>IF($I147="","",$I147)</f>
        <v/>
      </c>
      <c r="O149" s="682"/>
      <c r="P149" s="682"/>
      <c r="Q149" s="682" t="str">
        <f>IF($J147="","",$J147)</f>
        <v/>
      </c>
      <c r="R149" s="682"/>
      <c r="S149" s="682"/>
      <c r="T149" s="682" t="str">
        <f>IF($K147="","",$K147)</f>
        <v/>
      </c>
      <c r="U149" s="682"/>
      <c r="V149" s="682"/>
      <c r="W149" s="682" t="str">
        <f>IF($L147="","",$L147)</f>
        <v/>
      </c>
      <c r="X149" s="682"/>
      <c r="Y149" s="682"/>
      <c r="Z149" s="682" t="str">
        <f>IF($M147="","",$M147)</f>
        <v/>
      </c>
      <c r="AA149" s="682"/>
      <c r="AB149" s="682"/>
      <c r="AC149" s="420"/>
      <c r="AD149" s="624" t="s">
        <v>64</v>
      </c>
      <c r="AE149" s="624"/>
      <c r="AF149" s="624"/>
      <c r="AG149" s="624"/>
      <c r="AH149" s="624"/>
      <c r="AI149" s="624"/>
      <c r="AJ149" s="624"/>
      <c r="AK149" s="624"/>
      <c r="AL149" s="624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8"/>
      <c r="BC149" s="401"/>
      <c r="BD149" s="398"/>
      <c r="BE149" s="428">
        <f>BE$27</f>
        <v>1</v>
      </c>
      <c r="BF149" s="428">
        <f t="shared" ref="BF149:CL149" si="220">BF$27</f>
        <v>2</v>
      </c>
      <c r="BG149" s="428">
        <f t="shared" si="220"/>
        <v>3</v>
      </c>
      <c r="BH149" s="428">
        <f t="shared" si="220"/>
        <v>4</v>
      </c>
      <c r="BI149" s="428">
        <f t="shared" si="220"/>
        <v>5</v>
      </c>
      <c r="BJ149" s="428">
        <f t="shared" si="220"/>
        <v>6</v>
      </c>
      <c r="BK149" s="428">
        <f t="shared" si="220"/>
        <v>7</v>
      </c>
      <c r="BL149" s="428">
        <f t="shared" si="220"/>
        <v>8</v>
      </c>
      <c r="BM149" s="428">
        <f t="shared" si="220"/>
        <v>9</v>
      </c>
      <c r="BN149" s="428">
        <f t="shared" si="220"/>
        <v>10</v>
      </c>
      <c r="BO149" s="428">
        <f t="shared" si="220"/>
        <v>11</v>
      </c>
      <c r="BP149" s="428">
        <f t="shared" si="220"/>
        <v>12</v>
      </c>
      <c r="BQ149" s="428">
        <f t="shared" si="220"/>
        <v>13</v>
      </c>
      <c r="BR149" s="428">
        <f t="shared" si="220"/>
        <v>14</v>
      </c>
      <c r="BS149" s="428">
        <f t="shared" si="220"/>
        <v>15</v>
      </c>
      <c r="BT149" s="428">
        <f t="shared" si="220"/>
        <v>16</v>
      </c>
      <c r="BU149" s="428">
        <f t="shared" si="220"/>
        <v>17</v>
      </c>
      <c r="BV149" s="428">
        <f t="shared" si="220"/>
        <v>18</v>
      </c>
      <c r="BW149" s="428">
        <f t="shared" si="220"/>
        <v>19</v>
      </c>
      <c r="BX149" s="428">
        <f t="shared" si="220"/>
        <v>20</v>
      </c>
      <c r="BY149" s="428">
        <f t="shared" si="220"/>
        <v>21</v>
      </c>
      <c r="BZ149" s="428">
        <f t="shared" si="220"/>
        <v>22</v>
      </c>
      <c r="CA149" s="428">
        <f t="shared" si="220"/>
        <v>23</v>
      </c>
      <c r="CB149" s="428">
        <f t="shared" si="220"/>
        <v>24</v>
      </c>
      <c r="CC149" s="428">
        <f t="shared" si="220"/>
        <v>25</v>
      </c>
      <c r="CD149" s="428">
        <f t="shared" si="220"/>
        <v>26</v>
      </c>
      <c r="CE149" s="428">
        <f t="shared" si="220"/>
        <v>27</v>
      </c>
      <c r="CF149" s="428">
        <f t="shared" si="220"/>
        <v>28</v>
      </c>
      <c r="CG149" s="428">
        <f t="shared" si="220"/>
        <v>29</v>
      </c>
      <c r="CH149" s="428">
        <f t="shared" si="220"/>
        <v>30</v>
      </c>
      <c r="CI149" s="428">
        <f t="shared" si="220"/>
        <v>31</v>
      </c>
      <c r="CJ149" s="428">
        <f t="shared" si="220"/>
        <v>32</v>
      </c>
      <c r="CK149" s="428">
        <f t="shared" si="220"/>
        <v>33</v>
      </c>
      <c r="CL149" s="428">
        <f t="shared" si="220"/>
        <v>34</v>
      </c>
      <c r="CM149" s="431"/>
      <c r="CN149" s="263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</row>
    <row r="150" spans="1:110" s="245" customFormat="1" ht="21.75" customHeight="1" thickBot="1">
      <c r="A150" s="413" t="s">
        <v>3</v>
      </c>
      <c r="B150" s="683" t="str">
        <f>IF(B149="","",IF(K9="X - X",VLOOKUP(B149,Espesor!$C$8:$E$41,2,0),VLOOKUP(B149,Espesor!$C$8:$E$41,3,0)))</f>
        <v/>
      </c>
      <c r="C150" s="684"/>
      <c r="D150" s="685"/>
      <c r="E150" s="683" t="str">
        <f>IF(E149="","",IF(K9="X - X",VLOOKUP(E149,Espesor!$C$8:$E$41,2,0),VLOOKUP(E149,Espesor!$C$8:$E$41,3,0)))</f>
        <v/>
      </c>
      <c r="F150" s="684"/>
      <c r="G150" s="685"/>
      <c r="H150" s="683" t="str">
        <f>IF(H149="","",IF(K9="X - X",VLOOKUP(H149,Espesor!$C$8:$E$41,2,0),VLOOKUP(H149,Espesor!$C$8:$E$41,3,0)))</f>
        <v/>
      </c>
      <c r="I150" s="684"/>
      <c r="J150" s="685"/>
      <c r="K150" s="683" t="str">
        <f>IF(K149="","",IF(K9="X - X",VLOOKUP(K149,Espesor!$C$8:$E$41,2,0),VLOOKUP(K149,Espesor!$C$8:$E$41,3,0)))</f>
        <v/>
      </c>
      <c r="L150" s="684"/>
      <c r="M150" s="685"/>
      <c r="N150" s="683" t="str">
        <f>IF(N149="","",IF(K9="X - X",VLOOKUP(N149,Espesor!$C$8:$E$41,2,0),VLOOKUP(N149,Espesor!$C$8:$E$41,3,0)))</f>
        <v/>
      </c>
      <c r="O150" s="684"/>
      <c r="P150" s="685"/>
      <c r="Q150" s="683" t="str">
        <f>IF(Q149="","",IF(K9="X - X",VLOOKUP(Q149,Espesor!$C$8:$E$41,2,0),VLOOKUP(Q149,Espesor!$C$8:$E$41,3,0)))</f>
        <v/>
      </c>
      <c r="R150" s="684"/>
      <c r="S150" s="685"/>
      <c r="T150" s="683" t="str">
        <f>IF(T149="","",IF(K9="X - X",VLOOKUP(T149,Espesor!$C$8:$E$41,2,0),VLOOKUP(T149,Espesor!$C$8:$E$41,3,0)))</f>
        <v/>
      </c>
      <c r="U150" s="684"/>
      <c r="V150" s="685"/>
      <c r="W150" s="683" t="str">
        <f>IF(W149="","",IF(K9="X - X",VLOOKUP(W149,Espesor!$C$8:$E$41,2,0),VLOOKUP(W149,Espesor!$C$8:$E$41,3,0)))</f>
        <v/>
      </c>
      <c r="X150" s="684"/>
      <c r="Y150" s="685"/>
      <c r="Z150" s="683" t="str">
        <f>IF(Z149="","",IF(K9="X - X",VLOOKUP(Z149,Espesor!$C$8:$E$41,2,0),VLOOKUP(Z149,Espesor!$C$8:$E$41,3,0)))</f>
        <v/>
      </c>
      <c r="AA150" s="684"/>
      <c r="AB150" s="685"/>
      <c r="AC150" s="380"/>
      <c r="AD150" s="287">
        <f>+A125</f>
        <v>0</v>
      </c>
      <c r="AE150" s="325" t="str">
        <f>+IF(B125="","",B125)</f>
        <v/>
      </c>
      <c r="AF150" s="325" t="str">
        <f>+IF(C125="","",C125)</f>
        <v/>
      </c>
      <c r="AG150" s="325" t="str">
        <f t="shared" ref="AG150" si="221">+IF(D125="","",D125)</f>
        <v/>
      </c>
      <c r="AH150" s="325" t="str">
        <f t="shared" ref="AH150" si="222">+IF(E125="","",E125)</f>
        <v/>
      </c>
      <c r="AI150" s="325" t="str">
        <f t="shared" ref="AI150" si="223">+IF(F125="","",F125)</f>
        <v/>
      </c>
      <c r="AJ150" s="325" t="str">
        <f t="shared" ref="AJ150" si="224">+IF(G125="","",G125)</f>
        <v/>
      </c>
      <c r="AK150" s="325" t="str">
        <f t="shared" ref="AK150" si="225">+IF(H125="","",H125)</f>
        <v/>
      </c>
      <c r="AL150" s="325" t="str">
        <f t="shared" ref="AL150" si="226">+IF(I125="","",I125)</f>
        <v/>
      </c>
      <c r="AM150" s="325" t="str">
        <f t="shared" ref="AM150" si="227">+IF(J125="","",J125)</f>
        <v/>
      </c>
      <c r="AN150" s="242"/>
      <c r="AO150" s="242"/>
      <c r="AP150" s="242"/>
      <c r="AQ150" s="242"/>
      <c r="AR150" s="242"/>
      <c r="AS150" s="242"/>
      <c r="AT150" s="242"/>
      <c r="AU150" s="242"/>
      <c r="AV150" s="242"/>
      <c r="AW150" s="242"/>
      <c r="AX150" s="242"/>
      <c r="AY150" s="242"/>
      <c r="AZ150" s="242"/>
      <c r="BA150" s="242"/>
      <c r="BB150" s="242"/>
      <c r="BC150" s="422">
        <f>+A146</f>
        <v>8</v>
      </c>
      <c r="BD150" s="398" t="s">
        <v>153</v>
      </c>
      <c r="BE150" s="429">
        <f>IF(BE149=$B$149,$B$161,IF(BE149=$E$149,$E$161,IF(BE149=$H$149,$H$161,IF(BE149=$K$149,$K$161,IF(BE149=$N$149,$N$161,IF(BE149=$Q$149,$Q$161,IF(BE149=$T$149,$T$161,IF(BE149=$W$149,$W$161,IF(BE149=$Z$149,$Z$161,0)))))))))</f>
        <v>0</v>
      </c>
      <c r="BF150" s="429">
        <f t="shared" ref="BF150:CL150" si="228">IF(BF149=$B$149,$B$161,IF(BF149=$E$149,$E$161,IF(BF149=$H$149,$H$161,IF(BF149=$K$149,$K$161,IF(BF149=$N$149,$N$161,IF(BF149=$Q$149,$Q$161,IF(BF149=$T$149,$T$161,IF(BF149=$W$149,$W$161,IF(BF149=$Z$149,$Z$161,0)))))))))</f>
        <v>0</v>
      </c>
      <c r="BG150" s="429">
        <f t="shared" si="228"/>
        <v>0</v>
      </c>
      <c r="BH150" s="429">
        <f t="shared" si="228"/>
        <v>0</v>
      </c>
      <c r="BI150" s="429">
        <f t="shared" si="228"/>
        <v>0</v>
      </c>
      <c r="BJ150" s="429">
        <f t="shared" si="228"/>
        <v>0</v>
      </c>
      <c r="BK150" s="429">
        <f t="shared" si="228"/>
        <v>0</v>
      </c>
      <c r="BL150" s="429">
        <f t="shared" si="228"/>
        <v>0</v>
      </c>
      <c r="BM150" s="429">
        <f t="shared" si="228"/>
        <v>0</v>
      </c>
      <c r="BN150" s="429">
        <f t="shared" si="228"/>
        <v>0</v>
      </c>
      <c r="BO150" s="429">
        <f t="shared" si="228"/>
        <v>0</v>
      </c>
      <c r="BP150" s="429">
        <f t="shared" si="228"/>
        <v>0</v>
      </c>
      <c r="BQ150" s="429">
        <f t="shared" si="228"/>
        <v>0</v>
      </c>
      <c r="BR150" s="429">
        <f t="shared" si="228"/>
        <v>0</v>
      </c>
      <c r="BS150" s="429">
        <f t="shared" si="228"/>
        <v>0</v>
      </c>
      <c r="BT150" s="429">
        <f t="shared" si="228"/>
        <v>0</v>
      </c>
      <c r="BU150" s="429">
        <f t="shared" si="228"/>
        <v>0</v>
      </c>
      <c r="BV150" s="429">
        <f t="shared" si="228"/>
        <v>0</v>
      </c>
      <c r="BW150" s="429">
        <f t="shared" si="228"/>
        <v>0</v>
      </c>
      <c r="BX150" s="429">
        <f t="shared" si="228"/>
        <v>0</v>
      </c>
      <c r="BY150" s="429">
        <f t="shared" si="228"/>
        <v>0</v>
      </c>
      <c r="BZ150" s="429">
        <f t="shared" si="228"/>
        <v>0</v>
      </c>
      <c r="CA150" s="429">
        <f t="shared" si="228"/>
        <v>0</v>
      </c>
      <c r="CB150" s="429">
        <f t="shared" si="228"/>
        <v>0</v>
      </c>
      <c r="CC150" s="429">
        <f t="shared" si="228"/>
        <v>0</v>
      </c>
      <c r="CD150" s="429">
        <f t="shared" si="228"/>
        <v>0</v>
      </c>
      <c r="CE150" s="429">
        <f t="shared" si="228"/>
        <v>0</v>
      </c>
      <c r="CF150" s="429">
        <f t="shared" si="228"/>
        <v>0</v>
      </c>
      <c r="CG150" s="429">
        <f t="shared" si="228"/>
        <v>0</v>
      </c>
      <c r="CH150" s="429">
        <f t="shared" si="228"/>
        <v>0</v>
      </c>
      <c r="CI150" s="429">
        <f t="shared" si="228"/>
        <v>0</v>
      </c>
      <c r="CJ150" s="429">
        <f t="shared" si="228"/>
        <v>0</v>
      </c>
      <c r="CK150" s="429">
        <f t="shared" si="228"/>
        <v>0</v>
      </c>
      <c r="CL150" s="429">
        <f t="shared" si="228"/>
        <v>0</v>
      </c>
      <c r="CM150" s="473"/>
      <c r="CN150" s="28"/>
      <c r="CO150" s="242"/>
      <c r="CP150" s="242"/>
      <c r="CQ150" s="242"/>
      <c r="CR150" s="242"/>
      <c r="CS150" s="242"/>
      <c r="CT150" s="242"/>
      <c r="CU150" s="242"/>
      <c r="CV150" s="242"/>
      <c r="CW150" s="242"/>
      <c r="CX150" s="242"/>
      <c r="CY150" s="242"/>
      <c r="CZ150" s="242"/>
      <c r="DA150" s="242"/>
      <c r="DB150" s="242"/>
      <c r="DC150" s="242"/>
      <c r="DD150" s="242"/>
      <c r="DE150" s="242"/>
      <c r="DF150" s="242"/>
    </row>
    <row r="151" spans="1:110" s="246" customFormat="1" ht="23.25" customHeight="1" thickBot="1">
      <c r="A151" s="257" t="s">
        <v>65</v>
      </c>
      <c r="B151" s="679" t="str">
        <f>+IF(B149="","",IF(LOOKUP(B149,Espesor!$C$8:$C$41,Espesor!$K$8:$K$41)="en voladizo","",0.75/B150))</f>
        <v/>
      </c>
      <c r="C151" s="680"/>
      <c r="D151" s="681"/>
      <c r="E151" s="679" t="str">
        <f>IF(E149="","",IF(LOOKUP(E149,Espesor!$C$8:$C$41,Espesor!$K$8:$K$41)="en voladizo","",IF(H149="",0.75/E150,1/E150)))</f>
        <v/>
      </c>
      <c r="F151" s="680"/>
      <c r="G151" s="681"/>
      <c r="H151" s="679" t="str">
        <f>IF(H149="","",IF(LOOKUP(H149,Espesor!$C$8:$C$41,Espesor!$K$8:$K$41)="en voladizo","",IF(K149="",0.75/H150,1/H150)))</f>
        <v/>
      </c>
      <c r="I151" s="680"/>
      <c r="J151" s="681"/>
      <c r="K151" s="679" t="str">
        <f>IF(K149="","",IF(LOOKUP(K149,Espesor!$C$8:$C$41,Espesor!$K$8:$K$41)="en voladizo","",IF(N149="",0.75/K150,1/K150)))</f>
        <v/>
      </c>
      <c r="L151" s="680"/>
      <c r="M151" s="681"/>
      <c r="N151" s="679" t="str">
        <f>IF(N149="","",IF(LOOKUP(N149,Espesor!$C$8:$C$41,Espesor!$K$8:$K$41)="en voladizo","",IF(Q149="",0.75/N150,1/N150)))</f>
        <v/>
      </c>
      <c r="O151" s="680"/>
      <c r="P151" s="681"/>
      <c r="Q151" s="679" t="str">
        <f>IF(Q149="","",IF(LOOKUP(Q149,Espesor!$C$8:$C$41,Espesor!$K$8:$K$41)="en voladizo","",IF(T149="",0.75/Q150,1/Q150)))</f>
        <v/>
      </c>
      <c r="R151" s="680"/>
      <c r="S151" s="681"/>
      <c r="T151" s="679" t="str">
        <f>IF(T149="","",IF(LOOKUP(T149,Espesor!$C$8:$C$41,Espesor!$K$8:$K$41)="en voladizo","",IF(W149="",0.75/T150,1/T150)))</f>
        <v/>
      </c>
      <c r="U151" s="680"/>
      <c r="V151" s="681"/>
      <c r="W151" s="679" t="str">
        <f>IF(W149="","",IF(LOOKUP(W149,Espesor!$C$8:$C$41,Espesor!$K$8:$K$41)="en voladizo","",IF(Z149="",0.75/W150,1/W150)))</f>
        <v/>
      </c>
      <c r="X151" s="680"/>
      <c r="Y151" s="681"/>
      <c r="Z151" s="679" t="str">
        <f>IF(Z149="","",IF(LOOKUP(Z149,Espesor!$C$8:$C$41,Espesor!$K$8:$K$41)="en voladizo","",IF(AC149="",0.75/Z150,1/Z150)))</f>
        <v/>
      </c>
      <c r="AA151" s="680"/>
      <c r="AB151" s="681"/>
      <c r="AC151" s="210"/>
      <c r="AD151" s="338" t="s">
        <v>4</v>
      </c>
      <c r="AE151" s="322" t="s">
        <v>3</v>
      </c>
      <c r="AF151" s="339" t="s">
        <v>138</v>
      </c>
      <c r="AG151" s="637" t="s">
        <v>139</v>
      </c>
      <c r="AH151" s="638"/>
      <c r="AI151" s="638"/>
      <c r="AJ151" s="639"/>
      <c r="AK151" s="640" t="s">
        <v>142</v>
      </c>
      <c r="AL151" s="641"/>
      <c r="AM151" s="637" t="s">
        <v>143</v>
      </c>
      <c r="AN151" s="639"/>
      <c r="AO151" s="642" t="s">
        <v>144</v>
      </c>
      <c r="AP151" s="643"/>
      <c r="AQ151" s="643"/>
      <c r="AR151" s="644"/>
      <c r="AS151" s="642" t="s">
        <v>145</v>
      </c>
      <c r="AT151" s="643"/>
      <c r="AU151" s="644"/>
      <c r="AV151" s="645" t="s">
        <v>157</v>
      </c>
      <c r="AW151" s="646"/>
      <c r="AX151" s="646"/>
      <c r="AY151" s="646"/>
      <c r="AZ151" s="646"/>
      <c r="BA151" s="647"/>
      <c r="BB151" s="245"/>
      <c r="BC151" s="422"/>
      <c r="BD151" s="398"/>
      <c r="BE151" s="429"/>
      <c r="BF151" s="389"/>
      <c r="BG151" s="389"/>
      <c r="BH151" s="389"/>
      <c r="BI151" s="389"/>
      <c r="BJ151" s="389"/>
      <c r="BK151" s="396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432"/>
      <c r="CN151" s="242"/>
      <c r="CO151" s="245"/>
      <c r="CP151" s="245"/>
      <c r="CQ151" s="245"/>
      <c r="CR151" s="245"/>
      <c r="CS151" s="245"/>
      <c r="CT151" s="245"/>
      <c r="CU151" s="245"/>
      <c r="CV151" s="245"/>
      <c r="CW151" s="245"/>
      <c r="CX151" s="245"/>
      <c r="CY151" s="245"/>
      <c r="CZ151" s="245"/>
      <c r="DA151" s="245"/>
      <c r="DB151" s="245"/>
      <c r="DC151" s="245"/>
      <c r="DD151" s="245"/>
      <c r="DE151" s="245"/>
      <c r="DF151" s="245"/>
    </row>
    <row r="152" spans="1:110" s="32" customFormat="1" ht="21.75" customHeight="1">
      <c r="A152" s="247" t="s">
        <v>123</v>
      </c>
      <c r="B152" s="29"/>
      <c r="C152" s="30"/>
      <c r="D152" s="31">
        <f>IF(B151="",0,IF(E151="",0,ROUND(B151/(B151+E151),3)))</f>
        <v>0</v>
      </c>
      <c r="E152" s="29">
        <f>IF(E151="",0,IF(B151="",0,ROUND(E151/(E151+B151),3)))</f>
        <v>0</v>
      </c>
      <c r="F152" s="30"/>
      <c r="G152" s="31">
        <f>IF(E151="",0,IF(H151="",0,ROUND(E151/(E151+H151),3)))</f>
        <v>0</v>
      </c>
      <c r="H152" s="29">
        <f>IF(H151="",0,IF(E151="",0,ROUND(H151/(H151+E151),3)))</f>
        <v>0</v>
      </c>
      <c r="I152" s="30"/>
      <c r="J152" s="31">
        <f>IF(H151="",0,IF(K151="",0,ROUND(H151/(H151+K151),3)))</f>
        <v>0</v>
      </c>
      <c r="K152" s="29">
        <f>IF(K151="",0,IF(H151="",0,ROUND(K151/(K151+H151),3)))</f>
        <v>0</v>
      </c>
      <c r="L152" s="30"/>
      <c r="M152" s="31">
        <f>IF(K151="",0,IF(N151="",0,ROUND(K151/(K151+N151),3)))</f>
        <v>0</v>
      </c>
      <c r="N152" s="29">
        <f>IF(N151="",0,IF(K151="",0,ROUND(N151/(N151+K151),3)))</f>
        <v>0</v>
      </c>
      <c r="O152" s="30"/>
      <c r="P152" s="31">
        <f>IF(N151="",0,IF(Q151="",0,ROUND(N151/(N151+Q151),3)))</f>
        <v>0</v>
      </c>
      <c r="Q152" s="29">
        <f>IF(Q151="",0,IF(N151="",0,ROUND(Q151/(Q151+N151),3)))</f>
        <v>0</v>
      </c>
      <c r="R152" s="30"/>
      <c r="S152" s="31">
        <f>IF(Q151="",0,IF(T151="",0,ROUND(Q151/(Q151+T151),3)))</f>
        <v>0</v>
      </c>
      <c r="T152" s="29">
        <f>IF(T151="",0,IF(Q151="",0,ROUND(T151/(T151+Q151),3)))</f>
        <v>0</v>
      </c>
      <c r="U152" s="30"/>
      <c r="V152" s="31">
        <f>IF(T151="",0,IF(W151="",0,ROUND(T151/(T151+W151),3)))</f>
        <v>0</v>
      </c>
      <c r="W152" s="29">
        <f>IF(W151="",0,IF(T151="",0,ROUND(W151/(W151+T151),3)))</f>
        <v>0</v>
      </c>
      <c r="X152" s="30"/>
      <c r="Y152" s="31">
        <f>IF(W151="",0,IF(Z151="",0,ROUND(W151/(W151+Z151),3)))</f>
        <v>0</v>
      </c>
      <c r="Z152" s="29">
        <f>IF(Z151="",0,IF(W151="",0,ROUND(Z151/(Z151+W151),3)))</f>
        <v>0</v>
      </c>
      <c r="AA152" s="30"/>
      <c r="AB152" s="31">
        <f>IF(Z151="",0,IF(AC151="",0,ROUND(Z151/(Z151+AC151),3)))</f>
        <v>0</v>
      </c>
      <c r="AC152" s="29"/>
      <c r="AD152" s="320" t="str">
        <f>+IF(AE150="","",AE150)</f>
        <v/>
      </c>
      <c r="AE152" s="323" t="str">
        <f>IF(B126="","",IF($K$2="X - X",VLOOKUP(B126,Espesor!$C$8:$E$41,2,0),VLOOKUP(B126,Espesor!$C$8:$E$41,3,0)))</f>
        <v/>
      </c>
      <c r="AF152" s="318" t="str">
        <f>+IF(AD152="","",IF(LOOKUP(AD152,Espesor!$C$8:$C$41,Espesor!$K$8:$K$41)="en voladizo","",0.75/AE152))</f>
        <v/>
      </c>
      <c r="AG152" s="648" t="str">
        <f>IF(AF152="","",IF(AF153="","",ROUND(AF152/(AF152+AF153),3)))</f>
        <v/>
      </c>
      <c r="AH152" s="343"/>
      <c r="AI152" s="648" t="str">
        <f>IF(AF153="","",IF(AF152="","",ROUND(AF153/(AF153+AF152),3)))</f>
        <v/>
      </c>
      <c r="AJ152" s="343"/>
      <c r="AK152" s="342">
        <v>0</v>
      </c>
      <c r="AL152" s="316" t="e">
        <f>-IF(B125="","",IF($K$2="X - X",VLOOKUP(B125,'Moms de Empt'!$P$3:$T$36,3,0),VLOOKUP(B125,'Moms de Empt'!$P$3:$T$36,5,0)))</f>
        <v>#VALUE!</v>
      </c>
      <c r="AM152" s="649">
        <f>IF(AD153="",0,IF(LOOKUP(AD153,Espesor!$C$8:$C$41,Espesor!$K$8:$K$41)="en voladizo",MAX(ABS(AL152),ABS(AK153)),-(AK153+AL152)))</f>
        <v>0</v>
      </c>
      <c r="AN152" s="345"/>
      <c r="AO152" s="650" t="str">
        <f>IF(AG152="","",AM152*AG152)</f>
        <v/>
      </c>
      <c r="AP152" s="342"/>
      <c r="AQ152" s="650" t="str">
        <f>IF(AI152="","",AM152*AI152)</f>
        <v/>
      </c>
      <c r="AR152" s="342"/>
      <c r="AS152" s="651" t="e">
        <f>-IF(AM152="","",IF(AL152="",IF(AO152="",0,AO152),IF(AO152="",AL152,AL152+AO152)))</f>
        <v>#VALUE!</v>
      </c>
      <c r="AT152" s="341"/>
      <c r="AU152" s="341" t="e">
        <f>+AS152</f>
        <v>#VALUE!</v>
      </c>
      <c r="AV152" s="329" t="str">
        <f>IF(B125="","",IF(L125="X - X",VLOOKUP(B150,'Moms de Empt'!$P$3:$T$36,2,0),VLOOKUP(B150,'Moms de Empt'!$P$3:$T$36,4,0)))</f>
        <v/>
      </c>
      <c r="AW152" s="653" t="str">
        <f>IF(B152="","",IF(D154="","",IF(ABS(D158)&gt;ABS(D154),-0.5*ABS(D156),0.5*ABS(D156))))</f>
        <v/>
      </c>
      <c r="AX152" s="330"/>
      <c r="AY152" s="653" t="str">
        <f>IF(AV153="","",IF(AV152="","",ROUND(AV153/(AV153+AV152),3)))</f>
        <v/>
      </c>
      <c r="AZ152" s="330"/>
      <c r="BA152" s="331" t="str">
        <f t="shared" ref="BA152:BA159" si="229">+AV152</f>
        <v/>
      </c>
      <c r="BB152" s="246"/>
      <c r="BC152" s="422"/>
      <c r="BD152" s="398"/>
      <c r="BE152" s="429"/>
      <c r="BF152" s="30"/>
      <c r="BG152" s="30"/>
      <c r="BH152" s="30"/>
      <c r="BI152" s="30"/>
      <c r="BJ152" s="30"/>
      <c r="BK152" s="396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477"/>
      <c r="CN152" s="245"/>
      <c r="CO152" s="246"/>
      <c r="CP152" s="246"/>
      <c r="CQ152" s="246"/>
      <c r="CR152" s="246"/>
      <c r="CS152" s="246"/>
      <c r="CT152" s="246"/>
      <c r="CU152" s="246"/>
      <c r="CV152" s="246"/>
      <c r="CW152" s="246"/>
      <c r="CX152" s="246"/>
      <c r="CY152" s="246"/>
      <c r="CZ152" s="246"/>
      <c r="DA152" s="246"/>
      <c r="DB152" s="246"/>
      <c r="DC152" s="246"/>
      <c r="DD152" s="246"/>
      <c r="DE152" s="246"/>
      <c r="DF152" s="246"/>
    </row>
    <row r="153" spans="1:110" s="35" customFormat="1" ht="21.75" customHeight="1">
      <c r="A153" s="248" t="s">
        <v>124</v>
      </c>
      <c r="B153" s="249"/>
      <c r="C153" s="34"/>
      <c r="D153" s="33" t="str">
        <f>IF(B149="","",-VLOOKUP(B149,'Moms de Empt'!$P$3:$T$36,3,0))</f>
        <v/>
      </c>
      <c r="E153" s="34" t="str">
        <f>IF(E149="","",IF($K$9="X - X",VLOOKUP(E149,'Moms de Empt'!$P$3:$T$36,3,0),VLOOKUP(E149,'Moms de Empt'!$P$3:$T$36,5,0)))</f>
        <v/>
      </c>
      <c r="F153" s="34"/>
      <c r="G153" s="33" t="str">
        <f>+IF(H149="","",-E153)</f>
        <v/>
      </c>
      <c r="H153" s="34" t="str">
        <f>IF(H149="","",IF($K$9="X - X",VLOOKUP(H149,'Moms de Empt'!$P$3:$T$36,3,0),VLOOKUP(H149,'Moms de Empt'!$P$3:$T$36,5,0)))</f>
        <v/>
      </c>
      <c r="I153" s="34"/>
      <c r="J153" s="33" t="str">
        <f>+IF(K149="","",-H153)</f>
        <v/>
      </c>
      <c r="K153" s="34" t="str">
        <f>IF(K149="","",IF($K$9="X - X",VLOOKUP(K149,'Moms de Empt'!$P$3:$T$36,3,0),VLOOKUP(K149,'Moms de Empt'!$P$3:$T$36,5,0)))</f>
        <v/>
      </c>
      <c r="L153" s="34"/>
      <c r="M153" s="33" t="str">
        <f>+IF(N149="","",-K153)</f>
        <v/>
      </c>
      <c r="N153" s="34" t="str">
        <f>IF(N149="","",IF($K$9="X - X",VLOOKUP(N149,'Moms de Empt'!$P$3:$T$36,3,0),VLOOKUP(N149,'Moms de Empt'!$P$3:$T$36,5,0)))</f>
        <v/>
      </c>
      <c r="O153" s="34"/>
      <c r="P153" s="33" t="str">
        <f>+IF(Q149="","",-N153)</f>
        <v/>
      </c>
      <c r="Q153" s="34" t="str">
        <f>IF(Q149="","",IF($K$9="X - X",VLOOKUP(Q149,'Moms de Empt'!$P$3:$T$36,3,0),VLOOKUP(Q149,'Moms de Empt'!$P$3:$T$36,5,0)))</f>
        <v/>
      </c>
      <c r="R153" s="34"/>
      <c r="S153" s="33" t="str">
        <f>+IF(T149="","",-Q153)</f>
        <v/>
      </c>
      <c r="T153" s="34" t="str">
        <f>IF(T149="","",IF($K$9="X - X",VLOOKUP(T149,'Moms de Empt'!$P$3:$T$36,3,0),VLOOKUP(T149,'Moms de Empt'!$P$3:$T$36,5,0)))</f>
        <v/>
      </c>
      <c r="U153" s="34"/>
      <c r="V153" s="33" t="str">
        <f>+IF(W149="","",-T153)</f>
        <v/>
      </c>
      <c r="W153" s="34" t="str">
        <f>IF(W149="","",IF($K$9="X - X",VLOOKUP(W149,'Moms de Empt'!$P$3:$T$36,3,0),VLOOKUP(W149,'Moms de Empt'!$P$3:$T$36,5,0)))</f>
        <v/>
      </c>
      <c r="X153" s="34"/>
      <c r="Y153" s="33" t="str">
        <f>+IF(Z149="","",-W153)</f>
        <v/>
      </c>
      <c r="Z153" s="34" t="str">
        <f>IF(Z149="","",IF($K$9="X - X",VLOOKUP(Z149,'Moms de Empt'!$P$3:$T$36,3,0),VLOOKUP(Z149,'Moms de Empt'!$P$3:$T$36,5,0)))</f>
        <v/>
      </c>
      <c r="AA153" s="34"/>
      <c r="AB153" s="33"/>
      <c r="AD153" s="321" t="str">
        <f>+IF(AF150="","",AF150)</f>
        <v/>
      </c>
      <c r="AE153" s="324" t="str">
        <f>IF(C125="","",IF($K$2="X - X",VLOOKUP(C125,Espesor!$C$8:$E$41,2,0),VLOOKUP(C125,Espesor!$C$8:$E$41,3,0)))</f>
        <v/>
      </c>
      <c r="AF153" s="319" t="str">
        <f>IF(AD153="","",IF(LOOKUP(AD153,Espesor!$C$8:$C$41,Espesor!$K$8:$K$41)="en voladizo","",IF(AD154="",0.75/AE153,1/AE153)))</f>
        <v/>
      </c>
      <c r="AG153" s="634"/>
      <c r="AH153" s="634" t="str">
        <f>IF(AF153="","",IF(AF154="","",ROUND(AF153/(AF153+AF154),3)))</f>
        <v/>
      </c>
      <c r="AI153" s="634"/>
      <c r="AJ153" s="634" t="str">
        <f>IF(AF153="","",IF(AF154="","",ROUND(AF154/(AF153+AF154),3)))</f>
        <v/>
      </c>
      <c r="AK153" s="317">
        <f>IF(C125="",0,IF($K$2="X - X",VLOOKUP(C125,'Moms de Empt'!$P$3:$T$36,3,0),VLOOKUP(C125,'Moms de Empt'!$P$3:$T$36,5,0)))</f>
        <v>0</v>
      </c>
      <c r="AL153" s="317">
        <f>+IF(AD154="",0,-AK153)</f>
        <v>0</v>
      </c>
      <c r="AM153" s="629"/>
      <c r="AN153" s="629">
        <f>IF(AD154="",0,IF(LOOKUP(AD154,Espesor!$C$8:$C$41,Espesor!$K$8:$K$41)="en voladizo",MAX(ABS(AL153),ABS(AK154)),-(AK154+AL153)))</f>
        <v>0</v>
      </c>
      <c r="AO153" s="630"/>
      <c r="AP153" s="630" t="str">
        <f>IF(AH153="","",AN153*AH153)</f>
        <v/>
      </c>
      <c r="AQ153" s="630"/>
      <c r="AR153" s="630" t="str">
        <f>IF(AJ153="","",AN153*AJ153)</f>
        <v/>
      </c>
      <c r="AS153" s="652"/>
      <c r="AT153" s="631">
        <f>-IF(AN153="","",IF(AL153="",IF(AP153="",0,AP153),IF(AP153="",AL153,AL153+AP153)))</f>
        <v>0</v>
      </c>
      <c r="AU153" s="341">
        <f>+AT153</f>
        <v>0</v>
      </c>
      <c r="AV153" s="332" t="str">
        <f>IF(E150="","",IF(L125="X - X",VLOOKUP(E150,'Moms de Empt'!$P$3:$T$36,2,0),VLOOKUP(E150,'Moms de Empt'!$P$3:$T$36,4,0)))</f>
        <v/>
      </c>
      <c r="AW153" s="635"/>
      <c r="AX153" s="633" t="str">
        <f>IF(AV153="","",IF(AV154="","",ROUND(AV153/(AV153+AV154),3)))</f>
        <v/>
      </c>
      <c r="AY153" s="635"/>
      <c r="AZ153" s="633" t="str">
        <f>IF(AV153="","",IF(AV154="","",ROUND(AV154/(AV153+AV154),3)))</f>
        <v/>
      </c>
      <c r="BA153" s="331" t="str">
        <f t="shared" si="229"/>
        <v/>
      </c>
      <c r="BB153" s="32"/>
      <c r="BC153" s="422"/>
      <c r="BD153" s="398"/>
      <c r="BE153" s="429"/>
      <c r="BF153" s="392"/>
      <c r="BG153" s="392"/>
      <c r="BH153" s="392"/>
      <c r="BI153" s="392"/>
      <c r="BJ153" s="392"/>
      <c r="BK153" s="397"/>
      <c r="BL153" s="393"/>
      <c r="BM153" s="393"/>
      <c r="BN153" s="393"/>
      <c r="BO153" s="393"/>
      <c r="BP153" s="393"/>
      <c r="BQ153" s="393"/>
      <c r="BR153" s="393"/>
      <c r="BS153" s="393"/>
      <c r="BT153" s="393"/>
      <c r="BU153" s="393"/>
      <c r="BV153" s="393"/>
      <c r="BW153" s="393"/>
      <c r="BX153" s="393"/>
      <c r="BY153" s="393"/>
      <c r="BZ153" s="393"/>
      <c r="CA153" s="393"/>
      <c r="CB153" s="393"/>
      <c r="CC153" s="393"/>
      <c r="CD153" s="393"/>
      <c r="CE153" s="393"/>
      <c r="CF153" s="393"/>
      <c r="CG153" s="393"/>
      <c r="CH153" s="393"/>
      <c r="CI153" s="393"/>
      <c r="CJ153" s="393"/>
      <c r="CK153" s="393"/>
      <c r="CL153" s="393"/>
      <c r="CM153" s="474"/>
      <c r="CN153" s="246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</row>
    <row r="154" spans="1:110" s="279" customFormat="1" ht="21.75" customHeight="1">
      <c r="A154" s="250" t="s">
        <v>125</v>
      </c>
      <c r="B154" s="272"/>
      <c r="C154" s="406"/>
      <c r="D154" s="678">
        <f>+IF(E149="",0,IF(LOOKUP(E149,Espesor!$C$8:$C$41,Espesor!$K$8:$K$41)="en voladizo",IF(LOOKUP(B149,Espesor!$C$8:$C$41,Espesor!$K$8:$K$41)="en voladizo","Inestable",MAX(ABS(D153),ABS(E153))),IF(LOOKUP(B149,Espesor!$C$8:$C$41,Espesor!$K$8:$K$41)="en voladizo",MAX(ABS(D153),ABS(E153)),-(E153+D153))))</f>
        <v>0</v>
      </c>
      <c r="E154" s="678"/>
      <c r="F154" s="406"/>
      <c r="G154" s="678">
        <f>+IF(H149="",0,IF(LOOKUP(H149,Espesor!$C$8:$C$41,Espesor!$K$8:$K$41)="en voladizo",IF(LOOKUP(E149,Espesor!$C$8:$C$41,Espesor!$K$8:$K$41)="en voladizo","Inestable",MAX(ABS(G153),ABS(H153))),IF(LOOKUP(E149,Espesor!$C$8:$C$41,Espesor!$K$8:$K$41)="en voladizo",MAX(ABS(G153),ABS(H153)),-(H153+G153))))</f>
        <v>0</v>
      </c>
      <c r="H154" s="678"/>
      <c r="I154" s="406"/>
      <c r="J154" s="678">
        <f>+IF(K149="",0,IF(LOOKUP(K149,Espesor!$C$8:$C$41,Espesor!$K$8:$K$41)="en voladizo",IF(LOOKUP(H149,Espesor!$C$8:$C$41,Espesor!$K$8:$K$41)="en voladizo","Inestable",MAX(ABS(J153),ABS(K153))),IF(LOOKUP(H149,Espesor!$C$8:$C$41,Espesor!$K$8:$K$41)="en voladizo",MAX(ABS(J153),ABS(K153)),-(K153+J153))))</f>
        <v>0</v>
      </c>
      <c r="K154" s="678"/>
      <c r="L154" s="406"/>
      <c r="M154" s="678">
        <f>+IF(N149="",0,IF(LOOKUP(N149,Espesor!$C$8:$C$41,Espesor!$K$8:$K$41)="en voladizo",IF(LOOKUP(K149,Espesor!$C$8:$C$41,Espesor!$K$8:$K$41)="en voladizo","Inestable",MAX(ABS(M153),ABS(N153))),IF(LOOKUP(K149,Espesor!$C$8:$C$41,Espesor!$K$8:$K$41)="en voladizo",MAX(ABS(M153),ABS(N153)),-(N153+M153))))</f>
        <v>0</v>
      </c>
      <c r="N154" s="678"/>
      <c r="O154" s="406"/>
      <c r="P154" s="678">
        <f>+IF(Q149="",0,IF(LOOKUP(Q149,Espesor!$C$8:$C$41,Espesor!$K$8:$K$41)="en voladizo",IF(LOOKUP(N149,Espesor!$C$8:$C$41,Espesor!$K$8:$K$41)="en voladizo","Inestable",MAX(ABS(P153),ABS(Q153))),IF(LOOKUP(N149,Espesor!$C$8:$C$41,Espesor!$K$8:$K$41)="en voladizo",MAX(ABS(P153),ABS(Q153)),-(Q153+P153))))</f>
        <v>0</v>
      </c>
      <c r="Q154" s="678"/>
      <c r="R154" s="406"/>
      <c r="S154" s="678">
        <f>+IF(T149="",0,IF(LOOKUP(T149,Espesor!$C$8:$C$41,Espesor!$K$8:$K$41)="en voladizo",IF(LOOKUP(Q149,Espesor!$C$8:$C$41,Espesor!$K$8:$K$41)="en voladizo","Inestable",MAX(ABS(S153),ABS(T153))),IF(LOOKUP(Q149,Espesor!$C$8:$C$41,Espesor!$K$8:$K$41)="en voladizo",MAX(ABS(S153),ABS(T153)),-(T153+S153))))</f>
        <v>0</v>
      </c>
      <c r="T154" s="678"/>
      <c r="U154" s="406"/>
      <c r="V154" s="678">
        <f>+IF(W149="",0,IF(LOOKUP(W149,Espesor!$C$8:$C$41,Espesor!$K$8:$K$41)="en voladizo",IF(LOOKUP(T149,Espesor!$C$8:$C$41,Espesor!$K$8:$K$41)="en voladizo","Inestable",MAX(ABS(V153),ABS(W153))),IF(LOOKUP(T149,Espesor!$C$8:$C$41,Espesor!$K$8:$K$41)="en voladizo",MAX(ABS(V153),ABS(W153)),-(W153+V153))))</f>
        <v>0</v>
      </c>
      <c r="W154" s="678"/>
      <c r="X154" s="406"/>
      <c r="Y154" s="678">
        <f>+IF(Z149="",0,IF(LOOKUP(Z149,Espesor!$C$8:$C$41,Espesor!$K$8:$K$41)="en voladizo",IF(LOOKUP(W149,Espesor!$C$8:$C$41,Espesor!$K$8:$K$41)="en voladizo","Inestable",MAX(ABS(Y153),ABS(Z153))),IF(LOOKUP(W149,Espesor!$C$8:$C$41,Espesor!$K$8:$K$41)="en voladizo",MAX(ABS(Y153),ABS(Z153)),-(Z153+Y153))))</f>
        <v>0</v>
      </c>
      <c r="Z154" s="678"/>
      <c r="AA154" s="406"/>
      <c r="AB154" s="252"/>
      <c r="AC154" s="292"/>
      <c r="AD154" s="321" t="str">
        <f>+IF(AG150="","",AG150)</f>
        <v/>
      </c>
      <c r="AE154" s="324" t="str">
        <f>IF(C126="","",IF($K$2="X - X",VLOOKUP(C126,Espesor!$C$8:$E$41,2,0),VLOOKUP(C126,Espesor!$C$8:$E$41,3,0)))</f>
        <v/>
      </c>
      <c r="AF154" s="319" t="str">
        <f>IF(AD154="","",IF(LOOKUP(AD154,Espesor!$C$8:$C$41,Espesor!$K$8:$K$41)="en voladizo","",IF(AD155="",0.75/AE154,1/AE154)))</f>
        <v/>
      </c>
      <c r="AG154" s="634" t="str">
        <f>IF(AF154="","",IF(AF155="","",ROUND(AF154/(AF154+AF155),3)))</f>
        <v/>
      </c>
      <c r="AH154" s="634"/>
      <c r="AI154" s="634" t="str">
        <f>IF(AF155="","",IF(AF154="","",ROUND(AF155/(AF155+AF154),3)))</f>
        <v/>
      </c>
      <c r="AJ154" s="634"/>
      <c r="AK154" s="317">
        <f>IF(D125="",0,IF($K$2="X - X",VLOOKUP(D125,'Moms de Empt'!$P$3:$T$36,3,0),VLOOKUP(D125,'Moms de Empt'!$P$3:$T$36,5,0)))</f>
        <v>0</v>
      </c>
      <c r="AL154" s="317">
        <f>+IF(AD155="",0,-AK154)</f>
        <v>0</v>
      </c>
      <c r="AM154" s="629">
        <f>IF(AD155="",0,IF(LOOKUP(AD155,Espesor!$C$8:$C$41,Espesor!$K$8:$K$41)="en voladizo",MAX(ABS(AL154),ABS(AK155)),-(AK155+AL154)))</f>
        <v>0</v>
      </c>
      <c r="AN154" s="629"/>
      <c r="AO154" s="630" t="str">
        <f>IF(AG154="","",AM154*AG154)</f>
        <v/>
      </c>
      <c r="AP154" s="630"/>
      <c r="AQ154" s="630" t="str">
        <f>IF(AI154="","",AM154*AI154)</f>
        <v/>
      </c>
      <c r="AR154" s="630"/>
      <c r="AS154" s="631">
        <f>-IF(AM154="","",IF(AL154="",IF(AO154="",0,AO154),IF(AO154="",AL154,AL154+AO154)))</f>
        <v>0</v>
      </c>
      <c r="AT154" s="632"/>
      <c r="AU154" s="341">
        <f>+AS154</f>
        <v>0</v>
      </c>
      <c r="AV154" s="332" t="str">
        <f>IF(H150="","",IF(L125="X - X",VLOOKUP(H150,'Moms de Empt'!$P$3:$T$36,2,0),VLOOKUP(H150,'Moms de Empt'!$P$3:$T$36,4,0)))</f>
        <v/>
      </c>
      <c r="AW154" s="635" t="str">
        <f>IF(AV154="","",IF(AV155="","",ROUND(AV154/(AV154+AV155),3)))</f>
        <v/>
      </c>
      <c r="AX154" s="633"/>
      <c r="AY154" s="635" t="str">
        <f>IF(AV155="","",IF(AV154="","",ROUND(AV155/(AV155+AV154),3)))</f>
        <v/>
      </c>
      <c r="AZ154" s="633"/>
      <c r="BA154" s="331" t="str">
        <f t="shared" si="229"/>
        <v/>
      </c>
      <c r="BB154" s="35"/>
      <c r="BC154" s="401"/>
      <c r="BD154" s="398"/>
      <c r="BE154" s="391"/>
      <c r="BF154" s="406"/>
      <c r="BG154" s="406"/>
      <c r="BH154" s="406"/>
      <c r="BI154" s="406"/>
      <c r="BJ154" s="406"/>
      <c r="BK154" s="397"/>
      <c r="BL154" s="393"/>
      <c r="BM154" s="393"/>
      <c r="BN154" s="393"/>
      <c r="BO154" s="393"/>
      <c r="BP154" s="393"/>
      <c r="BQ154" s="393"/>
      <c r="BR154" s="393"/>
      <c r="BS154" s="393"/>
      <c r="BT154" s="393"/>
      <c r="BU154" s="393"/>
      <c r="BV154" s="393"/>
      <c r="BW154" s="393"/>
      <c r="BX154" s="393"/>
      <c r="BY154" s="393"/>
      <c r="BZ154" s="393"/>
      <c r="CA154" s="393"/>
      <c r="CB154" s="393"/>
      <c r="CC154" s="393"/>
      <c r="CD154" s="393"/>
      <c r="CE154" s="393"/>
      <c r="CF154" s="393"/>
      <c r="CG154" s="393"/>
      <c r="CH154" s="393"/>
      <c r="CI154" s="393"/>
      <c r="CJ154" s="393"/>
      <c r="CK154" s="393"/>
      <c r="CL154" s="393"/>
      <c r="CM154" s="475"/>
      <c r="CN154" s="32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</row>
    <row r="155" spans="1:110" s="30" customFormat="1" ht="21.75" customHeight="1">
      <c r="A155" s="253" t="s">
        <v>126</v>
      </c>
      <c r="B155" s="29"/>
      <c r="D155" s="254">
        <f>IF(D152="","",D154*D152)</f>
        <v>0</v>
      </c>
      <c r="E155" s="30">
        <f>IF(E152="","",D154*E152)</f>
        <v>0</v>
      </c>
      <c r="G155" s="277">
        <f>IF(G152="","",G154*G152)</f>
        <v>0</v>
      </c>
      <c r="H155" s="278">
        <f>IF(H152="","",G154*H152)</f>
        <v>0</v>
      </c>
      <c r="J155" s="254">
        <f>IF(J152="","",J154*J152)</f>
        <v>0</v>
      </c>
      <c r="K155" s="30">
        <f>IF(K152="","",J154*K152)</f>
        <v>0</v>
      </c>
      <c r="M155" s="254">
        <f>IF(M152="","",M154*M152)</f>
        <v>0</v>
      </c>
      <c r="N155" s="30">
        <f>IF(N152="","",M154*N152)</f>
        <v>0</v>
      </c>
      <c r="P155" s="254">
        <f>IF(P152="","",P154*P152)</f>
        <v>0</v>
      </c>
      <c r="Q155" s="30">
        <f>IF(Q152="","",P154*Q152)</f>
        <v>0</v>
      </c>
      <c r="S155" s="254">
        <f>IF(S152="","",S154*S152)</f>
        <v>0</v>
      </c>
      <c r="T155" s="30">
        <f>IF(T152="","",S154*T152)</f>
        <v>0</v>
      </c>
      <c r="V155" s="254">
        <f>IF(V152="","",V154*V152)</f>
        <v>0</v>
      </c>
      <c r="W155" s="30">
        <f>IF(W152="","",V154*W152)</f>
        <v>0</v>
      </c>
      <c r="Y155" s="254">
        <f>IF(Y152="","",Y154*Y152)</f>
        <v>0</v>
      </c>
      <c r="Z155" s="30">
        <f>IF(Z152="","",Y154*Z152)</f>
        <v>0</v>
      </c>
      <c r="AB155" s="31"/>
      <c r="AD155" s="321" t="str">
        <f>+IF(AH150="","",AH150)</f>
        <v/>
      </c>
      <c r="AE155" s="324" t="str">
        <f>IF(K150="","",IF($K$2="X - X",VLOOKUP(K150,Espesor!$C$8:$E$41,2,0),VLOOKUP(K150,Espesor!$C$8:$E$41,3,0)))</f>
        <v/>
      </c>
      <c r="AF155" s="319" t="str">
        <f>IF(AD155="","",IF(LOOKUP(AD155,Espesor!$C$8:$C$41,Espesor!$K$8:$K$41)="en voladizo","",IF(AD156="",0.75/AE155,1/AE155)))</f>
        <v/>
      </c>
      <c r="AG155" s="634"/>
      <c r="AH155" s="634" t="str">
        <f>IF(AF155="","",IF(AF156="","",ROUND(AF155/(AF155+AF156),3)))</f>
        <v/>
      </c>
      <c r="AI155" s="634"/>
      <c r="AJ155" s="634" t="str">
        <f>IF(AF155="","",IF(AF156="","",ROUND(AF156/(AF155+AF156),3)))</f>
        <v/>
      </c>
      <c r="AK155" s="317">
        <f>IF(E125="",0,IF($K$2="X - X",VLOOKUP(E125,'Moms de Empt'!$P$3:$T$36,3,0),VLOOKUP(E125,'Moms de Empt'!$P$3:$T$36,5,0)))</f>
        <v>0</v>
      </c>
      <c r="AL155" s="317">
        <f t="shared" ref="AL155:AL157" si="230">+IF(AD156="",0,-AK155)</f>
        <v>0</v>
      </c>
      <c r="AM155" s="629"/>
      <c r="AN155" s="629">
        <f>IF(AD156="",0,IF(LOOKUP(AD156,Espesor!$C$8:$C$41,Espesor!$K$8:$K$41)="en voladizo",MAX(ABS(AL155),ABS(AK156)),-(AK156+AL155)))</f>
        <v>0</v>
      </c>
      <c r="AO155" s="630"/>
      <c r="AP155" s="630" t="str">
        <f t="shared" ref="AP155" si="231">IF(AH155="","",AN155*AH155)</f>
        <v/>
      </c>
      <c r="AQ155" s="630"/>
      <c r="AR155" s="630" t="str">
        <f t="shared" ref="AR155" si="232">IF(AJ155="","",AN155*AJ155)</f>
        <v/>
      </c>
      <c r="AS155" s="632"/>
      <c r="AT155" s="631">
        <f t="shared" ref="AT155" si="233">-IF(AN155="","",IF(AL155="",IF(AP155="",0,AP155),IF(AP155="",AL155,AL155+AP155)))</f>
        <v>0</v>
      </c>
      <c r="AU155" s="341">
        <f>+AT155</f>
        <v>0</v>
      </c>
      <c r="AV155" s="332" t="str">
        <f>IF(K150="","",IF(L125="X - X",VLOOKUP(K150,'Moms de Empt'!$P$3:$T$36,2,0),VLOOKUP(K150,'Moms de Empt'!$P$3:$T$36,4,0)))</f>
        <v/>
      </c>
      <c r="AW155" s="635"/>
      <c r="AX155" s="633" t="str">
        <f>IF(AV155="","",IF(AV156="","",ROUND(AV155/(AV155+AV156),3)))</f>
        <v/>
      </c>
      <c r="AY155" s="635"/>
      <c r="AZ155" s="633" t="str">
        <f>IF(AV155="","",IF(AV156="","",ROUND(AV156/(AV155+AV156),3)))</f>
        <v/>
      </c>
      <c r="BA155" s="331" t="str">
        <f t="shared" si="229"/>
        <v/>
      </c>
      <c r="BB155" s="279"/>
      <c r="BC155" s="401"/>
      <c r="BD155" s="398"/>
      <c r="BE155" s="391"/>
      <c r="BK155" s="28"/>
      <c r="BL155" s="278"/>
      <c r="BM155" s="278"/>
      <c r="BN155" s="278"/>
      <c r="BO155" s="278"/>
      <c r="BP155" s="278"/>
      <c r="BQ155" s="278"/>
      <c r="BR155" s="278"/>
      <c r="BS155" s="278"/>
      <c r="BT155" s="278"/>
      <c r="BU155" s="278"/>
      <c r="BV155" s="278"/>
      <c r="BW155" s="278"/>
      <c r="BX155" s="278"/>
      <c r="BY155" s="278"/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476"/>
      <c r="CN155" s="35"/>
      <c r="CO155" s="279"/>
      <c r="CP155" s="279"/>
      <c r="CQ155" s="279"/>
      <c r="CR155" s="279"/>
      <c r="CS155" s="279"/>
      <c r="CT155" s="279"/>
      <c r="CU155" s="279"/>
      <c r="CV155" s="279"/>
      <c r="CW155" s="279"/>
      <c r="CX155" s="279"/>
      <c r="CY155" s="279"/>
      <c r="CZ155" s="279"/>
      <c r="DA155" s="279"/>
      <c r="DB155" s="279"/>
      <c r="DC155" s="279"/>
      <c r="DD155" s="279"/>
      <c r="DE155" s="279"/>
      <c r="DF155" s="279"/>
    </row>
    <row r="156" spans="1:110" s="32" customFormat="1" ht="21.75" customHeight="1" thickBot="1">
      <c r="B156" s="29"/>
      <c r="C156" s="30"/>
      <c r="D156" s="255">
        <f>IF(D154="",0,IF(D153="",IF(D155="",0,D155),IF(D155="",D153,D153+D155)))</f>
        <v>0</v>
      </c>
      <c r="E156" s="256">
        <f>IF(D154="",0,IF(E153="",IF(E155="",0,E155),IF(E155="",E153,E153+E155)))</f>
        <v>0</v>
      </c>
      <c r="F156" s="30"/>
      <c r="G156" s="276">
        <f>IF(G154="",0,IF(G153="",IF(G155="",0,G155),IF(G155="",G153,G153+G155)))</f>
        <v>0</v>
      </c>
      <c r="H156" s="256">
        <f>IF(G154="",0,IF(H153="",IF(H155="",0,H155),IF(H155="",H153,H153+H155)))</f>
        <v>0</v>
      </c>
      <c r="I156" s="30"/>
      <c r="J156" s="276">
        <f>IF(J154="",0,IF(J153="",IF(J155="",0,J155),IF(J155="",J153,J153+J155)))</f>
        <v>0</v>
      </c>
      <c r="K156" s="256">
        <f>IF(J154="",0,IF(K153="",IF(K155="",0,K155),IF(K155="",K153,K153+K155)))</f>
        <v>0</v>
      </c>
      <c r="L156" s="30"/>
      <c r="M156" s="276">
        <f>IF(M154="",0,IF(M153="",IF(M155="",0,M155),IF(M155="",M153,M153+M155)))</f>
        <v>0</v>
      </c>
      <c r="N156" s="256">
        <f>IF(M154="",0,IF(N153="",IF(N155="",0,N155),IF(N155="",N153,N153+N155)))</f>
        <v>0</v>
      </c>
      <c r="O156" s="30"/>
      <c r="P156" s="276">
        <f>IF(P154="",0,IF(P153="",IF(P155="",0,P155),IF(P155="",P153,P153+P155)))</f>
        <v>0</v>
      </c>
      <c r="Q156" s="256">
        <f>IF(P154="",0,IF(Q153="",IF(Q155="",0,Q155),IF(Q155="",Q153,Q153+Q155)))</f>
        <v>0</v>
      </c>
      <c r="R156" s="30"/>
      <c r="S156" s="276">
        <f>IF(S154="",0,IF(S153="",IF(S155="",0,S155),IF(S155="",S153,S153+S155)))</f>
        <v>0</v>
      </c>
      <c r="T156" s="256">
        <f>IF(S154="",0,IF(T153="",IF(T155="",0,T155),IF(T155="",T153,T153+T155)))</f>
        <v>0</v>
      </c>
      <c r="U156" s="30"/>
      <c r="V156" s="276">
        <f>IF(V154="",0,IF(V153="",IF(V155="",0,V155),IF(V155="",V153,V153+V155)))</f>
        <v>0</v>
      </c>
      <c r="W156" s="256">
        <f>IF(V154="",0,IF(W153="",IF(W155="",0,W155),IF(W155="",W153,W153+W155)))</f>
        <v>0</v>
      </c>
      <c r="X156" s="30"/>
      <c r="Y156" s="276">
        <f>IF(Y154="",0,IF(Y153="",IF(Y155="",0,Y155),IF(Y155="",Y153,Y153+Y155)))</f>
        <v>0</v>
      </c>
      <c r="Z156" s="256">
        <f>IF(Y154="",0,IF(Z153="",IF(Z155="",0,Z155),IF(Z155="",Z153,Z153+Z155)))</f>
        <v>0</v>
      </c>
      <c r="AA156" s="30"/>
      <c r="AB156" s="31"/>
      <c r="AC156" s="30"/>
      <c r="AD156" s="321" t="str">
        <f>+IF(AI150="","",AI150)</f>
        <v/>
      </c>
      <c r="AE156" s="324" t="str">
        <f>IF(N150="","",IF($K$2="X - X",VLOOKUP(N150,Espesor!$C$8:$E$41,2,0),VLOOKUP(N150,Espesor!$C$8:$E$41,3,0)))</f>
        <v/>
      </c>
      <c r="AF156" s="319" t="str">
        <f>IF(AD156="","",IF(LOOKUP(AD156,Espesor!$C$8:$C$41,Espesor!$K$8:$K$41)="en voladizo","",IF(AD157="",0.75/AE156,1/AE156)))</f>
        <v/>
      </c>
      <c r="AG156" s="634" t="str">
        <f>IF(AF156="","",IF(AF157="","",ROUND(AF156/(AF156+AF157),3)))</f>
        <v/>
      </c>
      <c r="AH156" s="634"/>
      <c r="AI156" s="634" t="str">
        <f>IF(AF157="","",IF(AF156="","",ROUND(AF157/(AF157+AF156),3)))</f>
        <v/>
      </c>
      <c r="AJ156" s="634"/>
      <c r="AK156" s="317">
        <f>IF(F125="",0,IF($K$2="X - X",VLOOKUP(F125,'Moms de Empt'!$P$3:$T$36,3,0),VLOOKUP(F125,'Moms de Empt'!$P$3:$T$36,5,0)))</f>
        <v>0</v>
      </c>
      <c r="AL156" s="317">
        <f t="shared" si="230"/>
        <v>0</v>
      </c>
      <c r="AM156" s="629">
        <f>IF(AD157="",0,IF(LOOKUP(AD157,Espesor!$C$8:$C$41,Espesor!$K$8:$K$41)="en voladizo",MAX(ABS(AL156),ABS(AK157)),-(AK157+AL156)))</f>
        <v>0</v>
      </c>
      <c r="AN156" s="629"/>
      <c r="AO156" s="630" t="str">
        <f t="shared" ref="AO156" si="234">IF(AG156="","",AM156*AG156)</f>
        <v/>
      </c>
      <c r="AP156" s="630"/>
      <c r="AQ156" s="630" t="str">
        <f t="shared" ref="AQ156" si="235">IF(AI156="","",AM156*AI156)</f>
        <v/>
      </c>
      <c r="AR156" s="630"/>
      <c r="AS156" s="631">
        <f>-IF(AM156="","",IF(AL156="",IF(AO156="",0,AO156),IF(AO156="",AL156,AL156+AO156)))</f>
        <v>0</v>
      </c>
      <c r="AT156" s="632"/>
      <c r="AU156" s="341">
        <f>+AS156</f>
        <v>0</v>
      </c>
      <c r="AV156" s="332" t="str">
        <f>IF(N150="","",IF(L125="X - X",VLOOKUP(N150,'Moms de Empt'!$P$3:$T$36,2,0),VLOOKUP(N150,'Moms de Empt'!$P$3:$T$36,4,0)))</f>
        <v/>
      </c>
      <c r="AW156" s="635" t="str">
        <f>IF(AV156="","",IF(AV157="","",ROUND(AV156/(AV156+AV157),3)))</f>
        <v/>
      </c>
      <c r="AX156" s="633"/>
      <c r="AY156" s="635" t="str">
        <f>IF(AV157="","",IF(AV156="","",ROUND(AV157/(AV157+AV156),3)))</f>
        <v/>
      </c>
      <c r="AZ156" s="633"/>
      <c r="BA156" s="331" t="str">
        <f t="shared" si="229"/>
        <v/>
      </c>
      <c r="BB156" s="30"/>
      <c r="BC156" s="401"/>
      <c r="BD156" s="398"/>
      <c r="BE156" s="391"/>
      <c r="BF156" s="30"/>
      <c r="BG156" s="30"/>
      <c r="BH156" s="30"/>
      <c r="BI156" s="30"/>
      <c r="BJ156" s="30"/>
      <c r="BK156" s="243"/>
      <c r="BL156" s="396"/>
      <c r="BM156" s="396"/>
      <c r="BN156" s="396"/>
      <c r="BO156" s="396"/>
      <c r="BP156" s="396"/>
      <c r="BQ156" s="396"/>
      <c r="BR156" s="396"/>
      <c r="BS156" s="396"/>
      <c r="BT156" s="396"/>
      <c r="BU156" s="396"/>
      <c r="BV156" s="396"/>
      <c r="BW156" s="396"/>
      <c r="BX156" s="396"/>
      <c r="BY156" s="396"/>
      <c r="BZ156" s="396"/>
      <c r="CA156" s="396"/>
      <c r="CB156" s="396"/>
      <c r="CC156" s="396"/>
      <c r="CD156" s="396"/>
      <c r="CE156" s="396"/>
      <c r="CF156" s="396"/>
      <c r="CG156" s="396"/>
      <c r="CH156" s="396"/>
      <c r="CI156" s="396"/>
      <c r="CJ156" s="396"/>
      <c r="CK156" s="396"/>
      <c r="CL156" s="396"/>
      <c r="CM156" s="474"/>
      <c r="CN156" s="279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</row>
    <row r="157" spans="1:110" s="36" customFormat="1" ht="21.75" customHeight="1" thickBot="1">
      <c r="A157" s="36" t="s">
        <v>66</v>
      </c>
      <c r="B157" s="273"/>
      <c r="D157" s="672">
        <f>IF(E149="",0,IF(D156=0,IF(E156=0,MAX(ABS(D153),ABS(E153)),E156),MAX(ABS(D156),ABS(E156))))</f>
        <v>0</v>
      </c>
      <c r="E157" s="674"/>
      <c r="G157" s="672">
        <f>IF(H149="",0,IF(G156=0,IF(H156=0,MAX(ABS(G153),ABS(H153)),H156),MAX(ABS(G156),ABS(H156))))</f>
        <v>0</v>
      </c>
      <c r="H157" s="674"/>
      <c r="J157" s="672">
        <f>IF(K149="",0,IF(J156=0,IF(K156=0,MAX(ABS(J153),ABS(K153)),K156),MAX(ABS(J156),ABS(K156))))</f>
        <v>0</v>
      </c>
      <c r="K157" s="674"/>
      <c r="M157" s="672">
        <f>IF(N149="",0,IF(M156=0,IF(N156=0,MAX(ABS(M153),ABS(N153)),N156),MAX(ABS(M156),ABS(N156))))</f>
        <v>0</v>
      </c>
      <c r="N157" s="674"/>
      <c r="P157" s="672">
        <f>IF(Q149="",0,IF(P156=0,IF(Q156=0,MAX(ABS(P153),ABS(Q153)),Q156),MAX(ABS(P156),ABS(Q156))))</f>
        <v>0</v>
      </c>
      <c r="Q157" s="674"/>
      <c r="S157" s="672">
        <f>IF(T149="",0,IF(S156=0,IF(T156=0,MAX(ABS(S153),ABS(T153)),T156),MAX(ABS(S156),ABS(T156))))</f>
        <v>0</v>
      </c>
      <c r="T157" s="674"/>
      <c r="U157" s="265"/>
      <c r="V157" s="672">
        <f>IF(W149="",0,IF(V156=0,IF(W156=0,MAX(ABS(V153),ABS(W153)),W156),MAX(ABS(V156),ABS(W156))))</f>
        <v>0</v>
      </c>
      <c r="W157" s="674"/>
      <c r="Y157" s="672">
        <f>IF(Z149="",0,IF(Y156=0,IF(Z156=0,MAX(ABS(Y153),ABS(Z153)),Z156),MAX(ABS(Y156),ABS(Z156))))</f>
        <v>0</v>
      </c>
      <c r="Z157" s="674"/>
      <c r="AA157" s="37"/>
      <c r="AB157" s="38"/>
      <c r="AC157" s="39"/>
      <c r="AD157" s="321" t="str">
        <f>+IF(AJ150="","",AJ150)</f>
        <v/>
      </c>
      <c r="AE157" s="324" t="str">
        <f>IF(Q150="","",IF($K$2="X - X",VLOOKUP(Q150,Espesor!$C$8:$E$41,2,0),VLOOKUP(Q150,Espesor!$C$8:$E$41,3,0)))</f>
        <v/>
      </c>
      <c r="AF157" s="319" t="str">
        <f>IF(AD157="","",IF(LOOKUP(AD157,Espesor!$C$8:$C$41,Espesor!$K$8:$K$41)="en voladizo","",IF(AD158="",0.75/AE157,1/AE157)))</f>
        <v/>
      </c>
      <c r="AG157" s="634"/>
      <c r="AH157" s="634" t="str">
        <f>IF(AF157="","",IF(AF158="","",ROUND(AF157/(AF157+AF158),3)))</f>
        <v/>
      </c>
      <c r="AI157" s="634"/>
      <c r="AJ157" s="634" t="str">
        <f>IF(AF157="","",IF(AF158="","",ROUND(AF158/(AF157+AF158),3)))</f>
        <v/>
      </c>
      <c r="AK157" s="317">
        <f>IF(G125="",0,IF($K$2="X - X",VLOOKUP(G125,'Moms de Empt'!$P$3:$T$36,3,0),VLOOKUP(G125,'Moms de Empt'!$P$3:$T$36,5,0)))</f>
        <v>0</v>
      </c>
      <c r="AL157" s="317">
        <f t="shared" si="230"/>
        <v>0</v>
      </c>
      <c r="AM157" s="629"/>
      <c r="AN157" s="629">
        <f>IF(AD158="",0,IF(LOOKUP(AD158,Espesor!$C$8:$C$41,Espesor!$K$8:$K$41)="en voladizo",MAX(ABS(AL157),ABS(AK158)),-(AK158+AL157)))</f>
        <v>0</v>
      </c>
      <c r="AO157" s="630"/>
      <c r="AP157" s="630" t="str">
        <f t="shared" ref="AP157" si="236">IF(AH157="","",AN157*AH157)</f>
        <v/>
      </c>
      <c r="AQ157" s="630"/>
      <c r="AR157" s="630" t="str">
        <f t="shared" ref="AR157" si="237">IF(AJ157="","",AN157*AJ157)</f>
        <v/>
      </c>
      <c r="AS157" s="632"/>
      <c r="AT157" s="631">
        <f t="shared" ref="AT157" si="238">-IF(AN157="","",IF(AL157="",IF(AP157="",0,AP157),IF(AP157="",AL157,AL157+AP157)))</f>
        <v>0</v>
      </c>
      <c r="AU157" s="341">
        <f>+AT157</f>
        <v>0</v>
      </c>
      <c r="AV157" s="332" t="str">
        <f>IF(Q150="","",IF(L125="X - X",VLOOKUP(Q150,'Moms de Empt'!$P$3:$T$36,2,0),VLOOKUP(Q150,'Moms de Empt'!$P$3:$T$36,4,0)))</f>
        <v/>
      </c>
      <c r="AW157" s="635"/>
      <c r="AX157" s="633" t="str">
        <f>IF(AV157="","",IF(AV158="","",ROUND(AV157/(AV157+AV158),3)))</f>
        <v/>
      </c>
      <c r="AY157" s="635"/>
      <c r="AZ157" s="633" t="str">
        <f>IF(AV157="","",IF(AV158="","",ROUND(AV158/(AV157+AV158),3)))</f>
        <v/>
      </c>
      <c r="BA157" s="331" t="str">
        <f t="shared" si="229"/>
        <v/>
      </c>
      <c r="BB157" s="32"/>
      <c r="BC157" s="401"/>
      <c r="BD157" s="398"/>
      <c r="BE157" s="391"/>
      <c r="BF157" s="393"/>
      <c r="BG157" s="393"/>
      <c r="BH157" s="393"/>
      <c r="BI157" s="393"/>
      <c r="BJ157" s="393"/>
      <c r="BK157" s="244"/>
      <c r="BL157" s="395"/>
      <c r="BM157" s="395"/>
      <c r="BN157" s="395"/>
      <c r="BO157" s="395"/>
      <c r="BP157" s="395"/>
      <c r="BQ157" s="395"/>
      <c r="BR157" s="395"/>
      <c r="BS157" s="395"/>
      <c r="BT157" s="395"/>
      <c r="BU157" s="395"/>
      <c r="BV157" s="395"/>
      <c r="BW157" s="395"/>
      <c r="BX157" s="395"/>
      <c r="BY157" s="395"/>
      <c r="BZ157" s="395"/>
      <c r="CA157" s="395"/>
      <c r="CB157" s="395"/>
      <c r="CC157" s="395"/>
      <c r="CD157" s="395"/>
      <c r="CE157" s="395"/>
      <c r="CF157" s="395"/>
      <c r="CG157" s="395"/>
      <c r="CH157" s="395"/>
      <c r="CI157" s="395"/>
      <c r="CJ157" s="395"/>
      <c r="CK157" s="395"/>
      <c r="CL157" s="395"/>
      <c r="CM157" s="474"/>
      <c r="CN157" s="30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</row>
    <row r="158" spans="1:110" s="36" customFormat="1" ht="21.75" customHeight="1" thickBot="1">
      <c r="B158" s="274"/>
      <c r="D158" s="690">
        <f>IF(D157="","",D157*100000)</f>
        <v>0</v>
      </c>
      <c r="E158" s="690"/>
      <c r="G158" s="690">
        <f>IF(G157="","",G157*100000)</f>
        <v>0</v>
      </c>
      <c r="H158" s="690"/>
      <c r="I158" s="388"/>
      <c r="J158" s="690">
        <f>IF(J157="","",J157*100000)</f>
        <v>0</v>
      </c>
      <c r="K158" s="690"/>
      <c r="L158" s="388"/>
      <c r="M158" s="690">
        <f>IF(M157="","",M157*100000)</f>
        <v>0</v>
      </c>
      <c r="N158" s="690"/>
      <c r="O158" s="388"/>
      <c r="P158" s="690">
        <f>IF(P157="","",P157*100000)</f>
        <v>0</v>
      </c>
      <c r="Q158" s="690"/>
      <c r="R158" s="388"/>
      <c r="S158" s="690">
        <f>IF(S157="","",S157*100000)</f>
        <v>0</v>
      </c>
      <c r="T158" s="690"/>
      <c r="U158" s="387"/>
      <c r="V158" s="690">
        <f>IF(V157="","",V157*100000)</f>
        <v>0</v>
      </c>
      <c r="W158" s="690"/>
      <c r="X158" s="388"/>
      <c r="Y158" s="690">
        <f>IF(Y157="","",Y157*100000)</f>
        <v>0</v>
      </c>
      <c r="Z158" s="690"/>
      <c r="AA158" s="37"/>
      <c r="AB158" s="275"/>
      <c r="AC158" s="39"/>
      <c r="AD158" s="321" t="str">
        <f>+IF(AK150="","",AK150)</f>
        <v/>
      </c>
      <c r="AE158" s="324" t="str">
        <f>IF(T150="","",IF($K$2="X - X",VLOOKUP(T150,Espesor!$C$8:$E$41,2,0),VLOOKUP(T150,Espesor!$C$8:$E$41,3,0)))</f>
        <v/>
      </c>
      <c r="AF158" s="319" t="str">
        <f>IF(AD158="","",IF(LOOKUP(AD158,Espesor!$C$8:$C$41,Espesor!$K$8:$K$41)="en voladizo","",IF(AD159="",0.75/AE158,1/AE158)))</f>
        <v/>
      </c>
      <c r="AG158" s="634" t="str">
        <f>IF(AF158="","",IF(AF159="","",ROUND(AF158/(AF158+AF159),3)))</f>
        <v/>
      </c>
      <c r="AH158" s="634"/>
      <c r="AI158" s="634" t="str">
        <f>IF(AF159="","",IF(AF158="","",ROUND(AF159/(AF159+AF158),3)))</f>
        <v/>
      </c>
      <c r="AJ158" s="634"/>
      <c r="AK158" s="317">
        <f>IF(H125="",0,IF($K$2="X - X",VLOOKUP(H125,'Moms de Empt'!$P$3:$T$36,3,0),VLOOKUP(H125,'Moms de Empt'!$P$3:$T$36,5,0)))</f>
        <v>0</v>
      </c>
      <c r="AL158" s="317">
        <f>+IF(AD159="",0,-AK158)</f>
        <v>0</v>
      </c>
      <c r="AM158" s="629">
        <f>IF(AD159="",0,IF(LOOKUP(AD159,Espesor!$C$8:$C$41,Espesor!$K$8:$K$41)="en voladizo",MAX(ABS(AL158),ABS(AK159)),-(AK159+AL158)))</f>
        <v>0</v>
      </c>
      <c r="AN158" s="629"/>
      <c r="AO158" s="630" t="str">
        <f>IF(AG158="","",AM158*AG158)</f>
        <v/>
      </c>
      <c r="AP158" s="630"/>
      <c r="AQ158" s="630" t="str">
        <f t="shared" ref="AQ158" si="239">IF(AI158="","",AM158*AI158)</f>
        <v/>
      </c>
      <c r="AR158" s="630"/>
      <c r="AS158" s="631">
        <f>-IF(AM158="","",IF(AL158="",IF(AO158="",0,AO158),IF(AO158="",AL158,AL158+AO158)))</f>
        <v>0</v>
      </c>
      <c r="AT158" s="632"/>
      <c r="AU158" s="341">
        <f>+AS158</f>
        <v>0</v>
      </c>
      <c r="AV158" s="332" t="str">
        <f>IF(T150="","",IF(L125="X - X",VLOOKUP(T150,'Moms de Empt'!$P$3:$T$36,2,0),VLOOKUP(T150,'Moms de Empt'!$P$3:$T$36,4,0)))</f>
        <v/>
      </c>
      <c r="AW158" s="635" t="str">
        <f>IF(AV158="","",IF(AV159="","",ROUND(AV158/(AV158+AV159),3)))</f>
        <v/>
      </c>
      <c r="AX158" s="633"/>
      <c r="AY158" s="635" t="str">
        <f>IF(AV159="","",IF(AV158="","",ROUND(AV159/(AV159+AV158),3)))</f>
        <v/>
      </c>
      <c r="AZ158" s="633"/>
      <c r="BA158" s="331" t="str">
        <f t="shared" si="229"/>
        <v/>
      </c>
      <c r="BC158" s="401"/>
      <c r="BD158" s="398"/>
      <c r="BE158" s="391"/>
      <c r="BF158" s="393"/>
      <c r="BG158" s="393"/>
      <c r="BH158" s="393"/>
      <c r="BI158" s="393"/>
      <c r="BJ158" s="393"/>
      <c r="BK158" s="389"/>
      <c r="BL158" s="396"/>
      <c r="BM158" s="396"/>
      <c r="BN158" s="396"/>
      <c r="BO158" s="396"/>
      <c r="BP158" s="396"/>
      <c r="BQ158" s="396"/>
      <c r="BR158" s="396"/>
      <c r="BS158" s="396"/>
      <c r="BT158" s="396"/>
      <c r="BU158" s="396"/>
      <c r="BV158" s="396"/>
      <c r="BW158" s="396"/>
      <c r="BX158" s="396"/>
      <c r="BY158" s="396"/>
      <c r="BZ158" s="396"/>
      <c r="CA158" s="396"/>
      <c r="CB158" s="396"/>
      <c r="CC158" s="396"/>
      <c r="CD158" s="396"/>
      <c r="CE158" s="396"/>
      <c r="CF158" s="396"/>
      <c r="CG158" s="396"/>
      <c r="CH158" s="396"/>
      <c r="CI158" s="396"/>
      <c r="CJ158" s="396"/>
      <c r="CK158" s="396"/>
      <c r="CL158" s="396"/>
      <c r="CM158" s="430"/>
      <c r="CN158" s="32"/>
    </row>
    <row r="159" spans="1:110" s="210" customFormat="1" ht="21.75" customHeight="1" thickBot="1">
      <c r="A159" s="257" t="s">
        <v>127</v>
      </c>
      <c r="B159" s="675" t="str">
        <f>IF(B149="","",IF(K9="X - X",VLOOKUP(B149,'Moms de Empt'!$P$3:$T$36,2,0),VLOOKUP(B149,'Moms de Empt'!$P$3:$T$36,4,0)))</f>
        <v/>
      </c>
      <c r="C159" s="676"/>
      <c r="D159" s="677"/>
      <c r="E159" s="675" t="str">
        <f>IF(E149="","",IF(K9="X - X",VLOOKUP(E149,'Moms de Empt'!$P$3:$T$36,2,0),VLOOKUP(E149,'Moms de Empt'!$P$3:$T$36,4,0)))</f>
        <v/>
      </c>
      <c r="F159" s="676"/>
      <c r="G159" s="677"/>
      <c r="H159" s="675" t="str">
        <f>IF(H149="","",IF(K9="X - X",VLOOKUP(H149,'Moms de Empt'!$P$3:$T$36,2,0),VLOOKUP(H149,'Moms de Empt'!$P$3:$T$36,4,0)))</f>
        <v/>
      </c>
      <c r="I159" s="676"/>
      <c r="J159" s="677"/>
      <c r="K159" s="675" t="str">
        <f>IF(K149="","",IF(K9="X - X",VLOOKUP(K149,'Moms de Empt'!$P$3:$T$36,2,0),VLOOKUP(K149,'Moms de Empt'!$P$3:$T$36,4,0)))</f>
        <v/>
      </c>
      <c r="L159" s="676"/>
      <c r="M159" s="677"/>
      <c r="N159" s="675" t="str">
        <f>IF(N149="","",IF(K9="X - X",VLOOKUP(N149,'Moms de Empt'!$P$3:$T$36,2,0),VLOOKUP(N149,'Moms de Empt'!$P$3:$T$36,4,0)))</f>
        <v/>
      </c>
      <c r="O159" s="676"/>
      <c r="P159" s="677"/>
      <c r="Q159" s="675" t="str">
        <f>IF(Q149="","",IF(K9="X - X",VLOOKUP(Q149,'Moms de Empt'!$P$3:$T$36,2,0),VLOOKUP(Q149,'Moms de Empt'!$P$3:$T$36,4,0)))</f>
        <v/>
      </c>
      <c r="R159" s="676"/>
      <c r="S159" s="677"/>
      <c r="T159" s="675" t="str">
        <f>IF(T149="","",IF(K9="X - X",VLOOKUP(T149,'Moms de Empt'!$P$3:$T$36,2,0),VLOOKUP(T149,'Moms de Empt'!$P$3:$T$36,4,0)))</f>
        <v/>
      </c>
      <c r="U159" s="676"/>
      <c r="V159" s="677"/>
      <c r="W159" s="675" t="str">
        <f>IF(W149="","",IF(K9="X - X",VLOOKUP(W149,'Moms de Empt'!$P$3:$T$36,2,0),VLOOKUP(W149,'Moms de Empt'!$P$3:$T$36,4,0)))</f>
        <v/>
      </c>
      <c r="X159" s="676"/>
      <c r="Y159" s="677"/>
      <c r="Z159" s="675" t="str">
        <f>IF(Z149="","",IF(K9="X - X",VLOOKUP(Z149,'Moms de Empt'!$P$3:$T$36,2,0),VLOOKUP(Z149,'Moms de Empt'!$P$3:$T$36,4,0)))</f>
        <v/>
      </c>
      <c r="AA159" s="676"/>
      <c r="AB159" s="677"/>
      <c r="AC159" s="40"/>
      <c r="AD159" s="321" t="str">
        <f>+IF(AL150="","",AL150)</f>
        <v/>
      </c>
      <c r="AE159" s="324" t="str">
        <f>IF(W150="","",IF($K$2="X - X",VLOOKUP(W150,Espesor!$C$8:$E$41,2,0),VLOOKUP(W150,Espesor!$C$8:$E$41,3,0)))</f>
        <v/>
      </c>
      <c r="AF159" s="319" t="str">
        <f>IF(AD159="","",IF(LOOKUP(AD159,Espesor!$C$8:$C$41,Espesor!$K$8:$K$41)="en voladizo","",IF(AD160="",0.75/AE159,1/AE159)))</f>
        <v/>
      </c>
      <c r="AG159" s="634"/>
      <c r="AH159" s="634" t="str">
        <f>IF(AF159="","",IF(AF160="","",ROUND(AF159/(AF159+AF160),3)))</f>
        <v/>
      </c>
      <c r="AI159" s="634"/>
      <c r="AJ159" s="634" t="str">
        <f>IF(AF159="","",IF(AF160="","",ROUND(AF160/(AF159+AF160),3)))</f>
        <v/>
      </c>
      <c r="AK159" s="317">
        <f>IF(I125="",0,IF($K$2="X - X",VLOOKUP(I125,'Moms de Empt'!$P$3:$T$36,3,0),VLOOKUP(I125,'Moms de Empt'!$P$3:$T$36,5,0)))</f>
        <v>0</v>
      </c>
      <c r="AL159" s="317">
        <f t="shared" ref="AL159:AL160" si="240">+IF(AD160="",0,-AK159)</f>
        <v>0</v>
      </c>
      <c r="AM159" s="629"/>
      <c r="AN159" s="629">
        <f>IF(AD160="",0,IF(LOOKUP(AD160,Espesor!$C$8:$C$41,Espesor!$K$8:$K$41)="en voladizo",MAX(ABS(AL159),ABS(AK160)),-(AK160+AL159)))</f>
        <v>0</v>
      </c>
      <c r="AO159" s="630"/>
      <c r="AP159" s="630" t="str">
        <f t="shared" ref="AP159" si="241">IF(AH159="","",AN159*AH159)</f>
        <v/>
      </c>
      <c r="AQ159" s="630"/>
      <c r="AR159" s="630" t="str">
        <f t="shared" ref="AR159" si="242">IF(AJ159="","",AN159*AJ159)</f>
        <v/>
      </c>
      <c r="AS159" s="632"/>
      <c r="AT159" s="631">
        <f t="shared" ref="AT159" si="243">-IF(AN159="","",IF(AL159="",IF(AP159="",0,AP159),IF(AP159="",AL159,AL159+AP159)))</f>
        <v>0</v>
      </c>
      <c r="AU159" s="341">
        <f>+AT159</f>
        <v>0</v>
      </c>
      <c r="AV159" s="332" t="str">
        <f>IF(W150="","",IF(L125="X - X",VLOOKUP(W150,'Moms de Empt'!$P$3:$T$36,2,0),VLOOKUP(W150,'Moms de Empt'!$P$3:$T$36,4,0)))</f>
        <v/>
      </c>
      <c r="AW159" s="635"/>
      <c r="AX159" s="633" t="str">
        <f>IF(AV159="","",IF(AV160="","",ROUND(AV159/(AV159+AV160),3)))</f>
        <v/>
      </c>
      <c r="AY159" s="635"/>
      <c r="AZ159" s="633" t="str">
        <f>IF(AV159="","",IF(AV160="","",ROUND(AV160/(AV159+AV160),3)))</f>
        <v/>
      </c>
      <c r="BA159" s="331" t="str">
        <f t="shared" si="229"/>
        <v/>
      </c>
      <c r="BB159" s="36"/>
      <c r="BC159" s="401"/>
      <c r="BD159" s="398"/>
      <c r="BE159" s="391"/>
      <c r="BF159" s="278"/>
      <c r="BG159" s="278"/>
      <c r="BH159" s="278"/>
      <c r="BI159" s="278"/>
      <c r="BJ159" s="278"/>
      <c r="BK159" s="30"/>
      <c r="BL159" s="397"/>
      <c r="BM159" s="397"/>
      <c r="BN159" s="397"/>
      <c r="BO159" s="397"/>
      <c r="BP159" s="397"/>
      <c r="BQ159" s="397"/>
      <c r="BR159" s="397"/>
      <c r="BS159" s="397"/>
      <c r="BT159" s="397"/>
      <c r="BU159" s="397"/>
      <c r="BV159" s="397"/>
      <c r="BW159" s="397"/>
      <c r="BX159" s="397"/>
      <c r="BY159" s="397"/>
      <c r="BZ159" s="397"/>
      <c r="CA159" s="397"/>
      <c r="CB159" s="397"/>
      <c r="CC159" s="397"/>
      <c r="CD159" s="397"/>
      <c r="CE159" s="397"/>
      <c r="CF159" s="397"/>
      <c r="CG159" s="397"/>
      <c r="CH159" s="397"/>
      <c r="CI159" s="397"/>
      <c r="CJ159" s="397"/>
      <c r="CK159" s="397"/>
      <c r="CL159" s="397"/>
      <c r="CM159" s="430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</row>
    <row r="160" spans="1:110" ht="21.75" customHeight="1" thickBot="1">
      <c r="A160" s="258"/>
      <c r="B160" s="209"/>
      <c r="C160" s="209"/>
      <c r="D160" s="209" t="str">
        <f>IF(B151="","",IF(D153="","",IF(ABS(D157)&gt;ABS(D153),-0.5*ABS(D155),0.5*ABS(D155))))</f>
        <v/>
      </c>
      <c r="E160" s="209" t="str">
        <f>IF(E151="","",IF(E153="","",IF(ABS(D157)&gt;ABS(E153),-0.5*ABS(E155),0.5*ABS(E155))))</f>
        <v/>
      </c>
      <c r="F160" s="209"/>
      <c r="G160" s="209" t="str">
        <f>IF(E151="","",IF(G153="","",IF(ABS(G157)&gt;ABS(G153),-0.5*ABS(G155),0.5*ABS(G155))))</f>
        <v/>
      </c>
      <c r="H160" s="209" t="str">
        <f>IF(H151="","",IF(H153="","",IF(ABS(G157)&gt;ABS(H153),-0.5*ABS(H155),0.5*ABS(H155))))</f>
        <v/>
      </c>
      <c r="I160" s="209"/>
      <c r="J160" s="209" t="str">
        <f>IF(H151="","",IF(J153="","",IF(ABS(J157)&gt;ABS(J153),-0.5*ABS(J155),0.5*ABS(J155))))</f>
        <v/>
      </c>
      <c r="K160" s="209" t="str">
        <f>IF(K151="","",IF(K153="","",IF(ABS(J157)&gt;ABS(K153),-0.5*ABS(K155),0.5*ABS(K155))))</f>
        <v/>
      </c>
      <c r="L160" s="209"/>
      <c r="M160" s="209" t="str">
        <f>IF(K151="","",IF(M153="","",IF(ABS(M157)&gt;ABS(M153),-0.5*ABS(M155),0.5*ABS(M155))))</f>
        <v/>
      </c>
      <c r="N160" s="209" t="str">
        <f>IF(N151="","",IF(N153="","",IF(ABS(M157)&gt;ABS(N153),-0.5*ABS(N155),0.5*ABS(N155))))</f>
        <v/>
      </c>
      <c r="O160" s="209"/>
      <c r="P160" s="209" t="str">
        <f>IF(N151="","",IF(P153="","",IF(ABS(P157)&gt;ABS(P153),-0.5*ABS(P155),0.5*ABS(P155))))</f>
        <v/>
      </c>
      <c r="Q160" s="209" t="str">
        <f>IF(Q151="","",IF(Q153="","",IF(ABS(P157)&gt;ABS(Q153),-0.5*ABS(Q155),0.5*ABS(Q155))))</f>
        <v/>
      </c>
      <c r="R160" s="209"/>
      <c r="S160" s="209" t="str">
        <f>IF(Q151="","",IF(S153="","",IF(ABS(S157)&gt;ABS(S153),-0.5*ABS(S155),0.5*ABS(S155))))</f>
        <v/>
      </c>
      <c r="T160" s="209" t="str">
        <f>IF(T151="","",IF(T153="","",IF(ABS(S157)&gt;ABS(T153),-0.5*ABS(T155),0.5*ABS(T155))))</f>
        <v/>
      </c>
      <c r="U160" s="209"/>
      <c r="V160" s="209" t="str">
        <f>IF(T151="","",IF(V153="","",IF(ABS(V157)&gt;ABS(V153),-0.5*ABS(V155),0.5*ABS(V155))))</f>
        <v/>
      </c>
      <c r="W160" s="209" t="str">
        <f>IF(W151="","",IF(W153="","",IF(ABS(V157)&gt;ABS(W153),-0.5*ABS(W155),0.5*ABS(W155))))</f>
        <v/>
      </c>
      <c r="X160" s="209"/>
      <c r="Y160" s="209" t="str">
        <f>IF(W151="","",IF(Y153="","",IF(ABS(Y157)&gt;ABS(Y153),-0.5*ABS(Y155),0.5*ABS(Y155))))</f>
        <v/>
      </c>
      <c r="Z160" s="209" t="str">
        <f>IF(Z151="","",IF(Z153="","",IF(ABS(Y157)&gt;ABS(Z153),-0.5*ABS(Z155),0.5*ABS(Z155))))</f>
        <v/>
      </c>
      <c r="AA160" s="209"/>
      <c r="AB160" s="209" t="str">
        <f>IF(Z151="","",IF(AB153="","",IF(AB157&gt;-AB153,IF(AB155&lt;0,0.5*AB155,-0.5*AB155),0.5*AB155)))</f>
        <v/>
      </c>
      <c r="AD160" s="321" t="str">
        <f>+IF(AM150="","",AM150)</f>
        <v/>
      </c>
      <c r="AE160" s="324" t="str">
        <f>IF(Z150="","",IF($K$2="X - X",VLOOKUP(Z150,Espesor!$C$8:$E$41,2,0),VLOOKUP(Z150,Espesor!$C$8:$E$41,3,0)))</f>
        <v/>
      </c>
      <c r="AF160" s="319" t="str">
        <f>IF(AD160="","",IF(LOOKUP(AD160,Espesor!$C$8:$C$41,Espesor!$K$8:$K$41)="en voladizo","",IF(AD161="",0.75/AE160,1/AE160)))</f>
        <v/>
      </c>
      <c r="AG160" s="344" t="str">
        <f>IF(AF160="","",IF(AK134="","",ROUND(AF160/(AF160+AK134),3)))</f>
        <v/>
      </c>
      <c r="AH160" s="634"/>
      <c r="AI160" s="344" t="str">
        <f>IF(AK134="","",IF(AF160="","",ROUND(AK134/(AK134+AF160),3)))</f>
        <v/>
      </c>
      <c r="AJ160" s="634"/>
      <c r="AK160" s="317">
        <f>IF(J125="",0,IF($K$2="X - X",VLOOKUP(J125,'Moms de Empt'!$P$3:$T$36,3,0),VLOOKUP(J125,'Moms de Empt'!$P$3:$T$36,5,0)))</f>
        <v>0</v>
      </c>
      <c r="AL160" s="317">
        <f t="shared" si="240"/>
        <v>0</v>
      </c>
      <c r="AM160" s="307" t="str">
        <f>IF(AI134="","",IF(LOOKUP(AI134,[6]Espesor!$C$8:$C$41,[6]Espesor!$K$8:$K$41)="en voladizo",MAX(ABS(AL160),ABS(AQ134)),-(AQ134-AL160)))</f>
        <v/>
      </c>
      <c r="AN160" s="629"/>
      <c r="AO160" s="340" t="str">
        <f t="shared" ref="AO160" si="244">IF(AG160="","",AM160*AG160)</f>
        <v/>
      </c>
      <c r="AP160" s="630"/>
      <c r="AQ160" s="315" t="str">
        <f t="shared" ref="AQ160" si="245">IF(AI160="","",AM160*AI160)</f>
        <v/>
      </c>
      <c r="AR160" s="630"/>
      <c r="AS160" s="312" t="str">
        <f t="shared" ref="AS160" si="246">IF(AM160="","",IF(AL160="",IF(AO160="",0,AO160),IF(AO160="",AL160,AL160+AO160)))</f>
        <v/>
      </c>
      <c r="AT160" s="632"/>
      <c r="AU160" s="341"/>
      <c r="AV160" s="333" t="str">
        <f>IF(Z150="","",IF(L125="X - X",VLOOKUP(Z150,'Moms de Empt'!$P$3:$T$36,2,0),VLOOKUP(Z150,'Moms de Empt'!$P$3:$T$36,4,0)))</f>
        <v/>
      </c>
      <c r="AW160" s="337" t="str">
        <f>IF(AV160="","",IF(BA134="","",ROUND(AV160/(AV160+BA134),3)))</f>
        <v/>
      </c>
      <c r="AX160" s="633"/>
      <c r="AY160" s="337" t="str">
        <f>IF(BA134="","",IF(AV160="","",ROUND(BA134/(BA134+AV160),3)))</f>
        <v/>
      </c>
      <c r="AZ160" s="633"/>
      <c r="BA160" s="331"/>
      <c r="BB160" s="210"/>
      <c r="BC160" s="401"/>
      <c r="BD160" s="398"/>
      <c r="BE160" s="391"/>
      <c r="BK160" s="392"/>
      <c r="BL160" s="397"/>
      <c r="BM160" s="397"/>
      <c r="BN160" s="397"/>
      <c r="BO160" s="397"/>
      <c r="BP160" s="397"/>
      <c r="BQ160" s="397"/>
      <c r="BR160" s="397"/>
      <c r="BS160" s="397"/>
      <c r="BT160" s="397"/>
      <c r="BU160" s="397"/>
      <c r="BV160" s="397"/>
      <c r="BW160" s="397"/>
      <c r="BX160" s="397"/>
      <c r="BY160" s="397"/>
      <c r="BZ160" s="397"/>
      <c r="CA160" s="397"/>
      <c r="CB160" s="397"/>
      <c r="CC160" s="397"/>
      <c r="CD160" s="397"/>
      <c r="CE160" s="397"/>
      <c r="CF160" s="397"/>
      <c r="CG160" s="397"/>
      <c r="CH160" s="397"/>
      <c r="CI160" s="397"/>
      <c r="CJ160" s="397"/>
      <c r="CK160" s="397"/>
      <c r="CL160" s="397"/>
      <c r="CM160" s="477"/>
      <c r="CN160" s="36"/>
      <c r="CO160" s="210"/>
      <c r="CP160" s="210"/>
      <c r="CQ160" s="210"/>
      <c r="CR160" s="210"/>
      <c r="CS160" s="210"/>
      <c r="CT160" s="210"/>
      <c r="CU160" s="210"/>
      <c r="CV160" s="210"/>
      <c r="CW160" s="210"/>
      <c r="CX160" s="210"/>
      <c r="CY160" s="210"/>
      <c r="CZ160" s="210"/>
      <c r="DA160" s="210"/>
      <c r="DB160" s="210"/>
      <c r="DC160" s="210"/>
      <c r="DD160" s="210"/>
      <c r="DE160" s="210"/>
      <c r="DF160" s="210"/>
    </row>
    <row r="161" spans="1:110" s="260" customFormat="1" ht="21.75" customHeight="1" thickBot="1">
      <c r="A161" s="259" t="s">
        <v>128</v>
      </c>
      <c r="B161" s="672" t="str">
        <f>IF(B160="",IF(D160="",B159,B159+D160),IF(D160="",B159+B160,B159+B160+D160))</f>
        <v/>
      </c>
      <c r="C161" s="673"/>
      <c r="D161" s="674"/>
      <c r="E161" s="672" t="str">
        <f>IF(E160="",IF(G160="",E159,E159+G160),IF(G160="",E159+E160,E159+E160+G160))</f>
        <v/>
      </c>
      <c r="F161" s="673"/>
      <c r="G161" s="674"/>
      <c r="H161" s="672" t="str">
        <f>IF(H160="",IF(J160="",H159,H159+J160),IF(J160="",H159+H160,H159+H160+J160))</f>
        <v/>
      </c>
      <c r="I161" s="673"/>
      <c r="J161" s="674"/>
      <c r="K161" s="672" t="str">
        <f>IF(K160="",IF(M160="",K159,K159+M160),IF(M160="",K159+K160,K159+K160+M160))</f>
        <v/>
      </c>
      <c r="L161" s="673"/>
      <c r="M161" s="674"/>
      <c r="N161" s="672" t="str">
        <f>IF(N160="",IF(P160="",N159,N159+P160),IF(P160="",N159+N160,N159+N160+P160))</f>
        <v/>
      </c>
      <c r="O161" s="673"/>
      <c r="P161" s="674"/>
      <c r="Q161" s="672" t="str">
        <f>IF(Q160="",IF(S160="",Q159,Q159+S160),IF(S160="",Q159+Q160,Q159+Q160+S160))</f>
        <v/>
      </c>
      <c r="R161" s="673"/>
      <c r="S161" s="674"/>
      <c r="T161" s="672" t="str">
        <f>IF(T160="",IF(V160="",T159,T159+V160),IF(V160="",T159+T160,T159+T160+V160))</f>
        <v/>
      </c>
      <c r="U161" s="673"/>
      <c r="V161" s="674"/>
      <c r="W161" s="672" t="str">
        <f>IF(W160="",IF(Y160="",W159,W159+Y160),IF(Y160="",W159+W160,W159+W160+Y160))</f>
        <v/>
      </c>
      <c r="X161" s="673"/>
      <c r="Y161" s="674"/>
      <c r="Z161" s="672" t="str">
        <f>IF(Z160="",IF(AB160="",Z159,Z159+AB160),IF(AB160="",Z159+Z160,Z159+Z160+AB160))</f>
        <v/>
      </c>
      <c r="AA161" s="673"/>
      <c r="AB161" s="674"/>
      <c r="AC161" s="39"/>
      <c r="AD161" s="39"/>
      <c r="AF161" s="39"/>
      <c r="AG161" s="39"/>
      <c r="AH161" s="39"/>
      <c r="AK161" s="39"/>
      <c r="AL161" s="39"/>
      <c r="AO161" s="39"/>
      <c r="AP161" s="39"/>
      <c r="AQ161" s="39"/>
      <c r="AR161" s="39"/>
      <c r="BB161" s="27"/>
      <c r="BC161" s="401"/>
      <c r="BD161" s="398"/>
      <c r="BE161" s="391"/>
      <c r="BF161" s="395"/>
      <c r="BG161" s="395"/>
      <c r="BH161" s="395"/>
      <c r="BI161" s="395"/>
      <c r="BJ161" s="395"/>
      <c r="BK161" s="406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431"/>
      <c r="CN161" s="210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</row>
    <row r="162" spans="1:110" ht="21.75" customHeight="1">
      <c r="BB162" s="260"/>
      <c r="BC162" s="401"/>
      <c r="BD162" s="398"/>
      <c r="BE162" s="391"/>
      <c r="BK162" s="30"/>
      <c r="BL162" s="243"/>
      <c r="BM162" s="243"/>
      <c r="BN162" s="243"/>
      <c r="BO162" s="243"/>
      <c r="BP162" s="243"/>
      <c r="BQ162" s="243"/>
      <c r="BR162" s="243"/>
      <c r="BS162" s="243"/>
      <c r="BT162" s="243"/>
      <c r="BU162" s="243"/>
      <c r="BV162" s="243"/>
      <c r="BW162" s="243"/>
      <c r="BX162" s="243"/>
      <c r="BY162" s="243"/>
      <c r="BZ162" s="243"/>
      <c r="CA162" s="243"/>
      <c r="CB162" s="243"/>
      <c r="CC162" s="243"/>
      <c r="CD162" s="243"/>
      <c r="CE162" s="243"/>
      <c r="CF162" s="243"/>
      <c r="CG162" s="243"/>
      <c r="CH162" s="243"/>
      <c r="CI162" s="243"/>
      <c r="CJ162" s="243"/>
      <c r="CK162" s="243"/>
      <c r="CL162" s="243"/>
      <c r="CM162" s="478"/>
      <c r="CO162" s="260"/>
      <c r="CP162" s="260"/>
      <c r="CQ162" s="260"/>
      <c r="CR162" s="260"/>
      <c r="CS162" s="260"/>
      <c r="CT162" s="260"/>
      <c r="CU162" s="260"/>
      <c r="CV162" s="260"/>
      <c r="CW162" s="260"/>
      <c r="CX162" s="260"/>
      <c r="CY162" s="260"/>
      <c r="CZ162" s="260"/>
      <c r="DA162" s="260"/>
      <c r="DB162" s="260"/>
      <c r="DC162" s="260"/>
      <c r="DD162" s="260"/>
      <c r="DE162" s="260"/>
      <c r="DF162" s="260"/>
    </row>
    <row r="163" spans="1:110" ht="21.75" customHeight="1">
      <c r="BC163" s="401"/>
      <c r="BD163" s="398"/>
      <c r="BE163" s="391"/>
      <c r="BF163" s="397"/>
      <c r="BG163" s="397"/>
      <c r="BH163" s="397"/>
      <c r="BI163" s="397"/>
      <c r="BJ163" s="397"/>
      <c r="BK163" s="30"/>
      <c r="BL163" s="244"/>
      <c r="BM163" s="244"/>
      <c r="BN163" s="244"/>
      <c r="BO163" s="244"/>
      <c r="BP163" s="244"/>
      <c r="BQ163" s="244"/>
      <c r="BR163" s="244"/>
      <c r="BS163" s="244"/>
      <c r="BT163" s="244"/>
      <c r="BU163" s="244"/>
      <c r="BV163" s="244"/>
      <c r="BW163" s="244"/>
      <c r="BX163" s="244"/>
      <c r="BY163" s="244"/>
      <c r="BZ163" s="244"/>
      <c r="CA163" s="244"/>
      <c r="CB163" s="244"/>
      <c r="CC163" s="244"/>
      <c r="CD163" s="244"/>
      <c r="CE163" s="244"/>
      <c r="CF163" s="244"/>
      <c r="CG163" s="244"/>
      <c r="CH163" s="244"/>
      <c r="CI163" s="244"/>
      <c r="CJ163" s="244"/>
      <c r="CK163" s="244"/>
      <c r="CL163" s="244"/>
      <c r="CN163" s="260"/>
    </row>
    <row r="164" spans="1:110" s="263" customFormat="1" ht="21.75" customHeight="1" thickBot="1">
      <c r="A164" s="626">
        <f>+A10</f>
        <v>9</v>
      </c>
      <c r="B164" s="626"/>
      <c r="C164" s="626"/>
      <c r="D164" s="626"/>
      <c r="E164" s="626"/>
      <c r="F164" s="627"/>
      <c r="G164" s="627"/>
      <c r="H164" s="627"/>
      <c r="I164" s="627"/>
      <c r="J164" s="628" t="s">
        <v>134</v>
      </c>
      <c r="K164" s="628"/>
      <c r="L164" s="271" t="str">
        <f>+K10</f>
        <v>X - X</v>
      </c>
      <c r="M164" s="262"/>
      <c r="N164" s="404"/>
      <c r="O164" s="402"/>
      <c r="P164" s="262"/>
      <c r="BB164" s="27"/>
      <c r="BC164" s="401"/>
      <c r="BD164" s="398"/>
      <c r="BE164" s="391"/>
      <c r="BF164" s="397"/>
      <c r="BG164" s="397"/>
      <c r="BH164" s="397"/>
      <c r="BI164" s="397"/>
      <c r="BJ164" s="397"/>
      <c r="BK164" s="393"/>
      <c r="BL164" s="389"/>
      <c r="BM164" s="389"/>
      <c r="BN164" s="389"/>
      <c r="BO164" s="389"/>
      <c r="BP164" s="389"/>
      <c r="BQ164" s="389"/>
      <c r="BR164" s="389"/>
      <c r="BS164" s="389"/>
      <c r="BT164" s="389"/>
      <c r="BU164" s="389"/>
      <c r="BV164" s="389"/>
      <c r="BW164" s="389"/>
      <c r="BX164" s="389"/>
      <c r="BY164" s="389"/>
      <c r="BZ164" s="389"/>
      <c r="CA164" s="389"/>
      <c r="CB164" s="389"/>
      <c r="CC164" s="389"/>
      <c r="CD164" s="389"/>
      <c r="CE164" s="389"/>
      <c r="CF164" s="389"/>
      <c r="CG164" s="389"/>
      <c r="CH164" s="389"/>
      <c r="CI164" s="389"/>
      <c r="CJ164" s="389"/>
      <c r="CK164" s="389"/>
      <c r="CL164" s="389"/>
      <c r="CM164" s="431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</row>
    <row r="165" spans="1:110" s="263" customFormat="1" ht="21.75" customHeight="1" thickTop="1">
      <c r="A165" s="686" t="str">
        <f>+Espesor!$J$3</f>
        <v>Techo</v>
      </c>
      <c r="B165" s="686"/>
      <c r="C165" s="687" t="s">
        <v>136</v>
      </c>
      <c r="D165" s="687"/>
      <c r="E165" s="264" t="str">
        <f>IF(B10="","",B10)</f>
        <v/>
      </c>
      <c r="F165" s="264" t="str">
        <f t="shared" ref="F165:M165" si="247">IF(C10="","",C10)</f>
        <v/>
      </c>
      <c r="G165" s="264" t="str">
        <f t="shared" si="247"/>
        <v/>
      </c>
      <c r="H165" s="264" t="str">
        <f t="shared" si="247"/>
        <v/>
      </c>
      <c r="I165" s="264" t="str">
        <f t="shared" si="247"/>
        <v/>
      </c>
      <c r="J165" s="264" t="str">
        <f t="shared" si="247"/>
        <v/>
      </c>
      <c r="K165" s="264" t="str">
        <f t="shared" si="247"/>
        <v/>
      </c>
      <c r="L165" s="264" t="str">
        <f t="shared" si="247"/>
        <v/>
      </c>
      <c r="M165" s="264" t="str">
        <f t="shared" si="247"/>
        <v/>
      </c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  <c r="AA165" s="264"/>
      <c r="BC165" s="401"/>
      <c r="BD165" s="398"/>
      <c r="BE165" s="391"/>
      <c r="BF165" s="28"/>
      <c r="BG165" s="28"/>
      <c r="BH165" s="28"/>
      <c r="BI165" s="28"/>
      <c r="BJ165" s="28"/>
      <c r="BK165" s="393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472"/>
      <c r="CN165" s="27"/>
    </row>
    <row r="166" spans="1:110" s="28" customFormat="1" ht="21.75" customHeight="1">
      <c r="A166" s="238"/>
      <c r="B166" s="239"/>
      <c r="C166" s="240"/>
      <c r="D166" s="240"/>
      <c r="E166" s="240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D166" s="624" t="s">
        <v>64</v>
      </c>
      <c r="AE166" s="624"/>
      <c r="AF166" s="624"/>
      <c r="AG166" s="624"/>
      <c r="AH166" s="624"/>
      <c r="AI166" s="624"/>
      <c r="AJ166" s="624"/>
      <c r="AK166" s="624"/>
      <c r="AL166" s="624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63"/>
      <c r="BC166" s="401"/>
      <c r="BD166" s="398"/>
      <c r="BE166" s="391"/>
      <c r="BF166" s="243"/>
      <c r="BG166" s="243"/>
      <c r="BH166" s="243"/>
      <c r="BI166" s="243"/>
      <c r="BJ166" s="243"/>
      <c r="BK166" s="278"/>
      <c r="BL166" s="392"/>
      <c r="BM166" s="392"/>
      <c r="BN166" s="392"/>
      <c r="BO166" s="392"/>
      <c r="BP166" s="392"/>
      <c r="BQ166" s="392"/>
      <c r="BR166" s="392"/>
      <c r="BS166" s="392"/>
      <c r="BT166" s="392"/>
      <c r="BU166" s="392"/>
      <c r="BV166" s="392"/>
      <c r="BW166" s="392"/>
      <c r="BX166" s="392"/>
      <c r="BY166" s="392"/>
      <c r="BZ166" s="392"/>
      <c r="CA166" s="392"/>
      <c r="CB166" s="392"/>
      <c r="CC166" s="392"/>
      <c r="CD166" s="392"/>
      <c r="CE166" s="392"/>
      <c r="CF166" s="392"/>
      <c r="CG166" s="392"/>
      <c r="CH166" s="392"/>
      <c r="CI166" s="392"/>
      <c r="CJ166" s="392"/>
      <c r="CK166" s="392"/>
      <c r="CL166" s="392"/>
      <c r="CM166" s="472"/>
      <c r="CN166" s="263"/>
      <c r="CO166" s="263"/>
      <c r="CP166" s="263"/>
      <c r="CQ166" s="263"/>
      <c r="CR166" s="263"/>
      <c r="CS166" s="263"/>
      <c r="CT166" s="263"/>
      <c r="CU166" s="263"/>
      <c r="CV166" s="263"/>
      <c r="CW166" s="263"/>
      <c r="CX166" s="263"/>
      <c r="CY166" s="263"/>
      <c r="CZ166" s="263"/>
      <c r="DA166" s="263"/>
      <c r="DB166" s="263"/>
      <c r="DC166" s="263"/>
      <c r="DD166" s="263"/>
      <c r="DE166" s="263"/>
      <c r="DF166" s="263"/>
    </row>
    <row r="167" spans="1:110" s="242" customFormat="1" ht="21.75" customHeight="1" thickBot="1">
      <c r="A167" s="360"/>
      <c r="B167" s="682" t="str">
        <f>IF($E165="","",$E165)</f>
        <v/>
      </c>
      <c r="C167" s="682"/>
      <c r="D167" s="682"/>
      <c r="E167" s="682" t="str">
        <f>IF($F165="","",$F165)</f>
        <v/>
      </c>
      <c r="F167" s="682"/>
      <c r="G167" s="682"/>
      <c r="H167" s="682" t="str">
        <f>IF($G165="","",$G165)</f>
        <v/>
      </c>
      <c r="I167" s="682"/>
      <c r="J167" s="682"/>
      <c r="K167" s="682" t="str">
        <f>IF($H165="","",$H165)</f>
        <v/>
      </c>
      <c r="L167" s="682"/>
      <c r="M167" s="682"/>
      <c r="N167" s="682" t="str">
        <f>IF($I165="","",$I165)</f>
        <v/>
      </c>
      <c r="O167" s="682"/>
      <c r="P167" s="682"/>
      <c r="Q167" s="682" t="str">
        <f>IF($J165="","",$J165)</f>
        <v/>
      </c>
      <c r="R167" s="682"/>
      <c r="S167" s="682"/>
      <c r="T167" s="682" t="str">
        <f>IF($K165="","",$K165)</f>
        <v/>
      </c>
      <c r="U167" s="682"/>
      <c r="V167" s="682"/>
      <c r="W167" s="682" t="str">
        <f>IF($L165="","",$L165)</f>
        <v/>
      </c>
      <c r="X167" s="682"/>
      <c r="Y167" s="682"/>
      <c r="Z167" s="682" t="str">
        <f>IF($M165="","",$M165)</f>
        <v/>
      </c>
      <c r="AA167" s="682"/>
      <c r="AB167" s="682"/>
      <c r="AC167" s="420"/>
      <c r="AD167" s="287" t="str">
        <f>+A142</f>
        <v>M+ =</v>
      </c>
      <c r="AE167" s="325" t="str">
        <f>+IF(B142="","",B142)</f>
        <v/>
      </c>
      <c r="AF167" s="325" t="str">
        <f>+IF(C142="","",C142)</f>
        <v/>
      </c>
      <c r="AG167" s="325" t="str">
        <f t="shared" ref="AG167" si="248">+IF(D142="","",D142)</f>
        <v/>
      </c>
      <c r="AH167" s="325" t="str">
        <f t="shared" ref="AH167" si="249">+IF(E142="","",E142)</f>
        <v/>
      </c>
      <c r="AI167" s="325" t="str">
        <f t="shared" ref="AI167" si="250">+IF(F142="","",F142)</f>
        <v/>
      </c>
      <c r="AJ167" s="325" t="str">
        <f t="shared" ref="AJ167" si="251">+IF(G142="","",G142)</f>
        <v/>
      </c>
      <c r="AK167" s="325" t="str">
        <f t="shared" ref="AK167" si="252">+IF(H142="","",H142)</f>
        <v/>
      </c>
      <c r="AL167" s="325" t="str">
        <f t="shared" ref="AL167" si="253">+IF(I142="","",I142)</f>
        <v/>
      </c>
      <c r="AM167" s="325" t="str">
        <f t="shared" ref="AM167" si="254">+IF(J142="","",J142)</f>
        <v/>
      </c>
      <c r="BB167" s="28"/>
      <c r="BC167" s="401"/>
      <c r="BD167" s="398"/>
      <c r="BE167" s="428">
        <f>BE$27</f>
        <v>1</v>
      </c>
      <c r="BF167" s="428">
        <f t="shared" ref="BF167:CL167" si="255">BF$27</f>
        <v>2</v>
      </c>
      <c r="BG167" s="428">
        <f t="shared" si="255"/>
        <v>3</v>
      </c>
      <c r="BH167" s="428">
        <f t="shared" si="255"/>
        <v>4</v>
      </c>
      <c r="BI167" s="428">
        <f t="shared" si="255"/>
        <v>5</v>
      </c>
      <c r="BJ167" s="428">
        <f t="shared" si="255"/>
        <v>6</v>
      </c>
      <c r="BK167" s="428">
        <f t="shared" si="255"/>
        <v>7</v>
      </c>
      <c r="BL167" s="428">
        <f t="shared" si="255"/>
        <v>8</v>
      </c>
      <c r="BM167" s="428">
        <f t="shared" si="255"/>
        <v>9</v>
      </c>
      <c r="BN167" s="428">
        <f t="shared" si="255"/>
        <v>10</v>
      </c>
      <c r="BO167" s="428">
        <f t="shared" si="255"/>
        <v>11</v>
      </c>
      <c r="BP167" s="428">
        <f t="shared" si="255"/>
        <v>12</v>
      </c>
      <c r="BQ167" s="428">
        <f t="shared" si="255"/>
        <v>13</v>
      </c>
      <c r="BR167" s="428">
        <f t="shared" si="255"/>
        <v>14</v>
      </c>
      <c r="BS167" s="428">
        <f t="shared" si="255"/>
        <v>15</v>
      </c>
      <c r="BT167" s="428">
        <f t="shared" si="255"/>
        <v>16</v>
      </c>
      <c r="BU167" s="428">
        <f t="shared" si="255"/>
        <v>17</v>
      </c>
      <c r="BV167" s="428">
        <f t="shared" si="255"/>
        <v>18</v>
      </c>
      <c r="BW167" s="428">
        <f t="shared" si="255"/>
        <v>19</v>
      </c>
      <c r="BX167" s="428">
        <f t="shared" si="255"/>
        <v>20</v>
      </c>
      <c r="BY167" s="428">
        <f t="shared" si="255"/>
        <v>21</v>
      </c>
      <c r="BZ167" s="428">
        <f t="shared" si="255"/>
        <v>22</v>
      </c>
      <c r="CA167" s="428">
        <f t="shared" si="255"/>
        <v>23</v>
      </c>
      <c r="CB167" s="428">
        <f t="shared" si="255"/>
        <v>24</v>
      </c>
      <c r="CC167" s="428">
        <f t="shared" si="255"/>
        <v>25</v>
      </c>
      <c r="CD167" s="428">
        <f t="shared" si="255"/>
        <v>26</v>
      </c>
      <c r="CE167" s="428">
        <f t="shared" si="255"/>
        <v>27</v>
      </c>
      <c r="CF167" s="428">
        <f t="shared" si="255"/>
        <v>28</v>
      </c>
      <c r="CG167" s="428">
        <f t="shared" si="255"/>
        <v>29</v>
      </c>
      <c r="CH167" s="428">
        <f t="shared" si="255"/>
        <v>30</v>
      </c>
      <c r="CI167" s="428">
        <f t="shared" si="255"/>
        <v>31</v>
      </c>
      <c r="CJ167" s="428">
        <f t="shared" si="255"/>
        <v>32</v>
      </c>
      <c r="CK167" s="428">
        <f t="shared" si="255"/>
        <v>33</v>
      </c>
      <c r="CL167" s="428">
        <f t="shared" si="255"/>
        <v>34</v>
      </c>
      <c r="CM167" s="431"/>
      <c r="CN167" s="263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</row>
    <row r="168" spans="1:110" s="245" customFormat="1" ht="21.75" customHeight="1" thickBot="1">
      <c r="A168" s="413" t="s">
        <v>3</v>
      </c>
      <c r="B168" s="683" t="str">
        <f>IF(B167="","",IF(K10="X - X",VLOOKUP(B167,Espesor!$C$8:$E$41,2,0),VLOOKUP(B167,Espesor!$C$8:$E$41,3,0)))</f>
        <v/>
      </c>
      <c r="C168" s="684"/>
      <c r="D168" s="685"/>
      <c r="E168" s="683" t="str">
        <f>IF(E167="","",IF(K10="X - X",VLOOKUP(E167,Espesor!$C$8:$E$41,2,0),VLOOKUP(E167,Espesor!$C$8:$E$41,3,0)))</f>
        <v/>
      </c>
      <c r="F168" s="684"/>
      <c r="G168" s="685"/>
      <c r="H168" s="683" t="str">
        <f>IF(H167="","",IF(K10="X - X",VLOOKUP(H167,Espesor!$C$8:$E$41,2,0),VLOOKUP(H167,Espesor!$C$8:$E$41,3,0)))</f>
        <v/>
      </c>
      <c r="I168" s="684"/>
      <c r="J168" s="685"/>
      <c r="K168" s="683" t="str">
        <f>IF(K167="","",IF(K10="X - X",VLOOKUP(K167,Espesor!$C$8:$E$41,2,0),VLOOKUP(K167,Espesor!$C$8:$E$41,3,0)))</f>
        <v/>
      </c>
      <c r="L168" s="684"/>
      <c r="M168" s="685"/>
      <c r="N168" s="683" t="str">
        <f>IF(N167="","",IF(K10="X - X",VLOOKUP(N167,Espesor!$C$8:$E$41,2,0),VLOOKUP(N167,Espesor!$C$8:$E$41,3,0)))</f>
        <v/>
      </c>
      <c r="O168" s="684"/>
      <c r="P168" s="685"/>
      <c r="Q168" s="683" t="str">
        <f>IF(Q167="","",IF(K10="X - X",VLOOKUP(Q167,Espesor!$C$8:$E$41,2,0),VLOOKUP(Q167,Espesor!$C$8:$E$41,3,0)))</f>
        <v/>
      </c>
      <c r="R168" s="684"/>
      <c r="S168" s="685"/>
      <c r="T168" s="683" t="str">
        <f>IF(T167="","",IF(K10="X - X",VLOOKUP(T167,Espesor!$C$8:$E$41,2,0),VLOOKUP(T167,Espesor!$C$8:$E$41,3,0)))</f>
        <v/>
      </c>
      <c r="U168" s="684"/>
      <c r="V168" s="685"/>
      <c r="W168" s="683" t="str">
        <f>IF(W167="","",IF(K10="X - X",VLOOKUP(W167,Espesor!$C$8:$E$41,2,0),VLOOKUP(W167,Espesor!$C$8:$E$41,3,0)))</f>
        <v/>
      </c>
      <c r="X168" s="684"/>
      <c r="Y168" s="685"/>
      <c r="Z168" s="683" t="str">
        <f>IF(Z167="","",IF(K10="X - X",VLOOKUP(Z167,Espesor!$C$8:$E$41,2,0),VLOOKUP(Z167,Espesor!$C$8:$E$41,3,0)))</f>
        <v/>
      </c>
      <c r="AA168" s="684"/>
      <c r="AB168" s="685"/>
      <c r="AC168" s="380"/>
      <c r="AD168" s="338" t="s">
        <v>4</v>
      </c>
      <c r="AE168" s="322" t="s">
        <v>3</v>
      </c>
      <c r="AF168" s="339" t="s">
        <v>138</v>
      </c>
      <c r="AG168" s="637" t="s">
        <v>139</v>
      </c>
      <c r="AH168" s="638"/>
      <c r="AI168" s="638"/>
      <c r="AJ168" s="639"/>
      <c r="AK168" s="640" t="s">
        <v>142</v>
      </c>
      <c r="AL168" s="641"/>
      <c r="AM168" s="637" t="s">
        <v>143</v>
      </c>
      <c r="AN168" s="639"/>
      <c r="AO168" s="642" t="s">
        <v>144</v>
      </c>
      <c r="AP168" s="643"/>
      <c r="AQ168" s="643"/>
      <c r="AR168" s="644"/>
      <c r="AS168" s="642" t="s">
        <v>145</v>
      </c>
      <c r="AT168" s="643"/>
      <c r="AU168" s="644"/>
      <c r="AV168" s="645" t="s">
        <v>157</v>
      </c>
      <c r="AW168" s="646"/>
      <c r="AX168" s="646"/>
      <c r="AY168" s="646"/>
      <c r="AZ168" s="646"/>
      <c r="BA168" s="647"/>
      <c r="BB168" s="242"/>
      <c r="BC168" s="422">
        <f>+A164</f>
        <v>9</v>
      </c>
      <c r="BD168" s="398" t="s">
        <v>153</v>
      </c>
      <c r="BE168" s="429">
        <f>IF(BE167=$B$167,$B$179,IF(BE167=$E$167,$E$179,IF(BE167=$H$167,$H$179,IF(BE167=$K$167,$K$179,IF(BE167=$N$167,$N$179,IF(BE167=$Q$167,$Q$179,IF(BE167=$T$167,$T$179,IF(BE167=$W$167,$W$179,IF(BE167=$Z$167,$Z$179,0)))))))))</f>
        <v>0</v>
      </c>
      <c r="BF168" s="429">
        <f t="shared" ref="BF168:CL168" si="256">IF(BF167=$B$167,$B$179,IF(BF167=$E$167,$E$179,IF(BF167=$H$167,$H$179,IF(BF167=$K$167,$K$179,IF(BF167=$N$167,$N$179,IF(BF167=$Q$167,$Q$179,IF(BF167=$T$167,$T$179,IF(BF167=$W$167,$W$179,IF(BF167=$Z$167,$Z$179,0)))))))))</f>
        <v>0</v>
      </c>
      <c r="BG168" s="429">
        <f t="shared" si="256"/>
        <v>0</v>
      </c>
      <c r="BH168" s="429">
        <f t="shared" si="256"/>
        <v>0</v>
      </c>
      <c r="BI168" s="429">
        <f t="shared" si="256"/>
        <v>0</v>
      </c>
      <c r="BJ168" s="429">
        <f t="shared" si="256"/>
        <v>0</v>
      </c>
      <c r="BK168" s="429">
        <f t="shared" si="256"/>
        <v>0</v>
      </c>
      <c r="BL168" s="429">
        <f t="shared" si="256"/>
        <v>0</v>
      </c>
      <c r="BM168" s="429">
        <f t="shared" si="256"/>
        <v>0</v>
      </c>
      <c r="BN168" s="429">
        <f t="shared" si="256"/>
        <v>0</v>
      </c>
      <c r="BO168" s="429">
        <f t="shared" si="256"/>
        <v>0</v>
      </c>
      <c r="BP168" s="429">
        <f t="shared" si="256"/>
        <v>0</v>
      </c>
      <c r="BQ168" s="429">
        <f t="shared" si="256"/>
        <v>0</v>
      </c>
      <c r="BR168" s="429">
        <f t="shared" si="256"/>
        <v>0</v>
      </c>
      <c r="BS168" s="429">
        <f t="shared" si="256"/>
        <v>0</v>
      </c>
      <c r="BT168" s="429">
        <f t="shared" si="256"/>
        <v>0</v>
      </c>
      <c r="BU168" s="429">
        <f t="shared" si="256"/>
        <v>0</v>
      </c>
      <c r="BV168" s="429">
        <f t="shared" si="256"/>
        <v>0</v>
      </c>
      <c r="BW168" s="429">
        <f t="shared" si="256"/>
        <v>0</v>
      </c>
      <c r="BX168" s="429">
        <f t="shared" si="256"/>
        <v>0</v>
      </c>
      <c r="BY168" s="429">
        <f t="shared" si="256"/>
        <v>0</v>
      </c>
      <c r="BZ168" s="429">
        <f t="shared" si="256"/>
        <v>0</v>
      </c>
      <c r="CA168" s="429">
        <f t="shared" si="256"/>
        <v>0</v>
      </c>
      <c r="CB168" s="429">
        <f t="shared" si="256"/>
        <v>0</v>
      </c>
      <c r="CC168" s="429">
        <f t="shared" si="256"/>
        <v>0</v>
      </c>
      <c r="CD168" s="429">
        <f t="shared" si="256"/>
        <v>0</v>
      </c>
      <c r="CE168" s="429">
        <f t="shared" si="256"/>
        <v>0</v>
      </c>
      <c r="CF168" s="429">
        <f t="shared" si="256"/>
        <v>0</v>
      </c>
      <c r="CG168" s="429">
        <f t="shared" si="256"/>
        <v>0</v>
      </c>
      <c r="CH168" s="429">
        <f t="shared" si="256"/>
        <v>0</v>
      </c>
      <c r="CI168" s="429">
        <f t="shared" si="256"/>
        <v>0</v>
      </c>
      <c r="CJ168" s="429">
        <f t="shared" si="256"/>
        <v>0</v>
      </c>
      <c r="CK168" s="429">
        <f t="shared" si="256"/>
        <v>0</v>
      </c>
      <c r="CL168" s="429">
        <f t="shared" si="256"/>
        <v>0</v>
      </c>
      <c r="CM168" s="473"/>
      <c r="CN168" s="28"/>
      <c r="CO168" s="242"/>
      <c r="CP168" s="242"/>
      <c r="CQ168" s="242"/>
      <c r="CR168" s="242"/>
      <c r="CS168" s="242"/>
      <c r="CT168" s="242"/>
      <c r="CU168" s="242"/>
      <c r="CV168" s="242"/>
      <c r="CW168" s="242"/>
      <c r="CX168" s="242"/>
      <c r="CY168" s="242"/>
      <c r="CZ168" s="242"/>
      <c r="DA168" s="242"/>
      <c r="DB168" s="242"/>
      <c r="DC168" s="242"/>
      <c r="DD168" s="242"/>
      <c r="DE168" s="242"/>
      <c r="DF168" s="242"/>
    </row>
    <row r="169" spans="1:110" s="246" customFormat="1" ht="23.25" customHeight="1">
      <c r="A169" s="257" t="s">
        <v>65</v>
      </c>
      <c r="B169" s="679" t="str">
        <f>+IF(B167="","",IF(LOOKUP(B167,Espesor!$C$8:$C$41,Espesor!$K$8:$K$41)="en voladizo","",0.75/B168))</f>
        <v/>
      </c>
      <c r="C169" s="680"/>
      <c r="D169" s="681"/>
      <c r="E169" s="679" t="str">
        <f>IF(E167="","",IF(LOOKUP(E167,Espesor!$C$8:$C$41,Espesor!$K$8:$K$41)="en voladizo","",IF(H167="",0.75/E168,1/E168)))</f>
        <v/>
      </c>
      <c r="F169" s="680"/>
      <c r="G169" s="681"/>
      <c r="H169" s="679" t="str">
        <f>IF(H167="","",IF(LOOKUP(H167,Espesor!$C$8:$C$41,Espesor!$K$8:$K$41)="en voladizo","",IF(K167="",0.75/H168,1/H168)))</f>
        <v/>
      </c>
      <c r="I169" s="680"/>
      <c r="J169" s="681"/>
      <c r="K169" s="679" t="str">
        <f>IF(K167="","",IF(LOOKUP(K167,Espesor!$C$8:$C$41,Espesor!$K$8:$K$41)="en voladizo","",IF(N167="",0.75/K168,1/K168)))</f>
        <v/>
      </c>
      <c r="L169" s="680"/>
      <c r="M169" s="681"/>
      <c r="N169" s="679" t="str">
        <f>IF(N167="","",IF(LOOKUP(N167,Espesor!$C$8:$C$41,Espesor!$K$8:$K$41)="en voladizo","",IF(Q167="",0.75/N168,1/N168)))</f>
        <v/>
      </c>
      <c r="O169" s="680"/>
      <c r="P169" s="681"/>
      <c r="Q169" s="679" t="str">
        <f>IF(Q167="","",IF(LOOKUP(Q167,Espesor!$C$8:$C$41,Espesor!$K$8:$K$41)="en voladizo","",IF(T167="",0.75/Q168,1/Q168)))</f>
        <v/>
      </c>
      <c r="R169" s="680"/>
      <c r="S169" s="681"/>
      <c r="T169" s="679" t="str">
        <f>IF(T167="","",IF(LOOKUP(T167,Espesor!$C$8:$C$41,Espesor!$K$8:$K$41)="en voladizo","",IF(W167="",0.75/T168,1/T168)))</f>
        <v/>
      </c>
      <c r="U169" s="680"/>
      <c r="V169" s="681"/>
      <c r="W169" s="679" t="str">
        <f>IF(W167="","",IF(LOOKUP(W167,Espesor!$C$8:$C$41,Espesor!$K$8:$K$41)="en voladizo","",IF(Z167="",0.75/W168,1/W168)))</f>
        <v/>
      </c>
      <c r="X169" s="680"/>
      <c r="Y169" s="681"/>
      <c r="Z169" s="679" t="str">
        <f>IF(Z167="","",IF(LOOKUP(Z167,Espesor!$C$8:$C$41,Espesor!$K$8:$K$41)="en voladizo","",IF(AC167="",0.75/Z168,1/Z168)))</f>
        <v/>
      </c>
      <c r="AA169" s="680"/>
      <c r="AB169" s="681"/>
      <c r="AC169" s="210"/>
      <c r="AD169" s="320" t="str">
        <f>+IF(AE167="","",AE167)</f>
        <v/>
      </c>
      <c r="AE169" s="323" t="str">
        <f>IF(B143="","",IF($K$2="X - X",VLOOKUP(B143,Espesor!$C$8:$E$41,2,0),VLOOKUP(B143,Espesor!$C$8:$E$41,3,0)))</f>
        <v/>
      </c>
      <c r="AF169" s="318" t="str">
        <f>+IF(AD169="","",IF(LOOKUP(AD169,Espesor!$C$8:$C$41,Espesor!$K$8:$K$41)="en voladizo","",0.75/AE169))</f>
        <v/>
      </c>
      <c r="AG169" s="648" t="str">
        <f>IF(AF169="","",IF(AF170="","",ROUND(AF169/(AF169+AF170),3)))</f>
        <v/>
      </c>
      <c r="AH169" s="343"/>
      <c r="AI169" s="648" t="str">
        <f>IF(AF170="","",IF(AF169="","",ROUND(AF170/(AF170+AF169),3)))</f>
        <v/>
      </c>
      <c r="AJ169" s="343"/>
      <c r="AK169" s="342">
        <v>0</v>
      </c>
      <c r="AL169" s="316" t="e">
        <f>-IF(B142="","",IF($K$2="X - X",VLOOKUP(B142,'Moms de Empt'!$P$3:$T$36,3,0),VLOOKUP(B142,'Moms de Empt'!$P$3:$T$36,5,0)))</f>
        <v>#VALUE!</v>
      </c>
      <c r="AM169" s="649">
        <f>IF(AD170="",0,IF(LOOKUP(AD170,Espesor!$C$8:$C$41,Espesor!$K$8:$K$41)="en voladizo",MAX(ABS(AL169),ABS(AK170)),-(AK170+AL169)))</f>
        <v>0</v>
      </c>
      <c r="AN169" s="345"/>
      <c r="AO169" s="650" t="str">
        <f>IF(AG169="","",AM169*AG169)</f>
        <v/>
      </c>
      <c r="AP169" s="342"/>
      <c r="AQ169" s="650" t="str">
        <f>IF(AI169="","",AM169*AI169)</f>
        <v/>
      </c>
      <c r="AR169" s="342"/>
      <c r="AS169" s="651" t="e">
        <f>-IF(AM169="","",IF(AL169="",IF(AO169="",0,AO169),IF(AO169="",AL169,AL169+AO169)))</f>
        <v>#VALUE!</v>
      </c>
      <c r="AT169" s="341"/>
      <c r="AU169" s="341" t="e">
        <f>+AS169</f>
        <v>#VALUE!</v>
      </c>
      <c r="AV169" s="329" t="str">
        <f>IF(B142="","",IF(L142="X - X",VLOOKUP(B167,'Moms de Empt'!$P$3:$T$36,2,0),VLOOKUP(B167,'Moms de Empt'!$P$3:$T$36,4,0)))</f>
        <v/>
      </c>
      <c r="AW169" s="653" t="str">
        <f>IF(B169="","",IF(D171="","",IF(ABS(D175)&gt;ABS(D171),-0.5*ABS(D173),0.5*ABS(D173))))</f>
        <v/>
      </c>
      <c r="AX169" s="330"/>
      <c r="AY169" s="653" t="str">
        <f>IF(AV170="","",IF(AV169="","",ROUND(AV170/(AV170+AV169),3)))</f>
        <v/>
      </c>
      <c r="AZ169" s="330"/>
      <c r="BA169" s="331" t="str">
        <f t="shared" ref="BA169:BA176" si="257">+AV169</f>
        <v/>
      </c>
      <c r="BB169" s="245"/>
      <c r="BC169" s="422"/>
      <c r="BD169" s="398"/>
      <c r="BE169" s="429"/>
      <c r="BF169" s="30"/>
      <c r="BG169" s="30"/>
      <c r="BH169" s="30"/>
      <c r="BI169" s="30"/>
      <c r="BJ169" s="30"/>
      <c r="BK169" s="396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432"/>
      <c r="CN169" s="242"/>
      <c r="CO169" s="245"/>
      <c r="CP169" s="245"/>
      <c r="CQ169" s="245"/>
      <c r="CR169" s="245"/>
      <c r="CS169" s="245"/>
      <c r="CT169" s="245"/>
      <c r="CU169" s="245"/>
      <c r="CV169" s="245"/>
      <c r="CW169" s="245"/>
      <c r="CX169" s="245"/>
      <c r="CY169" s="245"/>
      <c r="CZ169" s="245"/>
      <c r="DA169" s="245"/>
      <c r="DB169" s="245"/>
      <c r="DC169" s="245"/>
      <c r="DD169" s="245"/>
      <c r="DE169" s="245"/>
      <c r="DF169" s="245"/>
    </row>
    <row r="170" spans="1:110" s="32" customFormat="1" ht="21.75" customHeight="1">
      <c r="A170" s="247" t="s">
        <v>123</v>
      </c>
      <c r="B170" s="29"/>
      <c r="C170" s="30"/>
      <c r="D170" s="31">
        <f>IF(B169="",0,IF(E169="",0,ROUND(B169/(B169+E169),3)))</f>
        <v>0</v>
      </c>
      <c r="E170" s="29">
        <f>IF(E169="",0,IF(B169="",0,ROUND(E169/(E169+B169),3)))</f>
        <v>0</v>
      </c>
      <c r="F170" s="30"/>
      <c r="G170" s="31">
        <f>IF(E169="",0,IF(H169="",0,ROUND(E169/(E169+H169),3)))</f>
        <v>0</v>
      </c>
      <c r="H170" s="29">
        <f>IF(H169="",0,IF(E169="",0,ROUND(H169/(H169+E169),3)))</f>
        <v>0</v>
      </c>
      <c r="I170" s="30"/>
      <c r="J170" s="31">
        <f>IF(H169="",0,IF(K169="",0,ROUND(H169/(H169+K169),3)))</f>
        <v>0</v>
      </c>
      <c r="K170" s="29">
        <f>IF(K169="",0,IF(H169="",0,ROUND(K169/(K169+H169),3)))</f>
        <v>0</v>
      </c>
      <c r="L170" s="30"/>
      <c r="M170" s="31">
        <f>IF(K169="",0,IF(N169="",0,ROUND(K169/(K169+N169),3)))</f>
        <v>0</v>
      </c>
      <c r="N170" s="29">
        <f>IF(N169="",0,IF(K169="",0,ROUND(N169/(N169+K169),3)))</f>
        <v>0</v>
      </c>
      <c r="O170" s="30"/>
      <c r="P170" s="31">
        <f>IF(N169="",0,IF(Q169="",0,ROUND(N169/(N169+Q169),3)))</f>
        <v>0</v>
      </c>
      <c r="Q170" s="29">
        <f>IF(Q169="",0,IF(N169="",0,ROUND(Q169/(Q169+N169),3)))</f>
        <v>0</v>
      </c>
      <c r="R170" s="30"/>
      <c r="S170" s="31">
        <f>IF(Q169="",0,IF(T169="",0,ROUND(Q169/(Q169+T169),3)))</f>
        <v>0</v>
      </c>
      <c r="T170" s="29">
        <f>IF(T169="",0,IF(Q169="",0,ROUND(T169/(T169+Q169),3)))</f>
        <v>0</v>
      </c>
      <c r="U170" s="30"/>
      <c r="V170" s="31">
        <f>IF(T169="",0,IF(W169="",0,ROUND(T169/(T169+W169),3)))</f>
        <v>0</v>
      </c>
      <c r="W170" s="29">
        <f>IF(W169="",0,IF(T169="",0,ROUND(W169/(W169+T169),3)))</f>
        <v>0</v>
      </c>
      <c r="X170" s="30"/>
      <c r="Y170" s="31">
        <f>IF(W169="",0,IF(Z169="",0,ROUND(W169/(W169+Z169),3)))</f>
        <v>0</v>
      </c>
      <c r="Z170" s="29">
        <f>IF(Z169="",0,IF(W169="",0,ROUND(Z169/(Z169+W169),3)))</f>
        <v>0</v>
      </c>
      <c r="AA170" s="30"/>
      <c r="AB170" s="31">
        <f>IF(Z169="",0,IF(AC169="",0,ROUND(Z169/(Z169+AC169),3)))</f>
        <v>0</v>
      </c>
      <c r="AC170" s="29"/>
      <c r="AD170" s="321" t="str">
        <f>+IF(AF167="","",AF167)</f>
        <v/>
      </c>
      <c r="AE170" s="324" t="str">
        <f>IF(C142="","",IF($K$2="X - X",VLOOKUP(C142,Espesor!$C$8:$E$41,2,0),VLOOKUP(C142,Espesor!$C$8:$E$41,3,0)))</f>
        <v/>
      </c>
      <c r="AF170" s="319" t="str">
        <f>IF(AD170="","",IF(LOOKUP(AD170,Espesor!$C$8:$C$41,Espesor!$K$8:$K$41)="en voladizo","",IF(AD171="",0.75/AE170,1/AE170)))</f>
        <v/>
      </c>
      <c r="AG170" s="634"/>
      <c r="AH170" s="634" t="str">
        <f>IF(AF170="","",IF(AF171="","",ROUND(AF170/(AF170+AF171),3)))</f>
        <v/>
      </c>
      <c r="AI170" s="634"/>
      <c r="AJ170" s="634" t="str">
        <f>IF(AF170="","",IF(AF171="","",ROUND(AF171/(AF170+AF171),3)))</f>
        <v/>
      </c>
      <c r="AK170" s="317">
        <f>IF(C142="",0,IF($K$2="X - X",VLOOKUP(C142,'Moms de Empt'!$P$3:$T$36,3,0),VLOOKUP(C142,'Moms de Empt'!$P$3:$T$36,5,0)))</f>
        <v>0</v>
      </c>
      <c r="AL170" s="317">
        <f>+IF(AD171="",0,-AK170)</f>
        <v>0</v>
      </c>
      <c r="AM170" s="629"/>
      <c r="AN170" s="629">
        <f>IF(AD171="",0,IF(LOOKUP(AD171,Espesor!$C$8:$C$41,Espesor!$K$8:$K$41)="en voladizo",MAX(ABS(AL170),ABS(AK171)),-(AK171+AL170)))</f>
        <v>0</v>
      </c>
      <c r="AO170" s="630"/>
      <c r="AP170" s="630" t="str">
        <f>IF(AH170="","",AN170*AH170)</f>
        <v/>
      </c>
      <c r="AQ170" s="630"/>
      <c r="AR170" s="630" t="str">
        <f>IF(AJ170="","",AN170*AJ170)</f>
        <v/>
      </c>
      <c r="AS170" s="652"/>
      <c r="AT170" s="631">
        <f>-IF(AN170="","",IF(AL170="",IF(AP170="",0,AP170),IF(AP170="",AL170,AL170+AP170)))</f>
        <v>0</v>
      </c>
      <c r="AU170" s="341">
        <f>+AT170</f>
        <v>0</v>
      </c>
      <c r="AV170" s="332" t="str">
        <f>IF(E167="","",IF(L142="X - X",VLOOKUP(E167,'Moms de Empt'!$P$3:$T$36,2,0),VLOOKUP(E167,'Moms de Empt'!$P$3:$T$36,4,0)))</f>
        <v/>
      </c>
      <c r="AW170" s="635"/>
      <c r="AX170" s="633" t="str">
        <f>IF(AV170="","",IF(AV171="","",ROUND(AV170/(AV170+AV171),3)))</f>
        <v/>
      </c>
      <c r="AY170" s="635"/>
      <c r="AZ170" s="633" t="str">
        <f>IF(AV170="","",IF(AV171="","",ROUND(AV171/(AV170+AV171),3)))</f>
        <v/>
      </c>
      <c r="BA170" s="331" t="str">
        <f t="shared" si="257"/>
        <v/>
      </c>
      <c r="BB170" s="246"/>
      <c r="BC170" s="422"/>
      <c r="BD170" s="398"/>
      <c r="BE170" s="429"/>
      <c r="BF170" s="392"/>
      <c r="BG170" s="392"/>
      <c r="BH170" s="392"/>
      <c r="BI170" s="392"/>
      <c r="BJ170" s="392"/>
      <c r="BK170" s="396"/>
      <c r="BL170" s="393"/>
      <c r="BM170" s="393"/>
      <c r="BN170" s="393"/>
      <c r="BO170" s="393"/>
      <c r="BP170" s="393"/>
      <c r="BQ170" s="393"/>
      <c r="BR170" s="393"/>
      <c r="BS170" s="393"/>
      <c r="BT170" s="393"/>
      <c r="BU170" s="393"/>
      <c r="BV170" s="393"/>
      <c r="BW170" s="393"/>
      <c r="BX170" s="393"/>
      <c r="BY170" s="393"/>
      <c r="BZ170" s="393"/>
      <c r="CA170" s="393"/>
      <c r="CB170" s="393"/>
      <c r="CC170" s="393"/>
      <c r="CD170" s="393"/>
      <c r="CE170" s="393"/>
      <c r="CF170" s="393"/>
      <c r="CG170" s="393"/>
      <c r="CH170" s="393"/>
      <c r="CI170" s="393"/>
      <c r="CJ170" s="393"/>
      <c r="CK170" s="393"/>
      <c r="CL170" s="393"/>
      <c r="CM170" s="477"/>
      <c r="CN170" s="245"/>
      <c r="CO170" s="246"/>
      <c r="CP170" s="246"/>
      <c r="CQ170" s="246"/>
      <c r="CR170" s="246"/>
      <c r="CS170" s="246"/>
      <c r="CT170" s="246"/>
      <c r="CU170" s="246"/>
      <c r="CV170" s="246"/>
      <c r="CW170" s="246"/>
      <c r="CX170" s="246"/>
      <c r="CY170" s="246"/>
      <c r="CZ170" s="246"/>
      <c r="DA170" s="246"/>
      <c r="DB170" s="246"/>
      <c r="DC170" s="246"/>
      <c r="DD170" s="246"/>
      <c r="DE170" s="246"/>
      <c r="DF170" s="246"/>
    </row>
    <row r="171" spans="1:110" s="35" customFormat="1" ht="21.75" customHeight="1">
      <c r="A171" s="248" t="s">
        <v>124</v>
      </c>
      <c r="B171" s="249"/>
      <c r="C171" s="34"/>
      <c r="D171" s="33" t="str">
        <f>IF(B167="","",-VLOOKUP(B167,'Moms de Empt'!$P$3:$T$36,3,0))</f>
        <v/>
      </c>
      <c r="E171" s="34" t="str">
        <f>IF(E167="","",IF($K$10="X - X",VLOOKUP(E167,'Moms de Empt'!$P$3:$T$36,3,0),VLOOKUP(E167,'Moms de Empt'!$P$3:$T$36,5,0)))</f>
        <v/>
      </c>
      <c r="F171" s="34"/>
      <c r="G171" s="33" t="str">
        <f>+IF(H167="","",-E171)</f>
        <v/>
      </c>
      <c r="H171" s="34" t="str">
        <f>IF(H167="","",IF($K$10="X - X",VLOOKUP(H167,'Moms de Empt'!$P$3:$T$36,3,0),VLOOKUP(H167,'Moms de Empt'!$P$3:$T$36,5,0)))</f>
        <v/>
      </c>
      <c r="I171" s="34"/>
      <c r="J171" s="33" t="str">
        <f>+IF(K167="","",-H171)</f>
        <v/>
      </c>
      <c r="K171" s="34" t="str">
        <f>IF(K167="","",IF($K$10="X - X",VLOOKUP(K167,'Moms de Empt'!$P$3:$T$36,3,0),VLOOKUP(K167,'Moms de Empt'!$P$3:$T$36,5,0)))</f>
        <v/>
      </c>
      <c r="L171" s="34"/>
      <c r="M171" s="33" t="str">
        <f>+IF(N167="","",-K171)</f>
        <v/>
      </c>
      <c r="N171" s="34" t="str">
        <f>IF(N167="","",IF($K$10="X - X",VLOOKUP(N167,'Moms de Empt'!$P$3:$T$36,3,0),VLOOKUP(N167,'Moms de Empt'!$P$3:$T$36,5,0)))</f>
        <v/>
      </c>
      <c r="O171" s="34"/>
      <c r="P171" s="33" t="str">
        <f>+IF(Q167="","",-N171)</f>
        <v/>
      </c>
      <c r="Q171" s="34" t="str">
        <f>IF(Q167="","",IF($K$10="X - X",VLOOKUP(Q167,'Moms de Empt'!$P$3:$T$36,3,0),VLOOKUP(Q167,'Moms de Empt'!$P$3:$T$36,5,0)))</f>
        <v/>
      </c>
      <c r="R171" s="34"/>
      <c r="S171" s="33" t="str">
        <f>+IF(T167="","",-Q171)</f>
        <v/>
      </c>
      <c r="T171" s="34" t="str">
        <f>IF(T167="","",IF($K$10="X - X",VLOOKUP(T167,'Moms de Empt'!$P$3:$T$36,3,0),VLOOKUP(T167,'Moms de Empt'!$P$3:$T$36,5,0)))</f>
        <v/>
      </c>
      <c r="U171" s="34"/>
      <c r="V171" s="33" t="str">
        <f>+IF(W167="","",-T171)</f>
        <v/>
      </c>
      <c r="W171" s="34" t="str">
        <f>IF(W167="","",IF($K$10="X - X",VLOOKUP(W167,'Moms de Empt'!$P$3:$T$36,3,0),VLOOKUP(W167,'Moms de Empt'!$P$3:$T$36,5,0)))</f>
        <v/>
      </c>
      <c r="X171" s="34"/>
      <c r="Y171" s="33" t="str">
        <f>+IF(Z167="","",-W171)</f>
        <v/>
      </c>
      <c r="Z171" s="34" t="str">
        <f>IF(Z167="","",IF($K$10="X - X",VLOOKUP(Z167,'Moms de Empt'!$P$3:$T$36,3,0),VLOOKUP(Z167,'Moms de Empt'!$P$3:$T$36,5,0)))</f>
        <v/>
      </c>
      <c r="AA171" s="34"/>
      <c r="AB171" s="33"/>
      <c r="AD171" s="321" t="str">
        <f>+IF(AG167="","",AG167)</f>
        <v/>
      </c>
      <c r="AE171" s="324" t="str">
        <f>IF(C143="","",IF($K$2="X - X",VLOOKUP(C143,Espesor!$C$8:$E$41,2,0),VLOOKUP(C143,Espesor!$C$8:$E$41,3,0)))</f>
        <v/>
      </c>
      <c r="AF171" s="319" t="str">
        <f>IF(AD171="","",IF(LOOKUP(AD171,Espesor!$C$8:$C$41,Espesor!$K$8:$K$41)="en voladizo","",IF(AD172="",0.75/AE171,1/AE171)))</f>
        <v/>
      </c>
      <c r="AG171" s="634" t="str">
        <f>IF(AF171="","",IF(AF172="","",ROUND(AF171/(AF171+AF172),3)))</f>
        <v/>
      </c>
      <c r="AH171" s="634"/>
      <c r="AI171" s="634" t="str">
        <f>IF(AF172="","",IF(AF171="","",ROUND(AF172/(AF172+AF171),3)))</f>
        <v/>
      </c>
      <c r="AJ171" s="634"/>
      <c r="AK171" s="317">
        <f>IF(D142="",0,IF($K$2="X - X",VLOOKUP(D142,'Moms de Empt'!$P$3:$T$36,3,0),VLOOKUP(D142,'Moms de Empt'!$P$3:$T$36,5,0)))</f>
        <v>0</v>
      </c>
      <c r="AL171" s="317">
        <f>+IF(AD172="",0,-AK171)</f>
        <v>0</v>
      </c>
      <c r="AM171" s="629">
        <f>IF(AD172="",0,IF(LOOKUP(AD172,Espesor!$C$8:$C$41,Espesor!$K$8:$K$41)="en voladizo",MAX(ABS(AL171),ABS(AK172)),-(AK172+AL171)))</f>
        <v>0</v>
      </c>
      <c r="AN171" s="629"/>
      <c r="AO171" s="630" t="str">
        <f>IF(AG171="","",AM171*AG171)</f>
        <v/>
      </c>
      <c r="AP171" s="630"/>
      <c r="AQ171" s="630" t="str">
        <f>IF(AI171="","",AM171*AI171)</f>
        <v/>
      </c>
      <c r="AR171" s="630"/>
      <c r="AS171" s="631">
        <f>-IF(AM171="","",IF(AL171="",IF(AO171="",0,AO171),IF(AO171="",AL171,AL171+AO171)))</f>
        <v>0</v>
      </c>
      <c r="AT171" s="632"/>
      <c r="AU171" s="341">
        <f>+AS171</f>
        <v>0</v>
      </c>
      <c r="AV171" s="332" t="str">
        <f>IF(H167="","",IF(L142="X - X",VLOOKUP(H167,'Moms de Empt'!$P$3:$T$36,2,0),VLOOKUP(H167,'Moms de Empt'!$P$3:$T$36,4,0)))</f>
        <v/>
      </c>
      <c r="AW171" s="635" t="str">
        <f>IF(AV171="","",IF(AV172="","",ROUND(AV171/(AV171+AV172),3)))</f>
        <v/>
      </c>
      <c r="AX171" s="633"/>
      <c r="AY171" s="635" t="str">
        <f>IF(AV172="","",IF(AV171="","",ROUND(AV172/(AV172+AV171),3)))</f>
        <v/>
      </c>
      <c r="AZ171" s="633"/>
      <c r="BA171" s="331" t="str">
        <f t="shared" si="257"/>
        <v/>
      </c>
      <c r="BB171" s="32"/>
      <c r="BC171" s="422"/>
      <c r="BD171" s="398"/>
      <c r="BE171" s="429"/>
      <c r="BF171" s="406"/>
      <c r="BG171" s="406"/>
      <c r="BH171" s="406"/>
      <c r="BI171" s="406"/>
      <c r="BJ171" s="406"/>
      <c r="BK171" s="397"/>
      <c r="BL171" s="393"/>
      <c r="BM171" s="393"/>
      <c r="BN171" s="393"/>
      <c r="BO171" s="393"/>
      <c r="BP171" s="393"/>
      <c r="BQ171" s="393"/>
      <c r="BR171" s="393"/>
      <c r="BS171" s="393"/>
      <c r="BT171" s="393"/>
      <c r="BU171" s="393"/>
      <c r="BV171" s="393"/>
      <c r="BW171" s="393"/>
      <c r="BX171" s="393"/>
      <c r="BY171" s="393"/>
      <c r="BZ171" s="393"/>
      <c r="CA171" s="393"/>
      <c r="CB171" s="393"/>
      <c r="CC171" s="393"/>
      <c r="CD171" s="393"/>
      <c r="CE171" s="393"/>
      <c r="CF171" s="393"/>
      <c r="CG171" s="393"/>
      <c r="CH171" s="393"/>
      <c r="CI171" s="393"/>
      <c r="CJ171" s="393"/>
      <c r="CK171" s="393"/>
      <c r="CL171" s="393"/>
      <c r="CM171" s="474"/>
      <c r="CN171" s="246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</row>
    <row r="172" spans="1:110" s="286" customFormat="1" ht="21.75" customHeight="1">
      <c r="A172" s="250" t="s">
        <v>125</v>
      </c>
      <c r="B172" s="272"/>
      <c r="C172" s="406"/>
      <c r="D172" s="678">
        <f>+IF(E167="",0,IF(LOOKUP(E167,Espesor!$C$8:$C$41,Espesor!$K$8:$K$41)="en voladizo",IF(LOOKUP(B167,Espesor!$C$8:$C$41,Espesor!$K$8:$K$41)="en voladizo","Inestable",MAX(ABS(D171),ABS(E171))),IF(LOOKUP(B167,Espesor!$C$8:$C$41,Espesor!$K$8:$K$41)="en voladizo",MAX(ABS(D171),ABS(E171)),-(E171+D171))))</f>
        <v>0</v>
      </c>
      <c r="E172" s="678"/>
      <c r="F172" s="406"/>
      <c r="G172" s="678">
        <f>+IF(H167="",0,IF(LOOKUP(H167,Espesor!$C$8:$C$41,Espesor!$K$8:$K$41)="en voladizo",IF(LOOKUP(E167,Espesor!$C$8:$C$41,Espesor!$K$8:$K$41)="en voladizo","Inestable",MAX(ABS(G171),ABS(H171))),IF(LOOKUP(E167,Espesor!$C$8:$C$41,Espesor!$K$8:$K$41)="en voladizo",MAX(ABS(G171),ABS(H171)),-(H171+G171))))</f>
        <v>0</v>
      </c>
      <c r="H172" s="678"/>
      <c r="I172" s="406"/>
      <c r="J172" s="678">
        <f>+IF(K167="",0,IF(LOOKUP(K167,Espesor!$C$8:$C$41,Espesor!$K$8:$K$41)="en voladizo",IF(LOOKUP(H167,Espesor!$C$8:$C$41,Espesor!$K$8:$K$41)="en voladizo","Inestable",MAX(ABS(J171),ABS(K171))),IF(LOOKUP(H167,Espesor!$C$8:$C$41,Espesor!$K$8:$K$41)="en voladizo",MAX(ABS(J171),ABS(K171)),-(K171+J171))))</f>
        <v>0</v>
      </c>
      <c r="K172" s="678"/>
      <c r="L172" s="406"/>
      <c r="M172" s="678">
        <f>+IF(N167="",0,IF(LOOKUP(N167,Espesor!$C$8:$C$41,Espesor!$K$8:$K$41)="en voladizo",IF(LOOKUP(K167,Espesor!$C$8:$C$41,Espesor!$K$8:$K$41)="en voladizo","Inestable",MAX(ABS(M171),ABS(N171))),IF(LOOKUP(K167,Espesor!$C$8:$C$41,Espesor!$K$8:$K$41)="en voladizo",MAX(ABS(M171),ABS(N171)),-(N171+M171))))</f>
        <v>0</v>
      </c>
      <c r="N172" s="678"/>
      <c r="O172" s="406"/>
      <c r="P172" s="678">
        <f>+IF(Q167="",0,IF(LOOKUP(Q167,Espesor!$C$8:$C$41,Espesor!$K$8:$K$41)="en voladizo",IF(LOOKUP(N167,Espesor!$C$8:$C$41,Espesor!$K$8:$K$41)="en voladizo","Inestable",MAX(ABS(P171),ABS(Q171))),IF(LOOKUP(N167,Espesor!$C$8:$C$41,Espesor!$K$8:$K$41)="en voladizo",MAX(ABS(P171),ABS(Q171)),-(Q171+P171))))</f>
        <v>0</v>
      </c>
      <c r="Q172" s="678"/>
      <c r="R172" s="406"/>
      <c r="S172" s="678">
        <f>+IF(T167="",0,IF(LOOKUP(T167,Espesor!$C$8:$C$41,Espesor!$K$8:$K$41)="en voladizo",IF(LOOKUP(Q167,Espesor!$C$8:$C$41,Espesor!$K$8:$K$41)="en voladizo","Inestable",MAX(ABS(S171),ABS(T171))),IF(LOOKUP(Q167,Espesor!$C$8:$C$41,Espesor!$K$8:$K$41)="en voladizo",MAX(ABS(S171),ABS(T171)),-(T171+S171))))</f>
        <v>0</v>
      </c>
      <c r="T172" s="678"/>
      <c r="U172" s="406"/>
      <c r="V172" s="678">
        <f>+IF(W167="",0,IF(LOOKUP(W167,Espesor!$C$8:$C$41,Espesor!$K$8:$K$41)="en voladizo",IF(LOOKUP(T167,Espesor!$C$8:$C$41,Espesor!$K$8:$K$41)="en voladizo","Inestable",MAX(ABS(V171),ABS(W171))),IF(LOOKUP(T167,Espesor!$C$8:$C$41,Espesor!$K$8:$K$41)="en voladizo",MAX(ABS(V171),ABS(W171)),-(W171+V171))))</f>
        <v>0</v>
      </c>
      <c r="W172" s="678"/>
      <c r="X172" s="406"/>
      <c r="Y172" s="678">
        <f>+IF(Z167="",0,IF(LOOKUP(Z167,Espesor!$C$8:$C$41,Espesor!$K$8:$K$41)="en voladizo",IF(LOOKUP(W167,Espesor!$C$8:$C$41,Espesor!$K$8:$K$41)="en voladizo","Inestable",MAX(ABS(Y171),ABS(Z171))),IF(LOOKUP(W167,Espesor!$C$8:$C$41,Espesor!$K$8:$K$41)="en voladizo",MAX(ABS(Y171),ABS(Z171)),-(Z171+Y171))))</f>
        <v>0</v>
      </c>
      <c r="Z172" s="678"/>
      <c r="AA172" s="406"/>
      <c r="AB172" s="252"/>
      <c r="AC172" s="292"/>
      <c r="AD172" s="321" t="str">
        <f>+IF(AH167="","",AH167)</f>
        <v/>
      </c>
      <c r="AE172" s="324" t="str">
        <f>IF(K167="","",IF($K$2="X - X",VLOOKUP(K167,Espesor!$C$8:$E$41,2,0),VLOOKUP(K167,Espesor!$C$8:$E$41,3,0)))</f>
        <v/>
      </c>
      <c r="AF172" s="319" t="str">
        <f>IF(AD172="","",IF(LOOKUP(AD172,Espesor!$C$8:$C$41,Espesor!$K$8:$K$41)="en voladizo","",IF(AD173="",0.75/AE172,1/AE172)))</f>
        <v/>
      </c>
      <c r="AG172" s="634"/>
      <c r="AH172" s="634" t="str">
        <f>IF(AF172="","",IF(AF173="","",ROUND(AF172/(AF172+AF173),3)))</f>
        <v/>
      </c>
      <c r="AI172" s="634"/>
      <c r="AJ172" s="634" t="str">
        <f>IF(AF172="","",IF(AF173="","",ROUND(AF173/(AF172+AF173),3)))</f>
        <v/>
      </c>
      <c r="AK172" s="317">
        <f>IF(E142="",0,IF($K$2="X - X",VLOOKUP(E142,'Moms de Empt'!$P$3:$T$36,3,0),VLOOKUP(E142,'Moms de Empt'!$P$3:$T$36,5,0)))</f>
        <v>0</v>
      </c>
      <c r="AL172" s="317">
        <f t="shared" ref="AL172:AL174" si="258">+IF(AD173="",0,-AK172)</f>
        <v>0</v>
      </c>
      <c r="AM172" s="629"/>
      <c r="AN172" s="629">
        <f>IF(AD173="",0,IF(LOOKUP(AD173,Espesor!$C$8:$C$41,Espesor!$K$8:$K$41)="en voladizo",MAX(ABS(AL172),ABS(AK173)),-(AK173+AL172)))</f>
        <v>0</v>
      </c>
      <c r="AO172" s="630"/>
      <c r="AP172" s="630" t="str">
        <f t="shared" ref="AP172" si="259">IF(AH172="","",AN172*AH172)</f>
        <v/>
      </c>
      <c r="AQ172" s="630"/>
      <c r="AR172" s="630" t="str">
        <f t="shared" ref="AR172" si="260">IF(AJ172="","",AN172*AJ172)</f>
        <v/>
      </c>
      <c r="AS172" s="632"/>
      <c r="AT172" s="631">
        <f t="shared" ref="AT172" si="261">-IF(AN172="","",IF(AL172="",IF(AP172="",0,AP172),IF(AP172="",AL172,AL172+AP172)))</f>
        <v>0</v>
      </c>
      <c r="AU172" s="341">
        <f>+AT172</f>
        <v>0</v>
      </c>
      <c r="AV172" s="332" t="str">
        <f>IF(K167="","",IF(L142="X - X",VLOOKUP(K167,'Moms de Empt'!$P$3:$T$36,2,0),VLOOKUP(K167,'Moms de Empt'!$P$3:$T$36,4,0)))</f>
        <v/>
      </c>
      <c r="AW172" s="635"/>
      <c r="AX172" s="633" t="str">
        <f>IF(AV172="","",IF(AV173="","",ROUND(AV172/(AV172+AV173),3)))</f>
        <v/>
      </c>
      <c r="AY172" s="635"/>
      <c r="AZ172" s="633" t="str">
        <f>IF(AV172="","",IF(AV173="","",ROUND(AV173/(AV172+AV173),3)))</f>
        <v/>
      </c>
      <c r="BA172" s="331" t="str">
        <f t="shared" si="257"/>
        <v/>
      </c>
      <c r="BB172" s="35"/>
      <c r="BC172" s="401"/>
      <c r="BD172" s="398"/>
      <c r="BE172" s="391"/>
      <c r="BF172" s="30"/>
      <c r="BG172" s="30"/>
      <c r="BH172" s="30"/>
      <c r="BI172" s="30"/>
      <c r="BJ172" s="30"/>
      <c r="BK172" s="397"/>
      <c r="BL172" s="278"/>
      <c r="BM172" s="278"/>
      <c r="BN172" s="278"/>
      <c r="BO172" s="278"/>
      <c r="BP172" s="278"/>
      <c r="BQ172" s="278"/>
      <c r="BR172" s="278"/>
      <c r="BS172" s="278"/>
      <c r="BT172" s="278"/>
      <c r="BU172" s="278"/>
      <c r="BV172" s="278"/>
      <c r="BW172" s="278"/>
      <c r="BX172" s="278"/>
      <c r="BY172" s="278"/>
      <c r="BZ172" s="278"/>
      <c r="CA172" s="278"/>
      <c r="CB172" s="278"/>
      <c r="CC172" s="278"/>
      <c r="CD172" s="278"/>
      <c r="CE172" s="278"/>
      <c r="CF172" s="278"/>
      <c r="CG172" s="278"/>
      <c r="CH172" s="278"/>
      <c r="CI172" s="278"/>
      <c r="CJ172" s="278"/>
      <c r="CK172" s="278"/>
      <c r="CL172" s="278"/>
      <c r="CM172" s="475"/>
      <c r="CN172" s="32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</row>
    <row r="173" spans="1:110" s="30" customFormat="1" ht="21.75" customHeight="1">
      <c r="A173" s="253" t="s">
        <v>126</v>
      </c>
      <c r="B173" s="29"/>
      <c r="D173" s="254">
        <f>IF(D170="","",D172*D170)</f>
        <v>0</v>
      </c>
      <c r="E173" s="30">
        <f>IF(E170="","",D172*E170)</f>
        <v>0</v>
      </c>
      <c r="G173" s="277">
        <f>IF(G170="","",G172*G170)</f>
        <v>0</v>
      </c>
      <c r="H173" s="278">
        <f>IF(H170="","",G172*H170)</f>
        <v>0</v>
      </c>
      <c r="J173" s="254">
        <f>IF(J170="","",J172*J170)</f>
        <v>0</v>
      </c>
      <c r="K173" s="30">
        <f>IF(K170="","",J172*K170)</f>
        <v>0</v>
      </c>
      <c r="M173" s="254">
        <f>IF(M170="","",M172*M170)</f>
        <v>0</v>
      </c>
      <c r="N173" s="30">
        <f>IF(N170="","",M172*N170)</f>
        <v>0</v>
      </c>
      <c r="P173" s="254">
        <f>IF(P170="","",P172*P170)</f>
        <v>0</v>
      </c>
      <c r="Q173" s="30">
        <f>IF(Q170="","",P172*Q170)</f>
        <v>0</v>
      </c>
      <c r="S173" s="254">
        <f>IF(S170="","",S172*S170)</f>
        <v>0</v>
      </c>
      <c r="T173" s="30">
        <f>IF(T170="","",S172*T170)</f>
        <v>0</v>
      </c>
      <c r="V173" s="254">
        <f>IF(V170="","",V172*V170)</f>
        <v>0</v>
      </c>
      <c r="W173" s="30">
        <f>IF(W170="","",V172*W170)</f>
        <v>0</v>
      </c>
      <c r="Y173" s="254">
        <f>IF(Y170="","",Y172*Y170)</f>
        <v>0</v>
      </c>
      <c r="Z173" s="30">
        <f>IF(Z170="","",Y172*Z170)</f>
        <v>0</v>
      </c>
      <c r="AB173" s="31"/>
      <c r="AD173" s="321" t="str">
        <f>+IF(AI167="","",AI167)</f>
        <v/>
      </c>
      <c r="AE173" s="324" t="str">
        <f>IF(N167="","",IF($K$2="X - X",VLOOKUP(N167,Espesor!$C$8:$E$41,2,0),VLOOKUP(N167,Espesor!$C$8:$E$41,3,0)))</f>
        <v/>
      </c>
      <c r="AF173" s="319" t="str">
        <f>IF(AD173="","",IF(LOOKUP(AD173,Espesor!$C$8:$C$41,Espesor!$K$8:$K$41)="en voladizo","",IF(AD174="",0.75/AE173,1/AE173)))</f>
        <v/>
      </c>
      <c r="AG173" s="634" t="str">
        <f>IF(AF173="","",IF(AF174="","",ROUND(AF173/(AF173+AF174),3)))</f>
        <v/>
      </c>
      <c r="AH173" s="634"/>
      <c r="AI173" s="634" t="str">
        <f>IF(AF174="","",IF(AF173="","",ROUND(AF174/(AF174+AF173),3)))</f>
        <v/>
      </c>
      <c r="AJ173" s="634"/>
      <c r="AK173" s="317">
        <f>IF(F142="",0,IF($K$2="X - X",VLOOKUP(F142,'Moms de Empt'!$P$3:$T$36,3,0),VLOOKUP(F142,'Moms de Empt'!$P$3:$T$36,5,0)))</f>
        <v>0</v>
      </c>
      <c r="AL173" s="317">
        <f t="shared" si="258"/>
        <v>0</v>
      </c>
      <c r="AM173" s="629">
        <f>IF(AD174="",0,IF(LOOKUP(AD174,Espesor!$C$8:$C$41,Espesor!$K$8:$K$41)="en voladizo",MAX(ABS(AL173),ABS(AK174)),-(AK174+AL173)))</f>
        <v>0</v>
      </c>
      <c r="AN173" s="629"/>
      <c r="AO173" s="630" t="str">
        <f t="shared" ref="AO173" si="262">IF(AG173="","",AM173*AG173)</f>
        <v/>
      </c>
      <c r="AP173" s="630"/>
      <c r="AQ173" s="630" t="str">
        <f t="shared" ref="AQ173" si="263">IF(AI173="","",AM173*AI173)</f>
        <v/>
      </c>
      <c r="AR173" s="630"/>
      <c r="AS173" s="631">
        <f>-IF(AM173="","",IF(AL173="",IF(AO173="",0,AO173),IF(AO173="",AL173,AL173+AO173)))</f>
        <v>0</v>
      </c>
      <c r="AT173" s="632"/>
      <c r="AU173" s="341">
        <f>+AS173</f>
        <v>0</v>
      </c>
      <c r="AV173" s="332" t="str">
        <f>IF(N167="","",IF(L142="X - X",VLOOKUP(N167,'Moms de Empt'!$P$3:$T$36,2,0),VLOOKUP(N167,'Moms de Empt'!$P$3:$T$36,4,0)))</f>
        <v/>
      </c>
      <c r="AW173" s="635" t="str">
        <f>IF(AV173="","",IF(AV174="","",ROUND(AV173/(AV173+AV174),3)))</f>
        <v/>
      </c>
      <c r="AX173" s="633"/>
      <c r="AY173" s="635" t="str">
        <f>IF(AV174="","",IF(AV173="","",ROUND(AV174/(AV174+AV173),3)))</f>
        <v/>
      </c>
      <c r="AZ173" s="633"/>
      <c r="BA173" s="331" t="str">
        <f t="shared" si="257"/>
        <v/>
      </c>
      <c r="BB173" s="286"/>
      <c r="BC173" s="401"/>
      <c r="BD173" s="398"/>
      <c r="BE173" s="391"/>
      <c r="BK173" s="28"/>
      <c r="BL173" s="396"/>
      <c r="BM173" s="396"/>
      <c r="BN173" s="396"/>
      <c r="BO173" s="396"/>
      <c r="BP173" s="396"/>
      <c r="BQ173" s="396"/>
      <c r="BR173" s="396"/>
      <c r="BS173" s="396"/>
      <c r="BT173" s="396"/>
      <c r="BU173" s="396"/>
      <c r="BV173" s="396"/>
      <c r="BW173" s="396"/>
      <c r="BX173" s="396"/>
      <c r="BY173" s="396"/>
      <c r="BZ173" s="396"/>
      <c r="CA173" s="396"/>
      <c r="CB173" s="396"/>
      <c r="CC173" s="396"/>
      <c r="CD173" s="396"/>
      <c r="CE173" s="396"/>
      <c r="CF173" s="396"/>
      <c r="CG173" s="396"/>
      <c r="CH173" s="396"/>
      <c r="CI173" s="396"/>
      <c r="CJ173" s="396"/>
      <c r="CK173" s="396"/>
      <c r="CL173" s="396"/>
      <c r="CM173" s="476"/>
      <c r="CN173" s="35"/>
      <c r="CO173" s="286"/>
      <c r="CP173" s="286"/>
      <c r="CQ173" s="286"/>
      <c r="CR173" s="286"/>
      <c r="CS173" s="286"/>
      <c r="CT173" s="286"/>
      <c r="CU173" s="286"/>
      <c r="CV173" s="286"/>
      <c r="CW173" s="286"/>
      <c r="CX173" s="286"/>
      <c r="CY173" s="286"/>
      <c r="CZ173" s="286"/>
      <c r="DA173" s="286"/>
      <c r="DB173" s="286"/>
      <c r="DC173" s="286"/>
      <c r="DD173" s="286"/>
      <c r="DE173" s="286"/>
      <c r="DF173" s="286"/>
    </row>
    <row r="174" spans="1:110" s="32" customFormat="1" ht="21.75" customHeight="1" thickBot="1">
      <c r="B174" s="29"/>
      <c r="C174" s="30"/>
      <c r="D174" s="255">
        <f>IF(D172="",0,IF(D171="",IF(D173="",0,D173),IF(D173="",D171,D171+D173)))</f>
        <v>0</v>
      </c>
      <c r="E174" s="256">
        <f>IF(D172="",0,IF(E171="",IF(E173="",0,E173),IF(E173="",E171,E171+E173)))</f>
        <v>0</v>
      </c>
      <c r="F174" s="30"/>
      <c r="G174" s="276">
        <f>IF(G172="",0,IF(G171="",IF(G173="",0,G173),IF(G173="",G171,G171+G173)))</f>
        <v>0</v>
      </c>
      <c r="H174" s="256">
        <f>IF(G172="",0,IF(H171="",IF(H173="",0,H173),IF(H173="",H171,H171+H173)))</f>
        <v>0</v>
      </c>
      <c r="I174" s="30"/>
      <c r="J174" s="276">
        <f>IF(J172="",0,IF(J171="",IF(J173="",0,J173),IF(J173="",J171,J171+J173)))</f>
        <v>0</v>
      </c>
      <c r="K174" s="256">
        <f>IF(J172="",0,IF(K171="",IF(K173="",0,K173),IF(K173="",K171,K171+K173)))</f>
        <v>0</v>
      </c>
      <c r="L174" s="30"/>
      <c r="M174" s="276">
        <f>IF(M172="",0,IF(M171="",IF(M173="",0,M173),IF(M173="",M171,M171+M173)))</f>
        <v>0</v>
      </c>
      <c r="N174" s="256">
        <f>IF(M172="",0,IF(N171="",IF(N173="",0,N173),IF(N173="",N171,N171+N173)))</f>
        <v>0</v>
      </c>
      <c r="O174" s="30"/>
      <c r="P174" s="276">
        <f>IF(P172="",0,IF(P171="",IF(P173="",0,P173),IF(P173="",P171,P171+P173)))</f>
        <v>0</v>
      </c>
      <c r="Q174" s="256">
        <f>IF(P172="",0,IF(Q171="",IF(Q173="",0,Q173),IF(Q173="",Q171,Q171+Q173)))</f>
        <v>0</v>
      </c>
      <c r="R174" s="30"/>
      <c r="S174" s="276">
        <f>IF(S172="",0,IF(S171="",IF(S173="",0,S173),IF(S173="",S171,S171+S173)))</f>
        <v>0</v>
      </c>
      <c r="T174" s="256">
        <f>IF(S172="",0,IF(T171="",IF(T173="",0,T173),IF(T173="",T171,T171+T173)))</f>
        <v>0</v>
      </c>
      <c r="U174" s="30"/>
      <c r="V174" s="276">
        <f>IF(V172="",0,IF(V171="",IF(V173="",0,V173),IF(V173="",V171,V171+V173)))</f>
        <v>0</v>
      </c>
      <c r="W174" s="256">
        <f>IF(V172="",0,IF(W171="",IF(W173="",0,W173),IF(W173="",W171,W171+W173)))</f>
        <v>0</v>
      </c>
      <c r="X174" s="30"/>
      <c r="Y174" s="276">
        <f>IF(Y172="",0,IF(Y171="",IF(Y173="",0,Y173),IF(Y173="",Y171,Y171+Y173)))</f>
        <v>0</v>
      </c>
      <c r="Z174" s="256">
        <f>IF(Y172="",0,IF(Z171="",IF(Z173="",0,Z173),IF(Z173="",Z171,Z171+Z173)))</f>
        <v>0</v>
      </c>
      <c r="AA174" s="30"/>
      <c r="AB174" s="31"/>
      <c r="AC174" s="30"/>
      <c r="AD174" s="321" t="str">
        <f>+IF(AJ167="","",AJ167)</f>
        <v/>
      </c>
      <c r="AE174" s="324" t="str">
        <f>IF(Q167="","",IF($K$2="X - X",VLOOKUP(Q167,Espesor!$C$8:$E$41,2,0),VLOOKUP(Q167,Espesor!$C$8:$E$41,3,0)))</f>
        <v/>
      </c>
      <c r="AF174" s="319" t="str">
        <f>IF(AD174="","",IF(LOOKUP(AD174,Espesor!$C$8:$C$41,Espesor!$K$8:$K$41)="en voladizo","",IF(AD175="",0.75/AE174,1/AE174)))</f>
        <v/>
      </c>
      <c r="AG174" s="634"/>
      <c r="AH174" s="634" t="str">
        <f>IF(AF174="","",IF(AF175="","",ROUND(AF174/(AF174+AF175),3)))</f>
        <v/>
      </c>
      <c r="AI174" s="634"/>
      <c r="AJ174" s="634" t="str">
        <f>IF(AF174="","",IF(AF175="","",ROUND(AF175/(AF174+AF175),3)))</f>
        <v/>
      </c>
      <c r="AK174" s="317">
        <f>IF(G142="",0,IF($K$2="X - X",VLOOKUP(G142,'Moms de Empt'!$P$3:$T$36,3,0),VLOOKUP(G142,'Moms de Empt'!$P$3:$T$36,5,0)))</f>
        <v>0</v>
      </c>
      <c r="AL174" s="317">
        <f t="shared" si="258"/>
        <v>0</v>
      </c>
      <c r="AM174" s="629"/>
      <c r="AN174" s="629">
        <f>IF(AD175="",0,IF(LOOKUP(AD175,Espesor!$C$8:$C$41,Espesor!$K$8:$K$41)="en voladizo",MAX(ABS(AL174),ABS(AK175)),-(AK175+AL174)))</f>
        <v>0</v>
      </c>
      <c r="AO174" s="630"/>
      <c r="AP174" s="630" t="str">
        <f t="shared" ref="AP174" si="264">IF(AH174="","",AN174*AH174)</f>
        <v/>
      </c>
      <c r="AQ174" s="630"/>
      <c r="AR174" s="630" t="str">
        <f t="shared" ref="AR174" si="265">IF(AJ174="","",AN174*AJ174)</f>
        <v/>
      </c>
      <c r="AS174" s="632"/>
      <c r="AT174" s="631">
        <f t="shared" ref="AT174" si="266">-IF(AN174="","",IF(AL174="",IF(AP174="",0,AP174),IF(AP174="",AL174,AL174+AP174)))</f>
        <v>0</v>
      </c>
      <c r="AU174" s="341">
        <f>+AT174</f>
        <v>0</v>
      </c>
      <c r="AV174" s="332" t="str">
        <f>IF(Q167="","",IF(L142="X - X",VLOOKUP(Q167,'Moms de Empt'!$P$3:$T$36,2,0),VLOOKUP(Q167,'Moms de Empt'!$P$3:$T$36,4,0)))</f>
        <v/>
      </c>
      <c r="AW174" s="635"/>
      <c r="AX174" s="633" t="str">
        <f>IF(AV174="","",IF(AV175="","",ROUND(AV174/(AV174+AV175),3)))</f>
        <v/>
      </c>
      <c r="AY174" s="635"/>
      <c r="AZ174" s="633" t="str">
        <f>IF(AV174="","",IF(AV175="","",ROUND(AV175/(AV174+AV175),3)))</f>
        <v/>
      </c>
      <c r="BA174" s="331" t="str">
        <f t="shared" si="257"/>
        <v/>
      </c>
      <c r="BB174" s="30"/>
      <c r="BC174" s="401"/>
      <c r="BD174" s="398"/>
      <c r="BE174" s="391"/>
      <c r="BF174" s="393"/>
      <c r="BG174" s="393"/>
      <c r="BH174" s="393"/>
      <c r="BI174" s="393"/>
      <c r="BJ174" s="393"/>
      <c r="BK174" s="243"/>
      <c r="BL174" s="395"/>
      <c r="BM174" s="395"/>
      <c r="BN174" s="395"/>
      <c r="BO174" s="395"/>
      <c r="BP174" s="395"/>
      <c r="BQ174" s="395"/>
      <c r="BR174" s="395"/>
      <c r="BS174" s="395"/>
      <c r="BT174" s="395"/>
      <c r="BU174" s="395"/>
      <c r="BV174" s="395"/>
      <c r="BW174" s="395"/>
      <c r="BX174" s="395"/>
      <c r="BY174" s="395"/>
      <c r="BZ174" s="395"/>
      <c r="CA174" s="395"/>
      <c r="CB174" s="395"/>
      <c r="CC174" s="395"/>
      <c r="CD174" s="395"/>
      <c r="CE174" s="395"/>
      <c r="CF174" s="395"/>
      <c r="CG174" s="395"/>
      <c r="CH174" s="395"/>
      <c r="CI174" s="395"/>
      <c r="CJ174" s="395"/>
      <c r="CK174" s="395"/>
      <c r="CL174" s="395"/>
      <c r="CM174" s="474"/>
      <c r="CN174" s="286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</row>
    <row r="175" spans="1:110" s="36" customFormat="1" ht="21.75" customHeight="1" thickBot="1">
      <c r="A175" s="36" t="s">
        <v>66</v>
      </c>
      <c r="B175" s="273"/>
      <c r="D175" s="672">
        <f>IF(E167="",0,IF(D174=0,IF(E174=0,MAX(ABS(D171),ABS(E171)),E174),MAX(ABS(D174),ABS(E174))))</f>
        <v>0</v>
      </c>
      <c r="E175" s="674"/>
      <c r="G175" s="672">
        <f>IF(H167="",0,IF(G174=0,IF(H174=0,MAX(ABS(G171),ABS(H171)),H174),MAX(ABS(G174),ABS(H174))))</f>
        <v>0</v>
      </c>
      <c r="H175" s="674"/>
      <c r="J175" s="672">
        <f>IF(K167="",0,IF(J174=0,IF(K174=0,MAX(ABS(J171),ABS(K171)),K174),MAX(ABS(J174),ABS(K174))))</f>
        <v>0</v>
      </c>
      <c r="K175" s="674"/>
      <c r="M175" s="672">
        <f>IF(N167="",0,IF(M174=0,IF(N174=0,MAX(ABS(M171),ABS(N171)),N174),MAX(ABS(M174),ABS(N174))))</f>
        <v>0</v>
      </c>
      <c r="N175" s="674"/>
      <c r="P175" s="672">
        <f>IF(Q167="",0,IF(P174=0,IF(Q174=0,MAX(ABS(P171),ABS(Q171)),Q174),MAX(ABS(P174),ABS(Q174))))</f>
        <v>0</v>
      </c>
      <c r="Q175" s="674"/>
      <c r="S175" s="672">
        <f>IF(T167="",0,IF(S174=0,IF(T174=0,MAX(ABS(S171),ABS(T171)),T174),MAX(ABS(S174),ABS(T174))))</f>
        <v>0</v>
      </c>
      <c r="T175" s="674"/>
      <c r="U175" s="265"/>
      <c r="V175" s="672">
        <f>IF(W167="",0,IF(V174=0,IF(W174=0,MAX(ABS(V171),ABS(W171)),W174),MAX(ABS(V174),ABS(W174))))</f>
        <v>0</v>
      </c>
      <c r="W175" s="674"/>
      <c r="Y175" s="672">
        <f>IF(Z167="",0,IF(Y174=0,IF(Z174=0,MAX(ABS(Y171),ABS(Z171)),Z174),MAX(ABS(Y174),ABS(Z174))))</f>
        <v>0</v>
      </c>
      <c r="Z175" s="674"/>
      <c r="AA175" s="37"/>
      <c r="AB175" s="38"/>
      <c r="AC175" s="39"/>
      <c r="AD175" s="321" t="str">
        <f>+IF(AK167="","",AK167)</f>
        <v/>
      </c>
      <c r="AE175" s="324" t="str">
        <f>IF(T167="","",IF($K$2="X - X",VLOOKUP(T167,Espesor!$C$8:$E$41,2,0),VLOOKUP(T167,Espesor!$C$8:$E$41,3,0)))</f>
        <v/>
      </c>
      <c r="AF175" s="319" t="str">
        <f>IF(AD175="","",IF(LOOKUP(AD175,Espesor!$C$8:$C$41,Espesor!$K$8:$K$41)="en voladizo","",IF(AD176="",0.75/AE175,1/AE175)))</f>
        <v/>
      </c>
      <c r="AG175" s="634" t="str">
        <f>IF(AF175="","",IF(AF176="","",ROUND(AF175/(AF175+AF176),3)))</f>
        <v/>
      </c>
      <c r="AH175" s="634"/>
      <c r="AI175" s="634" t="str">
        <f>IF(AF176="","",IF(AF175="","",ROUND(AF176/(AF176+AF175),3)))</f>
        <v/>
      </c>
      <c r="AJ175" s="634"/>
      <c r="AK175" s="317">
        <f>IF(H142="",0,IF($K$2="X - X",VLOOKUP(H142,'Moms de Empt'!$P$3:$T$36,3,0),VLOOKUP(H142,'Moms de Empt'!$P$3:$T$36,5,0)))</f>
        <v>0</v>
      </c>
      <c r="AL175" s="317">
        <f>+IF(AD176="",0,-AK175)</f>
        <v>0</v>
      </c>
      <c r="AM175" s="629">
        <f>IF(AD176="",0,IF(LOOKUP(AD176,Espesor!$C$8:$C$41,Espesor!$K$8:$K$41)="en voladizo",MAX(ABS(AL175),ABS(AK176)),-(AK176+AL175)))</f>
        <v>0</v>
      </c>
      <c r="AN175" s="629"/>
      <c r="AO175" s="630" t="str">
        <f>IF(AG175="","",AM175*AG175)</f>
        <v/>
      </c>
      <c r="AP175" s="630"/>
      <c r="AQ175" s="630" t="str">
        <f t="shared" ref="AQ175" si="267">IF(AI175="","",AM175*AI175)</f>
        <v/>
      </c>
      <c r="AR175" s="630"/>
      <c r="AS175" s="631">
        <f>-IF(AM175="","",IF(AL175="",IF(AO175="",0,AO175),IF(AO175="",AL175,AL175+AO175)))</f>
        <v>0</v>
      </c>
      <c r="AT175" s="632"/>
      <c r="AU175" s="341">
        <f>+AS175</f>
        <v>0</v>
      </c>
      <c r="AV175" s="332" t="str">
        <f>IF(T167="","",IF(L142="X - X",VLOOKUP(T167,'Moms de Empt'!$P$3:$T$36,2,0),VLOOKUP(T167,'Moms de Empt'!$P$3:$T$36,4,0)))</f>
        <v/>
      </c>
      <c r="AW175" s="635" t="str">
        <f>IF(AV175="","",IF(AV176="","",ROUND(AV175/(AV175+AV176),3)))</f>
        <v/>
      </c>
      <c r="AX175" s="633"/>
      <c r="AY175" s="635" t="str">
        <f>IF(AV176="","",IF(AV175="","",ROUND(AV176/(AV176+AV175),3)))</f>
        <v/>
      </c>
      <c r="AZ175" s="633"/>
      <c r="BA175" s="331" t="str">
        <f t="shared" si="257"/>
        <v/>
      </c>
      <c r="BB175" s="32"/>
      <c r="BC175" s="401"/>
      <c r="BD175" s="398"/>
      <c r="BE175" s="391"/>
      <c r="BF175" s="393"/>
      <c r="BG175" s="393"/>
      <c r="BH175" s="393"/>
      <c r="BI175" s="393"/>
      <c r="BJ175" s="393"/>
      <c r="BK175" s="244"/>
      <c r="BL175" s="396"/>
      <c r="BM175" s="396"/>
      <c r="BN175" s="396"/>
      <c r="BO175" s="396"/>
      <c r="BP175" s="396"/>
      <c r="BQ175" s="396"/>
      <c r="BR175" s="396"/>
      <c r="BS175" s="396"/>
      <c r="BT175" s="396"/>
      <c r="BU175" s="396"/>
      <c r="BV175" s="396"/>
      <c r="BW175" s="396"/>
      <c r="BX175" s="396"/>
      <c r="BY175" s="396"/>
      <c r="BZ175" s="396"/>
      <c r="CA175" s="396"/>
      <c r="CB175" s="396"/>
      <c r="CC175" s="396"/>
      <c r="CD175" s="396"/>
      <c r="CE175" s="396"/>
      <c r="CF175" s="396"/>
      <c r="CG175" s="396"/>
      <c r="CH175" s="396"/>
      <c r="CI175" s="396"/>
      <c r="CJ175" s="396"/>
      <c r="CK175" s="396"/>
      <c r="CL175" s="396"/>
      <c r="CM175" s="474"/>
      <c r="CN175" s="30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</row>
    <row r="176" spans="1:110" s="36" customFormat="1" ht="21.75" customHeight="1" thickBot="1">
      <c r="B176" s="274"/>
      <c r="D176" s="690">
        <f>IF(D175="","",D175*100000)</f>
        <v>0</v>
      </c>
      <c r="E176" s="690"/>
      <c r="G176" s="690">
        <f>IF(G175="","",G175*100000)</f>
        <v>0</v>
      </c>
      <c r="H176" s="690"/>
      <c r="I176" s="388"/>
      <c r="J176" s="690">
        <f>IF(J175="","",J175*100000)</f>
        <v>0</v>
      </c>
      <c r="K176" s="690"/>
      <c r="L176" s="388"/>
      <c r="M176" s="690">
        <f>IF(M175="","",M175*100000)</f>
        <v>0</v>
      </c>
      <c r="N176" s="690"/>
      <c r="O176" s="388"/>
      <c r="P176" s="690">
        <f>IF(P175="","",P175*100000)</f>
        <v>0</v>
      </c>
      <c r="Q176" s="690"/>
      <c r="R176" s="388"/>
      <c r="S176" s="690">
        <f>IF(S175="","",S175*100000)</f>
        <v>0</v>
      </c>
      <c r="T176" s="690"/>
      <c r="U176" s="387"/>
      <c r="V176" s="690">
        <f>IF(V175="","",V175*100000)</f>
        <v>0</v>
      </c>
      <c r="W176" s="690"/>
      <c r="X176" s="388"/>
      <c r="Y176" s="690">
        <f>IF(Y175="","",Y175*100000)</f>
        <v>0</v>
      </c>
      <c r="Z176" s="690"/>
      <c r="AA176" s="37"/>
      <c r="AB176" s="275"/>
      <c r="AC176" s="39"/>
      <c r="AD176" s="321" t="str">
        <f>+IF(AL167="","",AL167)</f>
        <v/>
      </c>
      <c r="AE176" s="324" t="str">
        <f>IF(W167="","",IF($K$2="X - X",VLOOKUP(W167,Espesor!$C$8:$E$41,2,0),VLOOKUP(W167,Espesor!$C$8:$E$41,3,0)))</f>
        <v/>
      </c>
      <c r="AF176" s="319" t="str">
        <f>IF(AD176="","",IF(LOOKUP(AD176,Espesor!$C$8:$C$41,Espesor!$K$8:$K$41)="en voladizo","",IF(AD177="",0.75/AE176,1/AE176)))</f>
        <v/>
      </c>
      <c r="AG176" s="634"/>
      <c r="AH176" s="634" t="str">
        <f>IF(AF176="","",IF(AF177="","",ROUND(AF176/(AF176+AF177),3)))</f>
        <v/>
      </c>
      <c r="AI176" s="634"/>
      <c r="AJ176" s="634" t="str">
        <f>IF(AF176="","",IF(AF177="","",ROUND(AF177/(AF176+AF177),3)))</f>
        <v/>
      </c>
      <c r="AK176" s="317">
        <f>IF(I142="",0,IF($K$2="X - X",VLOOKUP(I142,'Moms de Empt'!$P$3:$T$36,3,0),VLOOKUP(I142,'Moms de Empt'!$P$3:$T$36,5,0)))</f>
        <v>0</v>
      </c>
      <c r="AL176" s="317">
        <f t="shared" ref="AL176:AL177" si="268">+IF(AD177="",0,-AK176)</f>
        <v>0</v>
      </c>
      <c r="AM176" s="629"/>
      <c r="AN176" s="629">
        <f>IF(AD177="",0,IF(LOOKUP(AD177,Espesor!$C$8:$C$41,Espesor!$K$8:$K$41)="en voladizo",MAX(ABS(AL176),ABS(AK177)),-(AK177+AL176)))</f>
        <v>0</v>
      </c>
      <c r="AO176" s="630"/>
      <c r="AP176" s="630" t="str">
        <f t="shared" ref="AP176" si="269">IF(AH176="","",AN176*AH176)</f>
        <v/>
      </c>
      <c r="AQ176" s="630"/>
      <c r="AR176" s="630" t="str">
        <f t="shared" ref="AR176" si="270">IF(AJ176="","",AN176*AJ176)</f>
        <v/>
      </c>
      <c r="AS176" s="632"/>
      <c r="AT176" s="631">
        <f t="shared" ref="AT176" si="271">-IF(AN176="","",IF(AL176="",IF(AP176="",0,AP176),IF(AP176="",AL176,AL176+AP176)))</f>
        <v>0</v>
      </c>
      <c r="AU176" s="341">
        <f>+AT176</f>
        <v>0</v>
      </c>
      <c r="AV176" s="332" t="str">
        <f>IF(W167="","",IF(L142="X - X",VLOOKUP(W167,'Moms de Empt'!$P$3:$T$36,2,0),VLOOKUP(W167,'Moms de Empt'!$P$3:$T$36,4,0)))</f>
        <v/>
      </c>
      <c r="AW176" s="635"/>
      <c r="AX176" s="633" t="str">
        <f>IF(AV176="","",IF(AV177="","",ROUND(AV176/(AV176+AV177),3)))</f>
        <v/>
      </c>
      <c r="AY176" s="635"/>
      <c r="AZ176" s="633" t="str">
        <f>IF(AV176="","",IF(AV177="","",ROUND(AV177/(AV176+AV177),3)))</f>
        <v/>
      </c>
      <c r="BA176" s="331" t="str">
        <f t="shared" si="257"/>
        <v/>
      </c>
      <c r="BC176" s="401"/>
      <c r="BD176" s="398"/>
      <c r="BE176" s="391"/>
      <c r="BF176" s="278"/>
      <c r="BG176" s="278"/>
      <c r="BH176" s="278"/>
      <c r="BI176" s="278"/>
      <c r="BJ176" s="278"/>
      <c r="BK176" s="389"/>
      <c r="BL176" s="396"/>
      <c r="BM176" s="396"/>
      <c r="BN176" s="396"/>
      <c r="BO176" s="396"/>
      <c r="BP176" s="396"/>
      <c r="BQ176" s="396"/>
      <c r="BR176" s="396"/>
      <c r="BS176" s="396"/>
      <c r="BT176" s="396"/>
      <c r="BU176" s="396"/>
      <c r="BV176" s="396"/>
      <c r="BW176" s="396"/>
      <c r="BX176" s="396"/>
      <c r="BY176" s="396"/>
      <c r="BZ176" s="396"/>
      <c r="CA176" s="396"/>
      <c r="CB176" s="396"/>
      <c r="CC176" s="396"/>
      <c r="CD176" s="396"/>
      <c r="CE176" s="396"/>
      <c r="CF176" s="396"/>
      <c r="CG176" s="396"/>
      <c r="CH176" s="396"/>
      <c r="CI176" s="396"/>
      <c r="CJ176" s="396"/>
      <c r="CK176" s="396"/>
      <c r="CL176" s="396"/>
      <c r="CM176" s="430"/>
      <c r="CN176" s="32"/>
    </row>
    <row r="177" spans="1:110" s="210" customFormat="1" ht="21.75" customHeight="1" thickBot="1">
      <c r="A177" s="257" t="s">
        <v>127</v>
      </c>
      <c r="B177" s="675" t="str">
        <f>IF(B167="","",IF(L38="X - X",VLOOKUP(B167,'Moms de Empt'!$P$3:$T$36,2,0),VLOOKUP(B167,'Moms de Empt'!$P$3:$T$36,4,0)))</f>
        <v/>
      </c>
      <c r="C177" s="676"/>
      <c r="D177" s="677"/>
      <c r="E177" s="675" t="str">
        <f>IF(E167="","",IF(L38="X - X",VLOOKUP(E167,'Moms de Empt'!$P$3:$T$36,2,0),VLOOKUP(E167,'Moms de Empt'!$P$3:$T$36,4,0)))</f>
        <v/>
      </c>
      <c r="F177" s="676"/>
      <c r="G177" s="677"/>
      <c r="H177" s="675" t="str">
        <f>IF(H167="","",IF(L38="X - X",VLOOKUP(H167,'Moms de Empt'!$P$3:$T$36,2,0),VLOOKUP(H167,'Moms de Empt'!$P$3:$T$36,4,0)))</f>
        <v/>
      </c>
      <c r="I177" s="676"/>
      <c r="J177" s="677"/>
      <c r="K177" s="675" t="str">
        <f>IF(K167="","",IF(L38="X - X",VLOOKUP(K167,'Moms de Empt'!$P$3:$T$36,2,0),VLOOKUP(K167,'Moms de Empt'!$P$3:$T$36,4,0)))</f>
        <v/>
      </c>
      <c r="L177" s="676"/>
      <c r="M177" s="677"/>
      <c r="N177" s="675" t="str">
        <f>IF(N167="","",IF(L38="X - X",VLOOKUP(N167,'Moms de Empt'!$P$3:$T$36,2,0),VLOOKUP(N167,'Moms de Empt'!$P$3:$T$36,4,0)))</f>
        <v/>
      </c>
      <c r="O177" s="676"/>
      <c r="P177" s="677"/>
      <c r="Q177" s="675" t="str">
        <f>IF(Q167="","",IF(L38="X - X",VLOOKUP(Q167,'Moms de Empt'!$P$3:$T$36,2,0),VLOOKUP(Q167,'Moms de Empt'!$P$3:$T$36,4,0)))</f>
        <v/>
      </c>
      <c r="R177" s="676"/>
      <c r="S177" s="677"/>
      <c r="T177" s="675" t="str">
        <f>IF(T167="","",IF(L38="X - X",VLOOKUP(T167,'Moms de Empt'!$P$3:$T$36,2,0),VLOOKUP(T167,'Moms de Empt'!$P$3:$T$36,4,0)))</f>
        <v/>
      </c>
      <c r="U177" s="676"/>
      <c r="V177" s="677"/>
      <c r="W177" s="675" t="str">
        <f>IF(W167="","",IF(L38="X - X",VLOOKUP(W167,'Moms de Empt'!$P$3:$T$36,2,0),VLOOKUP(W167,'Moms de Empt'!$P$3:$T$36,4,0)))</f>
        <v/>
      </c>
      <c r="X177" s="676"/>
      <c r="Y177" s="677"/>
      <c r="Z177" s="675" t="str">
        <f>IF(Z167="","",IF(L38="X - X",VLOOKUP(Z167,'Moms de Empt'!$P$3:$T$36,2,0),VLOOKUP(Z167,'Moms de Empt'!$P$3:$T$36,4,0)))</f>
        <v/>
      </c>
      <c r="AA177" s="676"/>
      <c r="AB177" s="677"/>
      <c r="AC177" s="40"/>
      <c r="AD177" s="321" t="str">
        <f>+IF(AM167="","",AM167)</f>
        <v/>
      </c>
      <c r="AE177" s="324" t="str">
        <f>IF(Z167="","",IF($K$2="X - X",VLOOKUP(Z167,Espesor!$C$8:$E$41,2,0),VLOOKUP(Z167,Espesor!$C$8:$E$41,3,0)))</f>
        <v/>
      </c>
      <c r="AF177" s="319" t="str">
        <f>IF(AD177="","",IF(LOOKUP(AD177,Espesor!$C$8:$C$41,Espesor!$K$8:$K$41)="en voladizo","",IF(AD178="",0.75/AE177,1/AE177)))</f>
        <v/>
      </c>
      <c r="AG177" s="344" t="str">
        <f>IF(AF177="","",IF(AK151="","",ROUND(AF177/(AF177+AK151),3)))</f>
        <v/>
      </c>
      <c r="AH177" s="634"/>
      <c r="AI177" s="344" t="str">
        <f>IF(AK151="","",IF(AF177="","",ROUND(AK151/(AK151+AF177),3)))</f>
        <v/>
      </c>
      <c r="AJ177" s="634"/>
      <c r="AK177" s="317">
        <f>IF(J142="",0,IF($K$2="X - X",VLOOKUP(J142,'Moms de Empt'!$P$3:$T$36,3,0),VLOOKUP(J142,'Moms de Empt'!$P$3:$T$36,5,0)))</f>
        <v>0</v>
      </c>
      <c r="AL177" s="317">
        <f t="shared" si="268"/>
        <v>0</v>
      </c>
      <c r="AM177" s="307" t="str">
        <f>IF(AI151="","",IF(LOOKUP(AI151,[6]Espesor!$C$8:$C$41,[6]Espesor!$K$8:$K$41)="en voladizo",MAX(ABS(AL177),ABS(AQ151)),-(AQ151-AL177)))</f>
        <v/>
      </c>
      <c r="AN177" s="629"/>
      <c r="AO177" s="340" t="str">
        <f t="shared" ref="AO177" si="272">IF(AG177="","",AM177*AG177)</f>
        <v/>
      </c>
      <c r="AP177" s="630"/>
      <c r="AQ177" s="315" t="str">
        <f t="shared" ref="AQ177" si="273">IF(AI177="","",AM177*AI177)</f>
        <v/>
      </c>
      <c r="AR177" s="630"/>
      <c r="AS177" s="312" t="str">
        <f t="shared" ref="AS177" si="274">IF(AM177="","",IF(AL177="",IF(AO177="",0,AO177),IF(AO177="",AL177,AL177+AO177)))</f>
        <v/>
      </c>
      <c r="AT177" s="632"/>
      <c r="AU177" s="341"/>
      <c r="AV177" s="333" t="str">
        <f>IF(Z167="","",IF(L142="X - X",VLOOKUP(Z167,'Moms de Empt'!$P$3:$T$36,2,0),VLOOKUP(Z167,'Moms de Empt'!$P$3:$T$36,4,0)))</f>
        <v/>
      </c>
      <c r="AW177" s="337" t="str">
        <f>IF(AV177="","",IF(BA151="","",ROUND(AV177/(AV177+BA151),3)))</f>
        <v/>
      </c>
      <c r="AX177" s="633"/>
      <c r="AY177" s="337" t="str">
        <f>IF(BA151="","",IF(AV177="","",ROUND(BA151/(BA151+AV177),3)))</f>
        <v/>
      </c>
      <c r="AZ177" s="633"/>
      <c r="BA177" s="331"/>
      <c r="BB177" s="36"/>
      <c r="BC177" s="401"/>
      <c r="BD177" s="398"/>
      <c r="BE177" s="391"/>
      <c r="BF177" s="396"/>
      <c r="BG177" s="396"/>
      <c r="BH177" s="396"/>
      <c r="BI177" s="396"/>
      <c r="BJ177" s="396"/>
      <c r="BK177" s="30"/>
      <c r="BL177" s="397"/>
      <c r="BM177" s="397"/>
      <c r="BN177" s="397"/>
      <c r="BO177" s="397"/>
      <c r="BP177" s="397"/>
      <c r="BQ177" s="397"/>
      <c r="BR177" s="397"/>
      <c r="BS177" s="397"/>
      <c r="BT177" s="397"/>
      <c r="BU177" s="397"/>
      <c r="BV177" s="397"/>
      <c r="BW177" s="397"/>
      <c r="BX177" s="397"/>
      <c r="BY177" s="397"/>
      <c r="BZ177" s="397"/>
      <c r="CA177" s="397"/>
      <c r="CB177" s="397"/>
      <c r="CC177" s="397"/>
      <c r="CD177" s="397"/>
      <c r="CE177" s="397"/>
      <c r="CF177" s="397"/>
      <c r="CG177" s="397"/>
      <c r="CH177" s="397"/>
      <c r="CI177" s="397"/>
      <c r="CJ177" s="397"/>
      <c r="CK177" s="397"/>
      <c r="CL177" s="397"/>
      <c r="CM177" s="430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</row>
    <row r="178" spans="1:110" ht="21.75" customHeight="1" thickBot="1">
      <c r="A178" s="258"/>
      <c r="B178" s="209"/>
      <c r="C178" s="209"/>
      <c r="D178" s="209" t="str">
        <f>IF(B169="","",IF(D171="","",IF(ABS(D175)&gt;ABS(D171),-0.5*ABS(D173),0.5*ABS(D173))))</f>
        <v/>
      </c>
      <c r="E178" s="209" t="str">
        <f>IF(E169="","",IF(E171="","",IF(ABS(D175)&gt;ABS(E171),-0.5*ABS(E173),0.5*ABS(E173))))</f>
        <v/>
      </c>
      <c r="F178" s="209"/>
      <c r="G178" s="209" t="str">
        <f>IF(E169="","",IF(G171="","",IF(ABS(G175)&gt;ABS(G171),-0.5*ABS(G173),0.5*ABS(G173))))</f>
        <v/>
      </c>
      <c r="H178" s="209" t="str">
        <f>IF(H169="","",IF(H171="","",IF(ABS(G175)&gt;ABS(H171),-0.5*ABS(H173),0.5*ABS(H173))))</f>
        <v/>
      </c>
      <c r="I178" s="209"/>
      <c r="J178" s="209" t="str">
        <f>IF(H169="","",IF(J171="","",IF(ABS(J175)&gt;ABS(J171),-0.5*ABS(J173),0.5*ABS(J173))))</f>
        <v/>
      </c>
      <c r="K178" s="209" t="str">
        <f>IF(K169="","",IF(K171="","",IF(ABS(J175)&gt;ABS(K171),-0.5*ABS(K173),0.5*ABS(K173))))</f>
        <v/>
      </c>
      <c r="L178" s="209"/>
      <c r="M178" s="209" t="str">
        <f>IF(K169="","",IF(M171="","",IF(ABS(M175)&gt;ABS(M171),-0.5*ABS(M173),0.5*ABS(M173))))</f>
        <v/>
      </c>
      <c r="N178" s="209" t="str">
        <f>IF(N169="","",IF(N171="","",IF(ABS(M175)&gt;ABS(N171),-0.5*ABS(N173),0.5*ABS(N173))))</f>
        <v/>
      </c>
      <c r="O178" s="209"/>
      <c r="P178" s="209" t="str">
        <f>IF(N169="","",IF(P171="","",IF(ABS(P175)&gt;ABS(P171),-0.5*ABS(P173),0.5*ABS(P173))))</f>
        <v/>
      </c>
      <c r="Q178" s="209" t="str">
        <f>IF(Q169="","",IF(Q171="","",IF(ABS(P175)&gt;ABS(Q171),-0.5*ABS(Q173),0.5*ABS(Q173))))</f>
        <v/>
      </c>
      <c r="R178" s="209"/>
      <c r="S178" s="209" t="str">
        <f>IF(Q169="","",IF(S171="","",IF(ABS(S175)&gt;ABS(S171),-0.5*ABS(S173),0.5*ABS(S173))))</f>
        <v/>
      </c>
      <c r="T178" s="209" t="str">
        <f>IF(T169="","",IF(T171="","",IF(ABS(S175)&gt;ABS(T171),-0.5*ABS(T173),0.5*ABS(T173))))</f>
        <v/>
      </c>
      <c r="U178" s="209"/>
      <c r="V178" s="209" t="str">
        <f>IF(T169="","",IF(V171="","",IF(ABS(V175)&gt;ABS(V171),-0.5*ABS(V173),0.5*ABS(V173))))</f>
        <v/>
      </c>
      <c r="W178" s="209" t="str">
        <f>IF(W169="","",IF(W171="","",IF(ABS(V175)&gt;ABS(W171),-0.5*ABS(W173),0.5*ABS(W173))))</f>
        <v/>
      </c>
      <c r="X178" s="209"/>
      <c r="Y178" s="209" t="str">
        <f>IF(W169="","",IF(Y171="","",IF(ABS(Y175)&gt;ABS(Y171),-0.5*ABS(Y173),0.5*ABS(Y173))))</f>
        <v/>
      </c>
      <c r="Z178" s="209" t="str">
        <f>IF(Z169="","",IF(Z171="","",IF(ABS(Y175)&gt;ABS(Z171),-0.5*ABS(Z173),0.5*ABS(Z173))))</f>
        <v/>
      </c>
      <c r="AA178" s="209"/>
      <c r="AB178" s="209" t="str">
        <f>IF(Z169="","",IF(AB171="","",IF(AB175&gt;-AB171,IF(AB173&lt;0,0.5*AB173,-0.5*AB173),0.5*AB173)))</f>
        <v/>
      </c>
      <c r="AD178" s="210"/>
      <c r="AE178" s="210"/>
      <c r="AF178" s="210"/>
      <c r="AG178" s="210"/>
      <c r="AH178" s="210"/>
      <c r="AI178" s="210"/>
      <c r="AJ178" s="210"/>
      <c r="AK178" s="40"/>
      <c r="AL178" s="210"/>
      <c r="AM178" s="40"/>
      <c r="AN178" s="40"/>
      <c r="AO178" s="40"/>
      <c r="AP178" s="40"/>
      <c r="AQ178" s="40"/>
      <c r="AR178" s="40"/>
      <c r="AS178" s="40"/>
      <c r="AT178" s="40"/>
      <c r="AU178" s="210"/>
      <c r="AV178" s="210"/>
      <c r="AW178" s="210"/>
      <c r="AX178" s="210"/>
      <c r="AY178" s="210"/>
      <c r="AZ178" s="210"/>
      <c r="BA178" s="210"/>
      <c r="BB178" s="210"/>
      <c r="BC178" s="401"/>
      <c r="BD178" s="398"/>
      <c r="BE178" s="391"/>
      <c r="BF178" s="395"/>
      <c r="BG178" s="395"/>
      <c r="BH178" s="395"/>
      <c r="BI178" s="395"/>
      <c r="BJ178" s="395"/>
      <c r="BK178" s="392"/>
      <c r="BL178" s="397"/>
      <c r="BM178" s="397"/>
      <c r="BN178" s="397"/>
      <c r="BO178" s="397"/>
      <c r="BP178" s="397"/>
      <c r="BQ178" s="397"/>
      <c r="BR178" s="397"/>
      <c r="BS178" s="397"/>
      <c r="BT178" s="397"/>
      <c r="BU178" s="397"/>
      <c r="BV178" s="397"/>
      <c r="BW178" s="397"/>
      <c r="BX178" s="397"/>
      <c r="BY178" s="397"/>
      <c r="BZ178" s="397"/>
      <c r="CA178" s="397"/>
      <c r="CB178" s="397"/>
      <c r="CC178" s="397"/>
      <c r="CD178" s="397"/>
      <c r="CE178" s="397"/>
      <c r="CF178" s="397"/>
      <c r="CG178" s="397"/>
      <c r="CH178" s="397"/>
      <c r="CI178" s="397"/>
      <c r="CJ178" s="397"/>
      <c r="CK178" s="397"/>
      <c r="CL178" s="397"/>
      <c r="CM178" s="477"/>
      <c r="CN178" s="36"/>
      <c r="CO178" s="210"/>
      <c r="CP178" s="210"/>
      <c r="CQ178" s="210"/>
      <c r="CR178" s="210"/>
      <c r="CS178" s="210"/>
      <c r="CT178" s="210"/>
      <c r="CU178" s="210"/>
      <c r="CV178" s="210"/>
      <c r="CW178" s="210"/>
      <c r="CX178" s="210"/>
      <c r="CY178" s="210"/>
      <c r="CZ178" s="210"/>
      <c r="DA178" s="210"/>
      <c r="DB178" s="210"/>
      <c r="DC178" s="210"/>
      <c r="DD178" s="210"/>
      <c r="DE178" s="210"/>
      <c r="DF178" s="210"/>
    </row>
    <row r="179" spans="1:110" s="260" customFormat="1" ht="21.75" customHeight="1" thickBot="1">
      <c r="A179" s="259" t="s">
        <v>128</v>
      </c>
      <c r="B179" s="672" t="str">
        <f>IF(B178="",IF(D178="",B177,B177+D178),IF(D178="",B177+B178,B177+B178+D178))</f>
        <v/>
      </c>
      <c r="C179" s="673"/>
      <c r="D179" s="674"/>
      <c r="E179" s="672" t="str">
        <f>IF(E178="",IF(G178="",E177,E177+G178),IF(G178="",E177+E178,E177+E178+G178))</f>
        <v/>
      </c>
      <c r="F179" s="673"/>
      <c r="G179" s="674"/>
      <c r="H179" s="672" t="str">
        <f>IF(H178="",IF(J178="",H177,H177+J178),IF(J178="",H177+H178,H177+H178+J178))</f>
        <v/>
      </c>
      <c r="I179" s="673"/>
      <c r="J179" s="674"/>
      <c r="K179" s="672" t="str">
        <f>IF(K178="",IF(M178="",K177,K177+M178),IF(M178="",K177+K178,K177+K178+M178))</f>
        <v/>
      </c>
      <c r="L179" s="673"/>
      <c r="M179" s="674"/>
      <c r="N179" s="672" t="str">
        <f>IF(N178="",IF(P178="",N177,N177+P178),IF(P178="",N177+N178,N177+N178+P178))</f>
        <v/>
      </c>
      <c r="O179" s="673"/>
      <c r="P179" s="674"/>
      <c r="Q179" s="672" t="str">
        <f>IF(Q178="",IF(S178="",Q177,Q177+S178),IF(S178="",Q177+Q178,Q177+Q178+S178))</f>
        <v/>
      </c>
      <c r="R179" s="673"/>
      <c r="S179" s="674"/>
      <c r="T179" s="672" t="str">
        <f>IF(T178="",IF(V178="",T177,T177+V178),IF(V178="",T177+T178,T177+T178+V178))</f>
        <v/>
      </c>
      <c r="U179" s="673"/>
      <c r="V179" s="674"/>
      <c r="W179" s="672" t="str">
        <f>IF(W178="",IF(Y178="",W177,W177+Y178),IF(Y178="",W177+W178,W177+W178+Y178))</f>
        <v/>
      </c>
      <c r="X179" s="673"/>
      <c r="Y179" s="674"/>
      <c r="Z179" s="672" t="str">
        <f>IF(Z178="",IF(AB178="",Z177,Z177+AB178),IF(AB178="",Z177+Z178,Z177+Z178+AB178))</f>
        <v/>
      </c>
      <c r="AA179" s="673"/>
      <c r="AB179" s="674"/>
      <c r="AC179" s="39"/>
      <c r="AK179" s="39"/>
      <c r="AL179" s="39"/>
      <c r="AO179" s="39"/>
      <c r="AP179" s="39"/>
      <c r="AQ179" s="39"/>
      <c r="AR179" s="39"/>
      <c r="BB179" s="27"/>
      <c r="BC179" s="401"/>
      <c r="BD179" s="398"/>
      <c r="BE179" s="391"/>
      <c r="BF179" s="396"/>
      <c r="BG179" s="396"/>
      <c r="BH179" s="396"/>
      <c r="BI179" s="396"/>
      <c r="BJ179" s="396"/>
      <c r="BK179" s="406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431"/>
      <c r="CN179" s="210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</row>
    <row r="180" spans="1:110" ht="21.75" customHeight="1">
      <c r="BB180" s="260"/>
      <c r="BC180" s="401"/>
      <c r="BD180" s="398"/>
      <c r="BE180" s="391"/>
      <c r="BK180" s="30"/>
      <c r="BL180" s="243"/>
      <c r="BM180" s="243"/>
      <c r="BN180" s="243"/>
      <c r="BO180" s="243"/>
      <c r="BP180" s="243"/>
      <c r="BQ180" s="243"/>
      <c r="BR180" s="243"/>
      <c r="BS180" s="243"/>
      <c r="BT180" s="243"/>
      <c r="BU180" s="243"/>
      <c r="BV180" s="243"/>
      <c r="BW180" s="243"/>
      <c r="BX180" s="243"/>
      <c r="BY180" s="243"/>
      <c r="BZ180" s="243"/>
      <c r="CA180" s="243"/>
      <c r="CB180" s="243"/>
      <c r="CC180" s="243"/>
      <c r="CD180" s="243"/>
      <c r="CE180" s="243"/>
      <c r="CF180" s="243"/>
      <c r="CG180" s="243"/>
      <c r="CH180" s="243"/>
      <c r="CI180" s="243"/>
      <c r="CJ180" s="243"/>
      <c r="CK180" s="243"/>
      <c r="CL180" s="243"/>
      <c r="CM180" s="478"/>
      <c r="CO180" s="260"/>
      <c r="CP180" s="260"/>
      <c r="CQ180" s="260"/>
      <c r="CR180" s="260"/>
      <c r="CS180" s="260"/>
      <c r="CT180" s="260"/>
      <c r="CU180" s="260"/>
      <c r="CV180" s="260"/>
      <c r="CW180" s="260"/>
      <c r="CX180" s="260"/>
      <c r="CY180" s="260"/>
      <c r="CZ180" s="260"/>
      <c r="DA180" s="260"/>
      <c r="DB180" s="260"/>
      <c r="DC180" s="260"/>
      <c r="DD180" s="260"/>
      <c r="DE180" s="260"/>
      <c r="DF180" s="260"/>
    </row>
    <row r="181" spans="1:110" ht="21.75" customHeight="1">
      <c r="BC181" s="401"/>
      <c r="BD181" s="398"/>
      <c r="BE181" s="391"/>
      <c r="BF181" s="397"/>
      <c r="BG181" s="397"/>
      <c r="BH181" s="397"/>
      <c r="BI181" s="397"/>
      <c r="BJ181" s="397"/>
      <c r="BK181" s="30"/>
      <c r="BL181" s="244"/>
      <c r="BM181" s="244"/>
      <c r="BN181" s="244"/>
      <c r="BO181" s="244"/>
      <c r="BP181" s="244"/>
      <c r="BQ181" s="244"/>
      <c r="BR181" s="244"/>
      <c r="BS181" s="244"/>
      <c r="BT181" s="244"/>
      <c r="BU181" s="244"/>
      <c r="BV181" s="244"/>
      <c r="BW181" s="244"/>
      <c r="BX181" s="244"/>
      <c r="BY181" s="244"/>
      <c r="BZ181" s="244"/>
      <c r="CA181" s="244"/>
      <c r="CB181" s="244"/>
      <c r="CC181" s="244"/>
      <c r="CD181" s="244"/>
      <c r="CE181" s="244"/>
      <c r="CF181" s="244"/>
      <c r="CG181" s="244"/>
      <c r="CH181" s="244"/>
      <c r="CI181" s="244"/>
      <c r="CJ181" s="244"/>
      <c r="CK181" s="244"/>
      <c r="CL181" s="244"/>
      <c r="CN181" s="260"/>
    </row>
    <row r="182" spans="1:110" s="263" customFormat="1" ht="21.75" customHeight="1" thickBot="1">
      <c r="A182" s="626">
        <f>+A11</f>
        <v>10</v>
      </c>
      <c r="B182" s="626"/>
      <c r="C182" s="626"/>
      <c r="D182" s="626"/>
      <c r="E182" s="626"/>
      <c r="F182" s="627"/>
      <c r="G182" s="627"/>
      <c r="H182" s="627"/>
      <c r="I182" s="627"/>
      <c r="J182" s="628" t="s">
        <v>134</v>
      </c>
      <c r="K182" s="628"/>
      <c r="L182" s="271" t="str">
        <f>+K11</f>
        <v>X - X</v>
      </c>
      <c r="M182" s="262"/>
      <c r="N182" s="404"/>
      <c r="O182" s="402"/>
      <c r="P182" s="262"/>
      <c r="BB182" s="27"/>
      <c r="BC182" s="401"/>
      <c r="BD182" s="398"/>
      <c r="BE182" s="391"/>
      <c r="BF182" s="397"/>
      <c r="BG182" s="397"/>
      <c r="BH182" s="397"/>
      <c r="BI182" s="397"/>
      <c r="BJ182" s="397"/>
      <c r="BK182" s="393"/>
      <c r="BL182" s="389"/>
      <c r="BM182" s="389"/>
      <c r="BN182" s="389"/>
      <c r="BO182" s="389"/>
      <c r="BP182" s="389"/>
      <c r="BQ182" s="389"/>
      <c r="BR182" s="389"/>
      <c r="BS182" s="389"/>
      <c r="BT182" s="389"/>
      <c r="BU182" s="389"/>
      <c r="BV182" s="389"/>
      <c r="BW182" s="389"/>
      <c r="BX182" s="389"/>
      <c r="BY182" s="389"/>
      <c r="BZ182" s="389"/>
      <c r="CA182" s="389"/>
      <c r="CB182" s="389"/>
      <c r="CC182" s="389"/>
      <c r="CD182" s="389"/>
      <c r="CE182" s="389"/>
      <c r="CF182" s="389"/>
      <c r="CG182" s="389"/>
      <c r="CH182" s="389"/>
      <c r="CI182" s="389"/>
      <c r="CJ182" s="389"/>
      <c r="CK182" s="389"/>
      <c r="CL182" s="389"/>
      <c r="CM182" s="431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</row>
    <row r="183" spans="1:110" s="263" customFormat="1" ht="21.75" customHeight="1" thickTop="1">
      <c r="A183" s="686" t="str">
        <f>+Espesor!$J$3</f>
        <v>Techo</v>
      </c>
      <c r="B183" s="686"/>
      <c r="C183" s="687" t="s">
        <v>136</v>
      </c>
      <c r="D183" s="687"/>
      <c r="E183" s="264" t="str">
        <f>IF(B11="","",B11)</f>
        <v/>
      </c>
      <c r="F183" s="264" t="str">
        <f t="shared" ref="F183:J183" si="275">IF(C11="","",C11)</f>
        <v/>
      </c>
      <c r="G183" s="264" t="str">
        <f t="shared" si="275"/>
        <v/>
      </c>
      <c r="H183" s="264" t="str">
        <f t="shared" si="275"/>
        <v/>
      </c>
      <c r="I183" s="264" t="str">
        <f t="shared" si="275"/>
        <v/>
      </c>
      <c r="J183" s="264" t="str">
        <f t="shared" si="275"/>
        <v/>
      </c>
      <c r="K183" s="264" t="str">
        <f>IF(H11="","",H11)</f>
        <v/>
      </c>
      <c r="L183" s="264" t="str">
        <f t="shared" ref="L183" si="276">IF(I11="","",I11)</f>
        <v/>
      </c>
      <c r="M183" s="264" t="str">
        <f t="shared" ref="M183" si="277">IF(J11="","",J11)</f>
        <v/>
      </c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  <c r="AA183" s="264"/>
      <c r="BC183" s="401"/>
      <c r="BD183" s="398"/>
      <c r="BE183" s="391"/>
      <c r="BF183" s="28"/>
      <c r="BG183" s="28"/>
      <c r="BH183" s="28"/>
      <c r="BI183" s="28"/>
      <c r="BJ183" s="28"/>
      <c r="BK183" s="393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472"/>
      <c r="CN183" s="27"/>
    </row>
    <row r="184" spans="1:110" s="28" customFormat="1" ht="21.75" customHeight="1">
      <c r="A184" s="238"/>
      <c r="B184" s="239"/>
      <c r="C184" s="240"/>
      <c r="D184" s="240"/>
      <c r="E184" s="240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D184" s="624" t="s">
        <v>64</v>
      </c>
      <c r="AE184" s="624"/>
      <c r="AF184" s="624"/>
      <c r="AG184" s="624"/>
      <c r="AH184" s="624"/>
      <c r="AI184" s="624"/>
      <c r="AJ184" s="624"/>
      <c r="AK184" s="624"/>
      <c r="AL184" s="624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63"/>
      <c r="BC184" s="401"/>
      <c r="BD184" s="398"/>
      <c r="BE184" s="391"/>
      <c r="BF184" s="243"/>
      <c r="BG184" s="243"/>
      <c r="BH184" s="243"/>
      <c r="BI184" s="243"/>
      <c r="BJ184" s="243"/>
      <c r="BK184" s="278"/>
      <c r="BL184" s="392"/>
      <c r="BM184" s="392"/>
      <c r="BN184" s="392"/>
      <c r="BO184" s="392"/>
      <c r="BP184" s="392"/>
      <c r="BQ184" s="392"/>
      <c r="BR184" s="392"/>
      <c r="BS184" s="392"/>
      <c r="BT184" s="392"/>
      <c r="BU184" s="392"/>
      <c r="BV184" s="392"/>
      <c r="BW184" s="392"/>
      <c r="BX184" s="392"/>
      <c r="BY184" s="392"/>
      <c r="BZ184" s="392"/>
      <c r="CA184" s="392"/>
      <c r="CB184" s="392"/>
      <c r="CC184" s="392"/>
      <c r="CD184" s="392"/>
      <c r="CE184" s="392"/>
      <c r="CF184" s="392"/>
      <c r="CG184" s="392"/>
      <c r="CH184" s="392"/>
      <c r="CI184" s="392"/>
      <c r="CJ184" s="392"/>
      <c r="CK184" s="392"/>
      <c r="CL184" s="392"/>
      <c r="CM184" s="472"/>
      <c r="CN184" s="263"/>
      <c r="CO184" s="263"/>
      <c r="CP184" s="263"/>
      <c r="CQ184" s="263"/>
      <c r="CR184" s="263"/>
      <c r="CS184" s="263"/>
      <c r="CT184" s="263"/>
      <c r="CU184" s="263"/>
      <c r="CV184" s="263"/>
      <c r="CW184" s="263"/>
      <c r="CX184" s="263"/>
      <c r="CY184" s="263"/>
      <c r="CZ184" s="263"/>
      <c r="DA184" s="263"/>
      <c r="DB184" s="263"/>
      <c r="DC184" s="263"/>
      <c r="DD184" s="263"/>
      <c r="DE184" s="263"/>
      <c r="DF184" s="263"/>
    </row>
    <row r="185" spans="1:110" s="242" customFormat="1" ht="21.75" customHeight="1" thickBot="1">
      <c r="A185" s="360"/>
      <c r="B185" s="682" t="str">
        <f>IF($E183="","",$E183)</f>
        <v/>
      </c>
      <c r="C185" s="682"/>
      <c r="D185" s="682"/>
      <c r="E185" s="682" t="str">
        <f>IF($F183="","",$F183)</f>
        <v/>
      </c>
      <c r="F185" s="682"/>
      <c r="G185" s="682"/>
      <c r="H185" s="682" t="str">
        <f>IF($G183="","",$G183)</f>
        <v/>
      </c>
      <c r="I185" s="682"/>
      <c r="J185" s="682"/>
      <c r="K185" s="682" t="str">
        <f>IF($H183="","",$H183)</f>
        <v/>
      </c>
      <c r="L185" s="682"/>
      <c r="M185" s="682"/>
      <c r="N185" s="682" t="str">
        <f>IF($I183="","",$I183)</f>
        <v/>
      </c>
      <c r="O185" s="682"/>
      <c r="P185" s="682"/>
      <c r="Q185" s="682" t="str">
        <f>IF($J183="","",$J183)</f>
        <v/>
      </c>
      <c r="R185" s="682"/>
      <c r="S185" s="682"/>
      <c r="T185" s="682" t="str">
        <f>IF($K183="","",$K183)</f>
        <v/>
      </c>
      <c r="U185" s="682"/>
      <c r="V185" s="682"/>
      <c r="W185" s="682" t="str">
        <f>IF($L183="","",$L183)</f>
        <v/>
      </c>
      <c r="X185" s="682"/>
      <c r="Y185" s="682"/>
      <c r="Z185" s="682" t="str">
        <f>IF($M183="","",$M183)</f>
        <v/>
      </c>
      <c r="AA185" s="682"/>
      <c r="AB185" s="682"/>
      <c r="AC185" s="420"/>
      <c r="AD185" s="287">
        <f>+A160</f>
        <v>0</v>
      </c>
      <c r="AE185" s="325" t="str">
        <f>+IF(B160="","",B160)</f>
        <v/>
      </c>
      <c r="AF185" s="325" t="str">
        <f>+IF(C160="","",C160)</f>
        <v/>
      </c>
      <c r="AG185" s="325" t="str">
        <f t="shared" ref="AG185" si="278">+IF(D160="","",D160)</f>
        <v/>
      </c>
      <c r="AH185" s="325" t="str">
        <f t="shared" ref="AH185" si="279">+IF(E160="","",E160)</f>
        <v/>
      </c>
      <c r="AI185" s="325" t="str">
        <f t="shared" ref="AI185" si="280">+IF(F160="","",F160)</f>
        <v/>
      </c>
      <c r="AJ185" s="325" t="str">
        <f t="shared" ref="AJ185" si="281">+IF(G160="","",G160)</f>
        <v/>
      </c>
      <c r="AK185" s="325" t="str">
        <f t="shared" ref="AK185" si="282">+IF(H160="","",H160)</f>
        <v/>
      </c>
      <c r="AL185" s="325" t="str">
        <f t="shared" ref="AL185" si="283">+IF(I160="","",I160)</f>
        <v/>
      </c>
      <c r="AM185" s="325" t="str">
        <f t="shared" ref="AM185" si="284">+IF(J160="","",J160)</f>
        <v/>
      </c>
      <c r="BB185" s="28"/>
      <c r="BC185" s="401"/>
      <c r="BD185" s="398"/>
      <c r="BE185" s="428">
        <f>BE$27</f>
        <v>1</v>
      </c>
      <c r="BF185" s="428">
        <f t="shared" ref="BF185:CL185" si="285">BF$27</f>
        <v>2</v>
      </c>
      <c r="BG185" s="428">
        <f t="shared" si="285"/>
        <v>3</v>
      </c>
      <c r="BH185" s="428">
        <f t="shared" si="285"/>
        <v>4</v>
      </c>
      <c r="BI185" s="428">
        <f t="shared" si="285"/>
        <v>5</v>
      </c>
      <c r="BJ185" s="428">
        <f t="shared" si="285"/>
        <v>6</v>
      </c>
      <c r="BK185" s="428">
        <f t="shared" si="285"/>
        <v>7</v>
      </c>
      <c r="BL185" s="428">
        <f t="shared" si="285"/>
        <v>8</v>
      </c>
      <c r="BM185" s="428">
        <f t="shared" si="285"/>
        <v>9</v>
      </c>
      <c r="BN185" s="428">
        <f t="shared" si="285"/>
        <v>10</v>
      </c>
      <c r="BO185" s="428">
        <f t="shared" si="285"/>
        <v>11</v>
      </c>
      <c r="BP185" s="428">
        <f t="shared" si="285"/>
        <v>12</v>
      </c>
      <c r="BQ185" s="428">
        <f t="shared" si="285"/>
        <v>13</v>
      </c>
      <c r="BR185" s="428">
        <f t="shared" si="285"/>
        <v>14</v>
      </c>
      <c r="BS185" s="428">
        <f t="shared" si="285"/>
        <v>15</v>
      </c>
      <c r="BT185" s="428">
        <f t="shared" si="285"/>
        <v>16</v>
      </c>
      <c r="BU185" s="428">
        <f t="shared" si="285"/>
        <v>17</v>
      </c>
      <c r="BV185" s="428">
        <f t="shared" si="285"/>
        <v>18</v>
      </c>
      <c r="BW185" s="428">
        <f t="shared" si="285"/>
        <v>19</v>
      </c>
      <c r="BX185" s="428">
        <f t="shared" si="285"/>
        <v>20</v>
      </c>
      <c r="BY185" s="428">
        <f t="shared" si="285"/>
        <v>21</v>
      </c>
      <c r="BZ185" s="428">
        <f t="shared" si="285"/>
        <v>22</v>
      </c>
      <c r="CA185" s="428">
        <f t="shared" si="285"/>
        <v>23</v>
      </c>
      <c r="CB185" s="428">
        <f t="shared" si="285"/>
        <v>24</v>
      </c>
      <c r="CC185" s="428">
        <f t="shared" si="285"/>
        <v>25</v>
      </c>
      <c r="CD185" s="428">
        <f t="shared" si="285"/>
        <v>26</v>
      </c>
      <c r="CE185" s="428">
        <f t="shared" si="285"/>
        <v>27</v>
      </c>
      <c r="CF185" s="428">
        <f t="shared" si="285"/>
        <v>28</v>
      </c>
      <c r="CG185" s="428">
        <f t="shared" si="285"/>
        <v>29</v>
      </c>
      <c r="CH185" s="428">
        <f t="shared" si="285"/>
        <v>30</v>
      </c>
      <c r="CI185" s="428">
        <f t="shared" si="285"/>
        <v>31</v>
      </c>
      <c r="CJ185" s="428">
        <f t="shared" si="285"/>
        <v>32</v>
      </c>
      <c r="CK185" s="428">
        <f t="shared" si="285"/>
        <v>33</v>
      </c>
      <c r="CL185" s="428">
        <f t="shared" si="285"/>
        <v>34</v>
      </c>
      <c r="CM185" s="431"/>
      <c r="CN185" s="263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</row>
    <row r="186" spans="1:110" s="245" customFormat="1" ht="21.75" customHeight="1" thickBot="1">
      <c r="A186" s="413" t="s">
        <v>3</v>
      </c>
      <c r="B186" s="683" t="str">
        <f>IF(B185="","",IF(K11="X - X",VLOOKUP(B185,Espesor!$C$8:$E$41,2,0),VLOOKUP(B185,Espesor!$C$8:$E$41,3,0)))</f>
        <v/>
      </c>
      <c r="C186" s="684"/>
      <c r="D186" s="685"/>
      <c r="E186" s="683" t="str">
        <f>IF(E185="","",IF(K11="X - X",VLOOKUP(E185,Espesor!$C$8:$E$41,2,0),VLOOKUP(E185,Espesor!$C$8:$E$41,3,0)))</f>
        <v/>
      </c>
      <c r="F186" s="684"/>
      <c r="G186" s="685"/>
      <c r="H186" s="683" t="str">
        <f>IF(H185="","",IF(K11="X - X",VLOOKUP(H185,Espesor!$C$8:$E$41,2,0),VLOOKUP(H185,Espesor!$C$8:$E$41,3,0)))</f>
        <v/>
      </c>
      <c r="I186" s="684"/>
      <c r="J186" s="685"/>
      <c r="K186" s="683" t="str">
        <f>IF(K185="","",IF(K11="X - X",VLOOKUP(K185,Espesor!$C$8:$E$41,2,0),VLOOKUP(K185,Espesor!$C$8:$E$41,3,0)))</f>
        <v/>
      </c>
      <c r="L186" s="684"/>
      <c r="M186" s="685"/>
      <c r="N186" s="683" t="str">
        <f>IF(N185="","",IF(K11="X - X",VLOOKUP(N185,Espesor!$C$8:$E$41,2,0),VLOOKUP(N185,Espesor!$C$8:$E$41,3,0)))</f>
        <v/>
      </c>
      <c r="O186" s="684"/>
      <c r="P186" s="685"/>
      <c r="Q186" s="683" t="str">
        <f>IF(Q185="","",IF(K11="X - X",VLOOKUP(Q185,Espesor!$C$8:$E$41,2,0),VLOOKUP(Q185,Espesor!$C$8:$E$41,3,0)))</f>
        <v/>
      </c>
      <c r="R186" s="684"/>
      <c r="S186" s="685"/>
      <c r="T186" s="683" t="str">
        <f>IF(T185="","",IF(K11="X - X",VLOOKUP(T185,Espesor!$C$8:$E$41,2,0),VLOOKUP(T185,Espesor!$C$8:$E$41,3,0)))</f>
        <v/>
      </c>
      <c r="U186" s="684"/>
      <c r="V186" s="685"/>
      <c r="W186" s="683" t="str">
        <f>IF(W185="","",IF(K11="X - X",VLOOKUP(W185,Espesor!$C$8:$E$41,2,0),VLOOKUP(W185,Espesor!$C$8:$E$41,3,0)))</f>
        <v/>
      </c>
      <c r="X186" s="684"/>
      <c r="Y186" s="685"/>
      <c r="Z186" s="683" t="str">
        <f>IF(Z185="","",IF(K11="X - X",VLOOKUP(Z185,Espesor!$C$8:$E$41,2,0),VLOOKUP(Z185,Espesor!$C$8:$E$41,3,0)))</f>
        <v/>
      </c>
      <c r="AA186" s="684"/>
      <c r="AB186" s="685"/>
      <c r="AC186" s="380"/>
      <c r="AD186" s="338" t="s">
        <v>4</v>
      </c>
      <c r="AE186" s="322" t="s">
        <v>3</v>
      </c>
      <c r="AF186" s="339" t="s">
        <v>138</v>
      </c>
      <c r="AG186" s="637" t="s">
        <v>139</v>
      </c>
      <c r="AH186" s="638"/>
      <c r="AI186" s="638"/>
      <c r="AJ186" s="639"/>
      <c r="AK186" s="640" t="s">
        <v>142</v>
      </c>
      <c r="AL186" s="641"/>
      <c r="AM186" s="637" t="s">
        <v>143</v>
      </c>
      <c r="AN186" s="639"/>
      <c r="AO186" s="642" t="s">
        <v>144</v>
      </c>
      <c r="AP186" s="643"/>
      <c r="AQ186" s="643"/>
      <c r="AR186" s="644"/>
      <c r="AS186" s="642" t="s">
        <v>145</v>
      </c>
      <c r="AT186" s="643"/>
      <c r="AU186" s="644"/>
      <c r="AV186" s="645" t="s">
        <v>157</v>
      </c>
      <c r="AW186" s="646"/>
      <c r="AX186" s="646"/>
      <c r="AY186" s="646"/>
      <c r="AZ186" s="646"/>
      <c r="BA186" s="647"/>
      <c r="BB186" s="242"/>
      <c r="BC186" s="422">
        <f>+A182</f>
        <v>10</v>
      </c>
      <c r="BD186" s="398" t="s">
        <v>153</v>
      </c>
      <c r="BE186" s="429">
        <f>IF(BE185=$B$185,$B$197,IF(BE185=$E$185,$E$197,IF(BE185=$H$185,$H$197,IF(BE185=$K$185,$K$197,IF(BE185=$N$185,$N$197,IF(BE185=$Q$185,$Q$197,IF(BE185=$T$185,$T$197,IF(BE185=$W$185,$W$197,IF(BE185=$Z$185,$Z$197,0)))))))))</f>
        <v>0</v>
      </c>
      <c r="BF186" s="429">
        <f t="shared" ref="BF186:CL186" si="286">IF(BF185=$B$185,$B$197,IF(BF185=$E$185,$E$197,IF(BF185=$H$185,$H$197,IF(BF185=$K$185,$K$197,IF(BF185=$N$185,$N$197,IF(BF185=$Q$185,$Q$197,IF(BF185=$T$185,$T$197,IF(BF185=$W$185,$W$197,IF(BF185=$Z$185,$Z$197,0)))))))))</f>
        <v>0</v>
      </c>
      <c r="BG186" s="429">
        <f t="shared" si="286"/>
        <v>0</v>
      </c>
      <c r="BH186" s="429">
        <f t="shared" si="286"/>
        <v>0</v>
      </c>
      <c r="BI186" s="429">
        <f t="shared" si="286"/>
        <v>0</v>
      </c>
      <c r="BJ186" s="429">
        <f t="shared" si="286"/>
        <v>0</v>
      </c>
      <c r="BK186" s="429">
        <f t="shared" si="286"/>
        <v>0</v>
      </c>
      <c r="BL186" s="429">
        <f t="shared" si="286"/>
        <v>0</v>
      </c>
      <c r="BM186" s="429">
        <f t="shared" si="286"/>
        <v>0</v>
      </c>
      <c r="BN186" s="429">
        <f t="shared" si="286"/>
        <v>0</v>
      </c>
      <c r="BO186" s="429">
        <f t="shared" si="286"/>
        <v>0</v>
      </c>
      <c r="BP186" s="429">
        <f t="shared" si="286"/>
        <v>0</v>
      </c>
      <c r="BQ186" s="429">
        <f t="shared" si="286"/>
        <v>0</v>
      </c>
      <c r="BR186" s="429">
        <f t="shared" si="286"/>
        <v>0</v>
      </c>
      <c r="BS186" s="429">
        <f t="shared" si="286"/>
        <v>0</v>
      </c>
      <c r="BT186" s="429">
        <f t="shared" si="286"/>
        <v>0</v>
      </c>
      <c r="BU186" s="429">
        <f t="shared" si="286"/>
        <v>0</v>
      </c>
      <c r="BV186" s="429">
        <f t="shared" si="286"/>
        <v>0</v>
      </c>
      <c r="BW186" s="429">
        <f t="shared" si="286"/>
        <v>0</v>
      </c>
      <c r="BX186" s="429">
        <f t="shared" si="286"/>
        <v>0</v>
      </c>
      <c r="BY186" s="429">
        <f t="shared" si="286"/>
        <v>0</v>
      </c>
      <c r="BZ186" s="429">
        <f t="shared" si="286"/>
        <v>0</v>
      </c>
      <c r="CA186" s="429">
        <f t="shared" si="286"/>
        <v>0</v>
      </c>
      <c r="CB186" s="429">
        <f t="shared" si="286"/>
        <v>0</v>
      </c>
      <c r="CC186" s="429">
        <f t="shared" si="286"/>
        <v>0</v>
      </c>
      <c r="CD186" s="429">
        <f t="shared" si="286"/>
        <v>0</v>
      </c>
      <c r="CE186" s="429">
        <f t="shared" si="286"/>
        <v>0</v>
      </c>
      <c r="CF186" s="429">
        <f t="shared" si="286"/>
        <v>0</v>
      </c>
      <c r="CG186" s="429">
        <f t="shared" si="286"/>
        <v>0</v>
      </c>
      <c r="CH186" s="429">
        <f t="shared" si="286"/>
        <v>0</v>
      </c>
      <c r="CI186" s="429">
        <f t="shared" si="286"/>
        <v>0</v>
      </c>
      <c r="CJ186" s="429">
        <f t="shared" si="286"/>
        <v>0</v>
      </c>
      <c r="CK186" s="429">
        <f t="shared" si="286"/>
        <v>0</v>
      </c>
      <c r="CL186" s="429">
        <f t="shared" si="286"/>
        <v>0</v>
      </c>
      <c r="CM186" s="473"/>
      <c r="CN186" s="28"/>
      <c r="CO186" s="242"/>
      <c r="CP186" s="242"/>
      <c r="CQ186" s="242"/>
      <c r="CR186" s="242"/>
      <c r="CS186" s="242"/>
      <c r="CT186" s="242"/>
      <c r="CU186" s="242"/>
      <c r="CV186" s="242"/>
      <c r="CW186" s="242"/>
      <c r="CX186" s="242"/>
      <c r="CY186" s="242"/>
      <c r="CZ186" s="242"/>
      <c r="DA186" s="242"/>
      <c r="DB186" s="242"/>
      <c r="DC186" s="242"/>
      <c r="DD186" s="242"/>
      <c r="DE186" s="242"/>
      <c r="DF186" s="242"/>
    </row>
    <row r="187" spans="1:110" s="246" customFormat="1" ht="23.25" customHeight="1">
      <c r="A187" s="257" t="s">
        <v>65</v>
      </c>
      <c r="B187" s="679" t="str">
        <f>+IF(B185="","",IF(LOOKUP(B185,Espesor!$C$8:$C$41,Espesor!$K$8:$K$41)="en voladizo","",0.75/B186))</f>
        <v/>
      </c>
      <c r="C187" s="680"/>
      <c r="D187" s="681"/>
      <c r="E187" s="679" t="str">
        <f>IF(E185="","",IF(LOOKUP(E185,Espesor!$C$8:$C$41,Espesor!$K$8:$K$41)="en voladizo","",IF(H185="",0.75/E186,1/E186)))</f>
        <v/>
      </c>
      <c r="F187" s="680"/>
      <c r="G187" s="681"/>
      <c r="H187" s="679" t="str">
        <f>IF(H185="","",IF(LOOKUP(H185,Espesor!$C$8:$C$41,Espesor!$K$8:$K$41)="en voladizo","",IF(K185="",0.75/H186,1/H186)))</f>
        <v/>
      </c>
      <c r="I187" s="680"/>
      <c r="J187" s="681"/>
      <c r="K187" s="679" t="str">
        <f>IF(K185="","",IF(LOOKUP(K185,Espesor!$C$8:$C$41,Espesor!$K$8:$K$41)="en voladizo","",IF(N185="",0.75/K186,1/K186)))</f>
        <v/>
      </c>
      <c r="L187" s="680"/>
      <c r="M187" s="681"/>
      <c r="N187" s="679" t="str">
        <f>IF(N185="","",IF(LOOKUP(N185,Espesor!$C$8:$C$41,Espesor!$K$8:$K$41)="en voladizo","",IF(Q185="",0.75/N186,1/N186)))</f>
        <v/>
      </c>
      <c r="O187" s="680"/>
      <c r="P187" s="681"/>
      <c r="Q187" s="679" t="str">
        <f>IF(Q185="","",IF(LOOKUP(Q185,Espesor!$C$8:$C$41,Espesor!$K$8:$K$41)="en voladizo","",IF(T185="",0.75/Q186,1/Q186)))</f>
        <v/>
      </c>
      <c r="R187" s="680"/>
      <c r="S187" s="681"/>
      <c r="T187" s="679" t="str">
        <f>IF(T185="","",IF(LOOKUP(T185,Espesor!$C$8:$C$41,Espesor!$K$8:$K$41)="en voladizo","",IF(W185="",0.75/T186,1/T186)))</f>
        <v/>
      </c>
      <c r="U187" s="680"/>
      <c r="V187" s="681"/>
      <c r="W187" s="679" t="str">
        <f>IF(W185="","",IF(LOOKUP(W185,Espesor!$C$8:$C$41,Espesor!$K$8:$K$41)="en voladizo","",IF(Z185="",0.75/W186,1/W186)))</f>
        <v/>
      </c>
      <c r="X187" s="680"/>
      <c r="Y187" s="681"/>
      <c r="Z187" s="679" t="str">
        <f>IF(Z185="","",IF(LOOKUP(Z185,Espesor!$C$8:$C$41,Espesor!$K$8:$K$41)="en voladizo","",IF(AC185="",0.75/Z186,1/Z186)))</f>
        <v/>
      </c>
      <c r="AA187" s="680"/>
      <c r="AB187" s="681"/>
      <c r="AC187" s="210"/>
      <c r="AD187" s="320" t="str">
        <f>+IF(AE185="","",AE185)</f>
        <v/>
      </c>
      <c r="AE187" s="323" t="str">
        <f>IF(B161="","",IF($K$2="X - X",VLOOKUP(B161,Espesor!$C$8:$E$41,2,0),VLOOKUP(B161,Espesor!$C$8:$E$41,3,0)))</f>
        <v/>
      </c>
      <c r="AF187" s="318" t="str">
        <f>+IF(AD187="","",IF(LOOKUP(AD187,Espesor!$C$8:$C$41,Espesor!$K$8:$K$41)="en voladizo","",0.75/AE187))</f>
        <v/>
      </c>
      <c r="AG187" s="648" t="str">
        <f>IF(AF187="","",IF(AF188="","",ROUND(AF187/(AF187+AF188),3)))</f>
        <v/>
      </c>
      <c r="AH187" s="343"/>
      <c r="AI187" s="648" t="str">
        <f>IF(AF188="","",IF(AF187="","",ROUND(AF188/(AF188+AF187),3)))</f>
        <v/>
      </c>
      <c r="AJ187" s="343"/>
      <c r="AK187" s="342">
        <v>0</v>
      </c>
      <c r="AL187" s="316" t="e">
        <f>-IF(B160="","",IF($K$2="X - X",VLOOKUP(B160,'Moms de Empt'!$P$3:$T$36,3,0),VLOOKUP(B160,'Moms de Empt'!$P$3:$T$36,5,0)))</f>
        <v>#VALUE!</v>
      </c>
      <c r="AM187" s="649">
        <f>IF(AD188="",0,IF(LOOKUP(AD188,Espesor!$C$8:$C$41,Espesor!$K$8:$K$41)="en voladizo",MAX(ABS(AL187),ABS(AK188)),-(AK188+AL187)))</f>
        <v>0</v>
      </c>
      <c r="AN187" s="345"/>
      <c r="AO187" s="650" t="str">
        <f>IF(AG187="","",AM187*AG187)</f>
        <v/>
      </c>
      <c r="AP187" s="342"/>
      <c r="AQ187" s="650" t="str">
        <f>IF(AI187="","",AM187*AI187)</f>
        <v/>
      </c>
      <c r="AR187" s="342"/>
      <c r="AS187" s="651" t="e">
        <f>-IF(AM187="","",IF(AL187="",IF(AO187="",0,AO187),IF(AO187="",AL187,AL187+AO187)))</f>
        <v>#VALUE!</v>
      </c>
      <c r="AT187" s="341"/>
      <c r="AU187" s="341" t="e">
        <f>+AS187</f>
        <v>#VALUE!</v>
      </c>
      <c r="AV187" s="329" t="str">
        <f>IF(B160="","",IF(L160="X - X",VLOOKUP(B185,'Moms de Empt'!$P$3:$T$36,2,0),VLOOKUP(B185,'Moms de Empt'!$P$3:$T$36,4,0)))</f>
        <v/>
      </c>
      <c r="AW187" s="653" t="str">
        <f>IF(B187="","",IF(D189="","",IF(ABS(D193)&gt;ABS(D189),-0.5*ABS(D191),0.5*ABS(D191))))</f>
        <v/>
      </c>
      <c r="AX187" s="330"/>
      <c r="AY187" s="653" t="str">
        <f>IF(AV188="","",IF(AV187="","",ROUND(AV188/(AV188+AV187),3)))</f>
        <v/>
      </c>
      <c r="AZ187" s="330"/>
      <c r="BA187" s="331" t="str">
        <f t="shared" ref="BA187:BA194" si="287">+AV187</f>
        <v/>
      </c>
      <c r="BB187" s="245"/>
      <c r="BC187" s="422"/>
      <c r="BD187" s="398"/>
      <c r="BE187" s="28"/>
      <c r="BF187" s="30"/>
      <c r="BG187" s="30"/>
      <c r="BH187" s="30"/>
      <c r="BI187" s="30"/>
      <c r="BJ187" s="30"/>
      <c r="BK187" s="396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432"/>
      <c r="CN187" s="242"/>
      <c r="CO187" s="245"/>
      <c r="CP187" s="245"/>
      <c r="CQ187" s="245"/>
      <c r="CR187" s="245"/>
      <c r="CS187" s="245"/>
      <c r="CT187" s="245"/>
      <c r="CU187" s="245"/>
      <c r="CV187" s="245"/>
      <c r="CW187" s="245"/>
      <c r="CX187" s="245"/>
      <c r="CY187" s="245"/>
      <c r="CZ187" s="245"/>
      <c r="DA187" s="245"/>
      <c r="DB187" s="245"/>
      <c r="DC187" s="245"/>
      <c r="DD187" s="245"/>
      <c r="DE187" s="245"/>
      <c r="DF187" s="245"/>
    </row>
    <row r="188" spans="1:110" s="32" customFormat="1" ht="21.75" customHeight="1">
      <c r="A188" s="247" t="s">
        <v>123</v>
      </c>
      <c r="B188" s="29"/>
      <c r="C188" s="30"/>
      <c r="D188" s="31">
        <f>IF(B187="",0,IF(E187="",0,ROUND(B187/(B187+E187),3)))</f>
        <v>0</v>
      </c>
      <c r="E188" s="29">
        <f>IF(E187="",0,IF(B187="",0,ROUND(E187/(E187+B187),3)))</f>
        <v>0</v>
      </c>
      <c r="F188" s="30"/>
      <c r="G188" s="31">
        <f>IF(E187="",0,IF(H187="",0,ROUND(E187/(E187+H187),3)))</f>
        <v>0</v>
      </c>
      <c r="H188" s="29">
        <f>IF(H187="",0,IF(E187="",0,ROUND(H187/(H187+E187),3)))</f>
        <v>0</v>
      </c>
      <c r="I188" s="30"/>
      <c r="J188" s="31">
        <f>IF(H187="",0,IF(K187="",0,ROUND(H187/(H187+K187),3)))</f>
        <v>0</v>
      </c>
      <c r="K188" s="29">
        <f>IF(K187="",0,IF(H187="",0,ROUND(K187/(K187+H187),3)))</f>
        <v>0</v>
      </c>
      <c r="L188" s="30"/>
      <c r="M188" s="31">
        <f>IF(K187="",0,IF(N187="",0,ROUND(K187/(K187+N187),3)))</f>
        <v>0</v>
      </c>
      <c r="N188" s="29">
        <f>IF(N187="",0,IF(K187="",0,ROUND(N187/(N187+K187),3)))</f>
        <v>0</v>
      </c>
      <c r="O188" s="30"/>
      <c r="P188" s="31">
        <f>IF(N187="",0,IF(Q187="",0,ROUND(N187/(N187+Q187),3)))</f>
        <v>0</v>
      </c>
      <c r="Q188" s="29">
        <f>IF(Q187="",0,IF(N187="",0,ROUND(Q187/(Q187+N187),3)))</f>
        <v>0</v>
      </c>
      <c r="R188" s="30"/>
      <c r="S188" s="31">
        <f>IF(Q187="",0,IF(T187="",0,ROUND(Q187/(Q187+T187),3)))</f>
        <v>0</v>
      </c>
      <c r="T188" s="29">
        <f>IF(T187="",0,IF(Q187="",0,ROUND(T187/(T187+Q187),3)))</f>
        <v>0</v>
      </c>
      <c r="U188" s="30"/>
      <c r="V188" s="31">
        <f>IF(T187="",0,IF(W187="",0,ROUND(T187/(T187+W187),3)))</f>
        <v>0</v>
      </c>
      <c r="W188" s="29">
        <f>IF(W187="",0,IF(T187="",0,ROUND(W187/(W187+T187),3)))</f>
        <v>0</v>
      </c>
      <c r="X188" s="30"/>
      <c r="Y188" s="31">
        <f>IF(W187="",0,IF(Z187="",0,ROUND(W187/(W187+Z187),3)))</f>
        <v>0</v>
      </c>
      <c r="Z188" s="29">
        <f>IF(Z187="",0,IF(W187="",0,ROUND(Z187/(Z187+W187),3)))</f>
        <v>0</v>
      </c>
      <c r="AA188" s="30"/>
      <c r="AB188" s="31">
        <f>IF(Z187="",0,IF(AC187="",0,ROUND(Z187/(Z187+AC187),3)))</f>
        <v>0</v>
      </c>
      <c r="AC188" s="29"/>
      <c r="AD188" s="321" t="str">
        <f>+IF(AF185="","",AF185)</f>
        <v/>
      </c>
      <c r="AE188" s="324" t="str">
        <f>IF(C160="","",IF($K$2="X - X",VLOOKUP(C160,Espesor!$C$8:$E$41,2,0),VLOOKUP(C160,Espesor!$C$8:$E$41,3,0)))</f>
        <v/>
      </c>
      <c r="AF188" s="319" t="str">
        <f>IF(AD188="","",IF(LOOKUP(AD188,Espesor!$C$8:$C$41,Espesor!$K$8:$K$41)="en voladizo","",IF(AD189="",0.75/AE188,1/AE188)))</f>
        <v/>
      </c>
      <c r="AG188" s="634"/>
      <c r="AH188" s="634" t="str">
        <f>IF(AF188="","",IF(AF189="","",ROUND(AF188/(AF188+AF189),3)))</f>
        <v/>
      </c>
      <c r="AI188" s="634"/>
      <c r="AJ188" s="634" t="str">
        <f>IF(AF188="","",IF(AF189="","",ROUND(AF189/(AF188+AF189),3)))</f>
        <v/>
      </c>
      <c r="AK188" s="317">
        <f>IF(C160="",0,IF($K$2="X - X",VLOOKUP(C160,'Moms de Empt'!$P$3:$T$36,3,0),VLOOKUP(C160,'Moms de Empt'!$P$3:$T$36,5,0)))</f>
        <v>0</v>
      </c>
      <c r="AL188" s="317">
        <f>+IF(AD189="",0,-AK188)</f>
        <v>0</v>
      </c>
      <c r="AM188" s="629"/>
      <c r="AN188" s="629">
        <f>IF(AD189="",0,IF(LOOKUP(AD189,Espesor!$C$8:$C$41,Espesor!$K$8:$K$41)="en voladizo",MAX(ABS(AL188),ABS(AK189)),-(AK189+AL188)))</f>
        <v>0</v>
      </c>
      <c r="AO188" s="630"/>
      <c r="AP188" s="630" t="str">
        <f>IF(AH188="","",AN188*AH188)</f>
        <v/>
      </c>
      <c r="AQ188" s="630"/>
      <c r="AR188" s="630" t="str">
        <f>IF(AJ188="","",AN188*AJ188)</f>
        <v/>
      </c>
      <c r="AS188" s="652"/>
      <c r="AT188" s="631">
        <f>-IF(AN188="","",IF(AL188="",IF(AP188="",0,AP188),IF(AP188="",AL188,AL188+AP188)))</f>
        <v>0</v>
      </c>
      <c r="AU188" s="341">
        <f>+AT188</f>
        <v>0</v>
      </c>
      <c r="AV188" s="332" t="str">
        <f>IF(E185="","",IF(L160="X - X",VLOOKUP(E185,'Moms de Empt'!$P$3:$T$36,2,0),VLOOKUP(E185,'Moms de Empt'!$P$3:$T$36,4,0)))</f>
        <v/>
      </c>
      <c r="AW188" s="635"/>
      <c r="AX188" s="633" t="str">
        <f>IF(AV188="","",IF(AV189="","",ROUND(AV188/(AV188+AV189),3)))</f>
        <v/>
      </c>
      <c r="AY188" s="635"/>
      <c r="AZ188" s="633" t="str">
        <f>IF(AV188="","",IF(AV189="","",ROUND(AV189/(AV188+AV189),3)))</f>
        <v/>
      </c>
      <c r="BA188" s="331" t="str">
        <f t="shared" si="287"/>
        <v/>
      </c>
      <c r="BB188" s="246"/>
      <c r="BC188" s="422"/>
      <c r="BD188" s="398"/>
      <c r="BE188" s="429"/>
      <c r="BF188" s="392"/>
      <c r="BG188" s="392"/>
      <c r="BH188" s="392"/>
      <c r="BI188" s="392"/>
      <c r="BJ188" s="392"/>
      <c r="BK188" s="396"/>
      <c r="BL188" s="393"/>
      <c r="BM188" s="393"/>
      <c r="BN188" s="393"/>
      <c r="BO188" s="393"/>
      <c r="BP188" s="393"/>
      <c r="BQ188" s="393"/>
      <c r="BR188" s="393"/>
      <c r="BS188" s="393"/>
      <c r="BT188" s="393"/>
      <c r="BU188" s="393"/>
      <c r="BV188" s="393"/>
      <c r="BW188" s="393"/>
      <c r="BX188" s="393"/>
      <c r="BY188" s="393"/>
      <c r="BZ188" s="393"/>
      <c r="CA188" s="393"/>
      <c r="CB188" s="393"/>
      <c r="CC188" s="393"/>
      <c r="CD188" s="393"/>
      <c r="CE188" s="393"/>
      <c r="CF188" s="393"/>
      <c r="CG188" s="393"/>
      <c r="CH188" s="393"/>
      <c r="CI188" s="393"/>
      <c r="CJ188" s="393"/>
      <c r="CK188" s="393"/>
      <c r="CL188" s="393"/>
      <c r="CM188" s="477"/>
      <c r="CN188" s="245"/>
      <c r="CO188" s="246"/>
      <c r="CP188" s="246"/>
      <c r="CQ188" s="246"/>
      <c r="CR188" s="246"/>
      <c r="CS188" s="246"/>
      <c r="CT188" s="246"/>
      <c r="CU188" s="246"/>
      <c r="CV188" s="246"/>
      <c r="CW188" s="246"/>
      <c r="CX188" s="246"/>
      <c r="CY188" s="246"/>
      <c r="CZ188" s="246"/>
      <c r="DA188" s="246"/>
      <c r="DB188" s="246"/>
      <c r="DC188" s="246"/>
      <c r="DD188" s="246"/>
      <c r="DE188" s="246"/>
      <c r="DF188" s="246"/>
    </row>
    <row r="189" spans="1:110" s="35" customFormat="1" ht="21.75" customHeight="1">
      <c r="A189" s="248" t="s">
        <v>124</v>
      </c>
      <c r="B189" s="249"/>
      <c r="C189" s="34"/>
      <c r="D189" s="33" t="str">
        <f>IF(B185="","",-VLOOKUP(B185,'Moms de Empt'!$P$3:$T$36,3,0))</f>
        <v/>
      </c>
      <c r="E189" s="34" t="str">
        <f>IF(E185="","",IF($K$11="X - X",VLOOKUP(E185,'Moms de Empt'!$P$3:$T$36,3,0),VLOOKUP(E185,'Moms de Empt'!$P$3:$T$36,5,0)))</f>
        <v/>
      </c>
      <c r="F189" s="34"/>
      <c r="G189" s="33" t="str">
        <f>+IF(H185="","",-E189)</f>
        <v/>
      </c>
      <c r="H189" s="34" t="str">
        <f>IF(H185="","",IF($K$11="X - X",VLOOKUP(H185,'Moms de Empt'!$P$3:$T$36,3,0),VLOOKUP(H185,'Moms de Empt'!$P$3:$T$36,5,0)))</f>
        <v/>
      </c>
      <c r="I189" s="34"/>
      <c r="J189" s="33" t="str">
        <f>+IF(K185="","",-H189)</f>
        <v/>
      </c>
      <c r="K189" s="34" t="str">
        <f>IF(K185="","",IF($K$11="X - X",VLOOKUP(K185,'Moms de Empt'!$P$3:$T$36,3,0),VLOOKUP(K185,'Moms de Empt'!$P$3:$T$36,5,0)))</f>
        <v/>
      </c>
      <c r="L189" s="34"/>
      <c r="M189" s="33" t="str">
        <f>+IF(N185="","",-K189)</f>
        <v/>
      </c>
      <c r="N189" s="34" t="str">
        <f>IF(N185="","",IF($K$11="X - X",VLOOKUP(N185,'Moms de Empt'!$P$3:$T$36,3,0),VLOOKUP(N185,'Moms de Empt'!$P$3:$T$36,5,0)))</f>
        <v/>
      </c>
      <c r="O189" s="34"/>
      <c r="P189" s="33" t="str">
        <f>+IF(Q185="","",-N189)</f>
        <v/>
      </c>
      <c r="Q189" s="34" t="str">
        <f>IF(Q185="","",IF($K$11="X - X",VLOOKUP(Q185,'Moms de Empt'!$P$3:$T$36,3,0),VLOOKUP(Q185,'Moms de Empt'!$P$3:$T$36,5,0)))</f>
        <v/>
      </c>
      <c r="R189" s="34"/>
      <c r="S189" s="33" t="str">
        <f>+IF(T185="","",-Q189)</f>
        <v/>
      </c>
      <c r="T189" s="34" t="str">
        <f>IF(T185="","",IF($K$11="X - X",VLOOKUP(T185,'Moms de Empt'!$P$3:$T$36,3,0),VLOOKUP(T185,'Moms de Empt'!$P$3:$T$36,5,0)))</f>
        <v/>
      </c>
      <c r="U189" s="34"/>
      <c r="V189" s="33" t="str">
        <f>+IF(W185="","",-T189)</f>
        <v/>
      </c>
      <c r="W189" s="34" t="str">
        <f>IF(W185="","",IF($K$11="X - X",VLOOKUP(W185,'Moms de Empt'!$P$3:$T$36,3,0),VLOOKUP(W185,'Moms de Empt'!$P$3:$T$36,5,0)))</f>
        <v/>
      </c>
      <c r="X189" s="34"/>
      <c r="Y189" s="33" t="str">
        <f>+IF(Z185="","",-W189)</f>
        <v/>
      </c>
      <c r="Z189" s="34" t="str">
        <f>IF(Z185="","",IF($K$11="X - X",VLOOKUP(Z185,'Moms de Empt'!$P$3:$T$36,3,0),VLOOKUP(Z185,'Moms de Empt'!$P$3:$T$36,5,0)))</f>
        <v/>
      </c>
      <c r="AA189" s="34"/>
      <c r="AB189" s="33"/>
      <c r="AD189" s="321" t="str">
        <f>+IF(AG185="","",AG185)</f>
        <v/>
      </c>
      <c r="AE189" s="324" t="str">
        <f>IF(C161="","",IF($K$2="X - X",VLOOKUP(C161,Espesor!$C$8:$E$41,2,0),VLOOKUP(C161,Espesor!$C$8:$E$41,3,0)))</f>
        <v/>
      </c>
      <c r="AF189" s="319" t="str">
        <f>IF(AD189="","",IF(LOOKUP(AD189,Espesor!$C$8:$C$41,Espesor!$K$8:$K$41)="en voladizo","",IF(AD190="",0.75/AE189,1/AE189)))</f>
        <v/>
      </c>
      <c r="AG189" s="634" t="str">
        <f>IF(AF189="","",IF(AF190="","",ROUND(AF189/(AF189+AF190),3)))</f>
        <v/>
      </c>
      <c r="AH189" s="634"/>
      <c r="AI189" s="634" t="str">
        <f>IF(AF190="","",IF(AF189="","",ROUND(AF190/(AF190+AF189),3)))</f>
        <v/>
      </c>
      <c r="AJ189" s="634"/>
      <c r="AK189" s="317">
        <f>IF(D160="",0,IF($K$2="X - X",VLOOKUP(D160,'Moms de Empt'!$P$3:$T$36,3,0),VLOOKUP(D160,'Moms de Empt'!$P$3:$T$36,5,0)))</f>
        <v>0</v>
      </c>
      <c r="AL189" s="317">
        <f>+IF(AD190="",0,-AK189)</f>
        <v>0</v>
      </c>
      <c r="AM189" s="629">
        <f>IF(AD190="",0,IF(LOOKUP(AD190,Espesor!$C$8:$C$41,Espesor!$K$8:$K$41)="en voladizo",MAX(ABS(AL189),ABS(AK190)),-(AK190+AL189)))</f>
        <v>0</v>
      </c>
      <c r="AN189" s="629"/>
      <c r="AO189" s="630" t="str">
        <f>IF(AG189="","",AM189*AG189)</f>
        <v/>
      </c>
      <c r="AP189" s="630"/>
      <c r="AQ189" s="630" t="str">
        <f>IF(AI189="","",AM189*AI189)</f>
        <v/>
      </c>
      <c r="AR189" s="630"/>
      <c r="AS189" s="631">
        <f>-IF(AM189="","",IF(AL189="",IF(AO189="",0,AO189),IF(AO189="",AL189,AL189+AO189)))</f>
        <v>0</v>
      </c>
      <c r="AT189" s="632"/>
      <c r="AU189" s="341">
        <f>+AS189</f>
        <v>0</v>
      </c>
      <c r="AV189" s="332" t="str">
        <f>IF(H185="","",IF(L160="X - X",VLOOKUP(H185,'Moms de Empt'!$P$3:$T$36,2,0),VLOOKUP(H185,'Moms de Empt'!$P$3:$T$36,4,0)))</f>
        <v/>
      </c>
      <c r="AW189" s="635" t="str">
        <f>IF(AV189="","",IF(AV190="","",ROUND(AV189/(AV189+AV190),3)))</f>
        <v/>
      </c>
      <c r="AX189" s="633"/>
      <c r="AY189" s="635" t="str">
        <f>IF(AV190="","",IF(AV189="","",ROUND(AV190/(AV190+AV189),3)))</f>
        <v/>
      </c>
      <c r="AZ189" s="633"/>
      <c r="BA189" s="331" t="str">
        <f t="shared" si="287"/>
        <v/>
      </c>
      <c r="BB189" s="32"/>
      <c r="BC189" s="422"/>
      <c r="BD189" s="398"/>
      <c r="BE189" s="413"/>
      <c r="BF189" s="406"/>
      <c r="BG189" s="406"/>
      <c r="BH189" s="406"/>
      <c r="BI189" s="406"/>
      <c r="BJ189" s="406"/>
      <c r="BK189" s="396"/>
      <c r="BL189" s="393"/>
      <c r="BM189" s="393"/>
      <c r="BN189" s="393"/>
      <c r="BO189" s="393"/>
      <c r="BP189" s="393"/>
      <c r="BQ189" s="393"/>
      <c r="BR189" s="393"/>
      <c r="BS189" s="393"/>
      <c r="BT189" s="393"/>
      <c r="BU189" s="393"/>
      <c r="BV189" s="393"/>
      <c r="BW189" s="393"/>
      <c r="BX189" s="393"/>
      <c r="BY189" s="393"/>
      <c r="BZ189" s="393"/>
      <c r="CA189" s="393"/>
      <c r="CB189" s="393"/>
      <c r="CC189" s="393"/>
      <c r="CD189" s="393"/>
      <c r="CE189" s="393"/>
      <c r="CF189" s="393"/>
      <c r="CG189" s="393"/>
      <c r="CH189" s="393"/>
      <c r="CI189" s="393"/>
      <c r="CJ189" s="393"/>
      <c r="CK189" s="393"/>
      <c r="CL189" s="393"/>
      <c r="CM189" s="474"/>
      <c r="CN189" s="246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</row>
    <row r="190" spans="1:110" s="286" customFormat="1" ht="21.75" customHeight="1">
      <c r="A190" s="250" t="s">
        <v>125</v>
      </c>
      <c r="B190" s="272"/>
      <c r="C190" s="406"/>
      <c r="D190" s="678">
        <f>+IF(E185="",0,IF(LOOKUP(E185,Espesor!$C$8:$C$41,Espesor!$K$8:$K$41)="en voladizo",IF(LOOKUP(B185,Espesor!$C$8:$C$41,Espesor!$K$8:$K$41)="en voladizo","Inestable",MAX(ABS(D189),ABS(E189))),IF(LOOKUP(B185,Espesor!$C$8:$C$41,Espesor!$K$8:$K$41)="en voladizo",MAX(ABS(D189),ABS(E189)),-(E189+D189))))</f>
        <v>0</v>
      </c>
      <c r="E190" s="678"/>
      <c r="F190" s="406"/>
      <c r="G190" s="678">
        <f>+IF(H185="",0,IF(LOOKUP(H185,Espesor!$C$8:$C$41,Espesor!$K$8:$K$41)="en voladizo",IF(LOOKUP(E185,Espesor!$C$8:$C$41,Espesor!$K$8:$K$41)="en voladizo","Inestable",MAX(ABS(G189),ABS(H189))),IF(LOOKUP(E185,Espesor!$C$8:$C$41,Espesor!$K$8:$K$41)="en voladizo",MAX(ABS(G189),ABS(H189)),-(H189+G189))))</f>
        <v>0</v>
      </c>
      <c r="H190" s="678"/>
      <c r="I190" s="406"/>
      <c r="J190" s="678">
        <f>+IF(K185="",0,IF(LOOKUP(K185,Espesor!$C$8:$C$41,Espesor!$K$8:$K$41)="en voladizo",IF(LOOKUP(H185,Espesor!$C$8:$C$41,Espesor!$K$8:$K$41)="en voladizo","Inestable",MAX(ABS(J189),ABS(K189))),IF(LOOKUP(H185,Espesor!$C$8:$C$41,Espesor!$K$8:$K$41)="en voladizo",MAX(ABS(J189),ABS(K189)),-(K189+J189))))</f>
        <v>0</v>
      </c>
      <c r="K190" s="678"/>
      <c r="L190" s="406"/>
      <c r="M190" s="678">
        <f>+IF(N185="",0,IF(LOOKUP(N185,Espesor!$C$8:$C$41,Espesor!$K$8:$K$41)="en voladizo",IF(LOOKUP(K185,Espesor!$C$8:$C$41,Espesor!$K$8:$K$41)="en voladizo","Inestable",MAX(ABS(M189),ABS(N189))),IF(LOOKUP(K185,Espesor!$C$8:$C$41,Espesor!$K$8:$K$41)="en voladizo",MAX(ABS(M189),ABS(N189)),-(N189+M189))))</f>
        <v>0</v>
      </c>
      <c r="N190" s="678"/>
      <c r="O190" s="406"/>
      <c r="P190" s="678">
        <f>+IF(Q185="",0,IF(LOOKUP(Q185,Espesor!$C$8:$C$41,Espesor!$K$8:$K$41)="en voladizo",IF(LOOKUP(N185,Espesor!$C$8:$C$41,Espesor!$K$8:$K$41)="en voladizo","Inestable",MAX(ABS(P189),ABS(Q189))),IF(LOOKUP(N185,Espesor!$C$8:$C$41,Espesor!$K$8:$K$41)="en voladizo",MAX(ABS(P189),ABS(Q189)),-(Q189+P189))))</f>
        <v>0</v>
      </c>
      <c r="Q190" s="678"/>
      <c r="R190" s="406"/>
      <c r="S190" s="678">
        <f>+IF(T185="",0,IF(LOOKUP(T185,Espesor!$C$8:$C$41,Espesor!$K$8:$K$41)="en voladizo",IF(LOOKUP(Q185,Espesor!$C$8:$C$41,Espesor!$K$8:$K$41)="en voladizo","Inestable",MAX(ABS(S189),ABS(T189))),IF(LOOKUP(Q185,Espesor!$C$8:$C$41,Espesor!$K$8:$K$41)="en voladizo",MAX(ABS(S189),ABS(T189)),-(T189+S189))))</f>
        <v>0</v>
      </c>
      <c r="T190" s="678"/>
      <c r="U190" s="406"/>
      <c r="V190" s="678">
        <f>+IF(W185="",0,IF(LOOKUP(W185,Espesor!$C$8:$C$41,Espesor!$K$8:$K$41)="en voladizo",IF(LOOKUP(T185,Espesor!$C$8:$C$41,Espesor!$K$8:$K$41)="en voladizo","Inestable",MAX(ABS(V189),ABS(W189))),IF(LOOKUP(T185,Espesor!$C$8:$C$41,Espesor!$K$8:$K$41)="en voladizo",MAX(ABS(V189),ABS(W189)),-(W189+V189))))</f>
        <v>0</v>
      </c>
      <c r="W190" s="678"/>
      <c r="X190" s="406"/>
      <c r="Y190" s="678">
        <f>+IF(Z185="",0,IF(LOOKUP(Z185,Espesor!$C$8:$C$41,Espesor!$K$8:$K$41)="en voladizo",IF(LOOKUP(W185,Espesor!$C$8:$C$41,Espesor!$K$8:$K$41)="en voladizo","Inestable",MAX(ABS(Y189),ABS(Z189))),IF(LOOKUP(W185,Espesor!$C$8:$C$41,Espesor!$K$8:$K$41)="en voladizo",MAX(ABS(Y189),ABS(Z189)),-(Z189+Y189))))</f>
        <v>0</v>
      </c>
      <c r="Z190" s="678"/>
      <c r="AA190" s="406"/>
      <c r="AB190" s="252"/>
      <c r="AC190" s="292"/>
      <c r="AD190" s="321" t="str">
        <f>+IF(AH185="","",AH185)</f>
        <v/>
      </c>
      <c r="AE190" s="324" t="str">
        <f>IF(K185="","",IF($K$2="X - X",VLOOKUP(K185,Espesor!$C$8:$E$41,2,0),VLOOKUP(K185,Espesor!$C$8:$E$41,3,0)))</f>
        <v/>
      </c>
      <c r="AF190" s="319" t="str">
        <f>IF(AD190="","",IF(LOOKUP(AD190,Espesor!$C$8:$C$41,Espesor!$K$8:$K$41)="en voladizo","",IF(AD191="",0.75/AE190,1/AE190)))</f>
        <v/>
      </c>
      <c r="AG190" s="634"/>
      <c r="AH190" s="634" t="str">
        <f>IF(AF190="","",IF(AF191="","",ROUND(AF190/(AF190+AF191),3)))</f>
        <v/>
      </c>
      <c r="AI190" s="634"/>
      <c r="AJ190" s="634" t="str">
        <f>IF(AF190="","",IF(AF191="","",ROUND(AF191/(AF190+AF191),3)))</f>
        <v/>
      </c>
      <c r="AK190" s="317">
        <f>IF(E160="",0,IF($K$2="X - X",VLOOKUP(E160,'Moms de Empt'!$P$3:$T$36,3,0),VLOOKUP(E160,'Moms de Empt'!$P$3:$T$36,5,0)))</f>
        <v>0</v>
      </c>
      <c r="AL190" s="317">
        <f t="shared" ref="AL190:AL192" si="288">+IF(AD191="",0,-AK190)</f>
        <v>0</v>
      </c>
      <c r="AM190" s="629"/>
      <c r="AN190" s="629">
        <f>IF(AD191="",0,IF(LOOKUP(AD191,Espesor!$C$8:$C$41,Espesor!$K$8:$K$41)="en voladizo",MAX(ABS(AL190),ABS(AK191)),-(AK191+AL190)))</f>
        <v>0</v>
      </c>
      <c r="AO190" s="630"/>
      <c r="AP190" s="630" t="str">
        <f t="shared" ref="AP190" si="289">IF(AH190="","",AN190*AH190)</f>
        <v/>
      </c>
      <c r="AQ190" s="630"/>
      <c r="AR190" s="630" t="str">
        <f t="shared" ref="AR190" si="290">IF(AJ190="","",AN190*AJ190)</f>
        <v/>
      </c>
      <c r="AS190" s="632"/>
      <c r="AT190" s="631">
        <f t="shared" ref="AT190" si="291">-IF(AN190="","",IF(AL190="",IF(AP190="",0,AP190),IF(AP190="",AL190,AL190+AP190)))</f>
        <v>0</v>
      </c>
      <c r="AU190" s="341">
        <f>+AT190</f>
        <v>0</v>
      </c>
      <c r="AV190" s="332" t="str">
        <f>IF(K185="","",IF(L160="X - X",VLOOKUP(K185,'Moms de Empt'!$P$3:$T$36,2,0),VLOOKUP(K185,'Moms de Empt'!$P$3:$T$36,4,0)))</f>
        <v/>
      </c>
      <c r="AW190" s="635"/>
      <c r="AX190" s="633" t="str">
        <f>IF(AV190="","",IF(AV191="","",ROUND(AV190/(AV190+AV191),3)))</f>
        <v/>
      </c>
      <c r="AY190" s="635"/>
      <c r="AZ190" s="633" t="str">
        <f>IF(AV190="","",IF(AV191="","",ROUND(AV191/(AV190+AV191),3)))</f>
        <v/>
      </c>
      <c r="BA190" s="331" t="str">
        <f t="shared" si="287"/>
        <v/>
      </c>
      <c r="BB190" s="35"/>
      <c r="BC190" s="401"/>
      <c r="BD190" s="398"/>
      <c r="BE190" s="391"/>
      <c r="BF190" s="30"/>
      <c r="BG190" s="30"/>
      <c r="BH190" s="30"/>
      <c r="BI190" s="30"/>
      <c r="BJ190" s="30"/>
      <c r="BK190" s="396"/>
      <c r="BL190" s="278"/>
      <c r="BM190" s="278"/>
      <c r="BN190" s="278"/>
      <c r="BO190" s="278"/>
      <c r="BP190" s="278"/>
      <c r="BQ190" s="278"/>
      <c r="BR190" s="278"/>
      <c r="BS190" s="278"/>
      <c r="BT190" s="278"/>
      <c r="BU190" s="278"/>
      <c r="BV190" s="278"/>
      <c r="BW190" s="278"/>
      <c r="BX190" s="278"/>
      <c r="BY190" s="278"/>
      <c r="BZ190" s="278"/>
      <c r="CA190" s="278"/>
      <c r="CB190" s="278"/>
      <c r="CC190" s="278"/>
      <c r="CD190" s="278"/>
      <c r="CE190" s="278"/>
      <c r="CF190" s="278"/>
      <c r="CG190" s="278"/>
      <c r="CH190" s="278"/>
      <c r="CI190" s="278"/>
      <c r="CJ190" s="278"/>
      <c r="CK190" s="278"/>
      <c r="CL190" s="278"/>
      <c r="CM190" s="475"/>
      <c r="CN190" s="32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</row>
    <row r="191" spans="1:110" s="30" customFormat="1" ht="21.75" customHeight="1">
      <c r="A191" s="253" t="s">
        <v>126</v>
      </c>
      <c r="B191" s="29"/>
      <c r="D191" s="254">
        <f>IF(D188="","",D190*D188)</f>
        <v>0</v>
      </c>
      <c r="E191" s="30">
        <f>IF(E188="","",D190*E188)</f>
        <v>0</v>
      </c>
      <c r="G191" s="277">
        <f>IF(G188="","",G190*G188)</f>
        <v>0</v>
      </c>
      <c r="H191" s="278">
        <f>IF(H188="","",G190*H188)</f>
        <v>0</v>
      </c>
      <c r="J191" s="254">
        <f>IF(J188="","",J190*J188)</f>
        <v>0</v>
      </c>
      <c r="K191" s="30">
        <f>IF(K188="","",J190*K188)</f>
        <v>0</v>
      </c>
      <c r="M191" s="254">
        <f>IF(M188="","",M190*M188)</f>
        <v>0</v>
      </c>
      <c r="N191" s="30">
        <f>IF(N188="","",M190*N188)</f>
        <v>0</v>
      </c>
      <c r="P191" s="254">
        <f>IF(P188="","",P190*P188)</f>
        <v>0</v>
      </c>
      <c r="Q191" s="30">
        <f>IF(Q188="","",P190*Q188)</f>
        <v>0</v>
      </c>
      <c r="S191" s="254">
        <f>IF(S188="","",S190*S188)</f>
        <v>0</v>
      </c>
      <c r="T191" s="30">
        <f>IF(T188="","",S190*T188)</f>
        <v>0</v>
      </c>
      <c r="V191" s="254">
        <f>IF(V188="","",V190*V188)</f>
        <v>0</v>
      </c>
      <c r="W191" s="30">
        <f>IF(W188="","",V190*W188)</f>
        <v>0</v>
      </c>
      <c r="Y191" s="254">
        <f>IF(Y188="","",Y190*Y188)</f>
        <v>0</v>
      </c>
      <c r="Z191" s="30">
        <f>IF(Z188="","",Y190*Z188)</f>
        <v>0</v>
      </c>
      <c r="AB191" s="31"/>
      <c r="AD191" s="321" t="str">
        <f>+IF(AI185="","",AI185)</f>
        <v/>
      </c>
      <c r="AE191" s="324" t="str">
        <f>IF(N185="","",IF($K$2="X - X",VLOOKUP(N185,Espesor!$C$8:$E$41,2,0),VLOOKUP(N185,Espesor!$C$8:$E$41,3,0)))</f>
        <v/>
      </c>
      <c r="AF191" s="319" t="str">
        <f>IF(AD191="","",IF(LOOKUP(AD191,Espesor!$C$8:$C$41,Espesor!$K$8:$K$41)="en voladizo","",IF(AD192="",0.75/AE191,1/AE191)))</f>
        <v/>
      </c>
      <c r="AG191" s="634" t="str">
        <f>IF(AF191="","",IF(AF192="","",ROUND(AF191/(AF191+AF192),3)))</f>
        <v/>
      </c>
      <c r="AH191" s="634"/>
      <c r="AI191" s="634" t="str">
        <f>IF(AF192="","",IF(AF191="","",ROUND(AF192/(AF192+AF191),3)))</f>
        <v/>
      </c>
      <c r="AJ191" s="634"/>
      <c r="AK191" s="317">
        <f>IF(F160="",0,IF($K$2="X - X",VLOOKUP(F160,'Moms de Empt'!$P$3:$T$36,3,0),VLOOKUP(F160,'Moms de Empt'!$P$3:$T$36,5,0)))</f>
        <v>0</v>
      </c>
      <c r="AL191" s="317">
        <f t="shared" si="288"/>
        <v>0</v>
      </c>
      <c r="AM191" s="629">
        <f>IF(AD192="",0,IF(LOOKUP(AD192,Espesor!$C$8:$C$41,Espesor!$K$8:$K$41)="en voladizo",MAX(ABS(AL191),ABS(AK192)),-(AK192+AL191)))</f>
        <v>0</v>
      </c>
      <c r="AN191" s="629"/>
      <c r="AO191" s="630" t="str">
        <f t="shared" ref="AO191" si="292">IF(AG191="","",AM191*AG191)</f>
        <v/>
      </c>
      <c r="AP191" s="630"/>
      <c r="AQ191" s="630" t="str">
        <f t="shared" ref="AQ191" si="293">IF(AI191="","",AM191*AI191)</f>
        <v/>
      </c>
      <c r="AR191" s="630"/>
      <c r="AS191" s="631">
        <f>-IF(AM191="","",IF(AL191="",IF(AO191="",0,AO191),IF(AO191="",AL191,AL191+AO191)))</f>
        <v>0</v>
      </c>
      <c r="AT191" s="632"/>
      <c r="AU191" s="341">
        <f>+AS191</f>
        <v>0</v>
      </c>
      <c r="AV191" s="332" t="str">
        <f>IF(N185="","",IF(L160="X - X",VLOOKUP(N185,'Moms de Empt'!$P$3:$T$36,2,0),VLOOKUP(N185,'Moms de Empt'!$P$3:$T$36,4,0)))</f>
        <v/>
      </c>
      <c r="AW191" s="635" t="str">
        <f>IF(AV191="","",IF(AV192="","",ROUND(AV191/(AV191+AV192),3)))</f>
        <v/>
      </c>
      <c r="AX191" s="633"/>
      <c r="AY191" s="635" t="str">
        <f>IF(AV192="","",IF(AV191="","",ROUND(AV192/(AV192+AV191),3)))</f>
        <v/>
      </c>
      <c r="AZ191" s="633"/>
      <c r="BA191" s="331" t="str">
        <f t="shared" si="287"/>
        <v/>
      </c>
      <c r="BB191" s="286"/>
      <c r="BC191" s="401"/>
      <c r="BD191" s="398"/>
      <c r="BE191" s="391"/>
      <c r="BK191" s="396"/>
      <c r="BL191" s="396"/>
      <c r="BM191" s="396"/>
      <c r="BN191" s="396"/>
      <c r="BO191" s="396"/>
      <c r="BP191" s="396"/>
      <c r="BQ191" s="396"/>
      <c r="BR191" s="396"/>
      <c r="BS191" s="396"/>
      <c r="BT191" s="396"/>
      <c r="BU191" s="396"/>
      <c r="BV191" s="396"/>
      <c r="BW191" s="396"/>
      <c r="BX191" s="396"/>
      <c r="BY191" s="396"/>
      <c r="BZ191" s="396"/>
      <c r="CA191" s="396"/>
      <c r="CB191" s="396"/>
      <c r="CC191" s="396"/>
      <c r="CD191" s="396"/>
      <c r="CE191" s="396"/>
      <c r="CF191" s="396"/>
      <c r="CG191" s="396"/>
      <c r="CH191" s="396"/>
      <c r="CI191" s="396"/>
      <c r="CJ191" s="396"/>
      <c r="CK191" s="396"/>
      <c r="CL191" s="396"/>
      <c r="CM191" s="476"/>
      <c r="CN191" s="35"/>
      <c r="CO191" s="286"/>
      <c r="CP191" s="286"/>
      <c r="CQ191" s="286"/>
      <c r="CR191" s="286"/>
      <c r="CS191" s="286"/>
      <c r="CT191" s="286"/>
      <c r="CU191" s="286"/>
      <c r="CV191" s="286"/>
      <c r="CW191" s="286"/>
      <c r="CX191" s="286"/>
      <c r="CY191" s="286"/>
      <c r="CZ191" s="286"/>
      <c r="DA191" s="286"/>
      <c r="DB191" s="286"/>
      <c r="DC191" s="286"/>
      <c r="DD191" s="286"/>
      <c r="DE191" s="286"/>
      <c r="DF191" s="286"/>
    </row>
    <row r="192" spans="1:110" s="32" customFormat="1" ht="21.75" customHeight="1" thickBot="1">
      <c r="B192" s="29"/>
      <c r="C192" s="30"/>
      <c r="D192" s="255">
        <f>IF(D190="",0,IF(D189="",IF(D191="",0,D191),IF(D191="",D189,D189+D191)))</f>
        <v>0</v>
      </c>
      <c r="E192" s="256">
        <f>IF(D190="",0,IF(E189="",IF(E191="",0,E191),IF(E191="",E189,E189+E191)))</f>
        <v>0</v>
      </c>
      <c r="F192" s="30"/>
      <c r="G192" s="276">
        <f>IF(G190="",0,IF(G189="",IF(G191="",0,G191),IF(G191="",G189,G189+G191)))</f>
        <v>0</v>
      </c>
      <c r="H192" s="256">
        <f>IF(G190="",0,IF(H189="",IF(H191="",0,H191),IF(H191="",H189,H189+H191)))</f>
        <v>0</v>
      </c>
      <c r="I192" s="30"/>
      <c r="J192" s="276">
        <f>IF(J190="",0,IF(J189="",IF(J191="",0,J191),IF(J191="",J189,J189+J191)))</f>
        <v>0</v>
      </c>
      <c r="K192" s="256">
        <f>IF(J190="",0,IF(K189="",IF(K191="",0,K191),IF(K191="",K189,K189+K191)))</f>
        <v>0</v>
      </c>
      <c r="L192" s="30"/>
      <c r="M192" s="276">
        <f>IF(M190="",0,IF(M189="",IF(M191="",0,M191),IF(M191="",M189,M189+M191)))</f>
        <v>0</v>
      </c>
      <c r="N192" s="256">
        <f>IF(M190="",0,IF(N189="",IF(N191="",0,N191),IF(N191="",N189,N189+N191)))</f>
        <v>0</v>
      </c>
      <c r="O192" s="30"/>
      <c r="P192" s="276">
        <f>IF(P190="",0,IF(P189="",IF(P191="",0,P191),IF(P191="",P189,P189+P191)))</f>
        <v>0</v>
      </c>
      <c r="Q192" s="256">
        <f>IF(P190="",0,IF(Q189="",IF(Q191="",0,Q191),IF(Q191="",Q189,Q189+Q191)))</f>
        <v>0</v>
      </c>
      <c r="R192" s="30"/>
      <c r="S192" s="276">
        <f>IF(S190="",0,IF(S189="",IF(S191="",0,S191),IF(S191="",S189,S189+S191)))</f>
        <v>0</v>
      </c>
      <c r="T192" s="256">
        <f>IF(S190="",0,IF(T189="",IF(T191="",0,T191),IF(T191="",T189,T189+T191)))</f>
        <v>0</v>
      </c>
      <c r="U192" s="30"/>
      <c r="V192" s="276">
        <f>IF(V190="",0,IF(V189="",IF(V191="",0,V191),IF(V191="",V189,V189+V191)))</f>
        <v>0</v>
      </c>
      <c r="W192" s="256">
        <f>IF(V190="",0,IF(W189="",IF(W191="",0,W191),IF(W191="",W189,W189+W191)))</f>
        <v>0</v>
      </c>
      <c r="X192" s="30"/>
      <c r="Y192" s="276">
        <f>IF(Y190="",0,IF(Y189="",IF(Y191="",0,Y191),IF(Y191="",Y189,Y189+Y191)))</f>
        <v>0</v>
      </c>
      <c r="Z192" s="256">
        <f>IF(Y190="",0,IF(Z189="",IF(Z191="",0,Z191),IF(Z191="",Z189,Z189+Z191)))</f>
        <v>0</v>
      </c>
      <c r="AA192" s="30"/>
      <c r="AB192" s="31"/>
      <c r="AC192" s="30"/>
      <c r="AD192" s="321" t="str">
        <f>+IF(AJ185="","",AJ185)</f>
        <v/>
      </c>
      <c r="AE192" s="324" t="str">
        <f>IF(Q185="","",IF($K$2="X - X",VLOOKUP(Q185,Espesor!$C$8:$E$41,2,0),VLOOKUP(Q185,Espesor!$C$8:$E$41,3,0)))</f>
        <v/>
      </c>
      <c r="AF192" s="319" t="str">
        <f>IF(AD192="","",IF(LOOKUP(AD192,Espesor!$C$8:$C$41,Espesor!$K$8:$K$41)="en voladizo","",IF(AD193="",0.75/AE192,1/AE192)))</f>
        <v/>
      </c>
      <c r="AG192" s="634"/>
      <c r="AH192" s="634" t="str">
        <f>IF(AF192="","",IF(AF193="","",ROUND(AF192/(AF192+AF193),3)))</f>
        <v/>
      </c>
      <c r="AI192" s="634"/>
      <c r="AJ192" s="634" t="str">
        <f>IF(AF192="","",IF(AF193="","",ROUND(AF193/(AF192+AF193),3)))</f>
        <v/>
      </c>
      <c r="AK192" s="317">
        <f>IF(G160="",0,IF($K$2="X - X",VLOOKUP(G160,'Moms de Empt'!$P$3:$T$36,3,0),VLOOKUP(G160,'Moms de Empt'!$P$3:$T$36,5,0)))</f>
        <v>0</v>
      </c>
      <c r="AL192" s="317">
        <f t="shared" si="288"/>
        <v>0</v>
      </c>
      <c r="AM192" s="629"/>
      <c r="AN192" s="629">
        <f>IF(AD193="",0,IF(LOOKUP(AD193,Espesor!$C$8:$C$41,Espesor!$K$8:$K$41)="en voladizo",MAX(ABS(AL192),ABS(AK193)),-(AK193+AL192)))</f>
        <v>0</v>
      </c>
      <c r="AO192" s="630"/>
      <c r="AP192" s="630" t="str">
        <f t="shared" ref="AP192" si="294">IF(AH192="","",AN192*AH192)</f>
        <v/>
      </c>
      <c r="AQ192" s="630"/>
      <c r="AR192" s="630" t="str">
        <f t="shared" ref="AR192" si="295">IF(AJ192="","",AN192*AJ192)</f>
        <v/>
      </c>
      <c r="AS192" s="632"/>
      <c r="AT192" s="631">
        <f t="shared" ref="AT192" si="296">-IF(AN192="","",IF(AL192="",IF(AP192="",0,AP192),IF(AP192="",AL192,AL192+AP192)))</f>
        <v>0</v>
      </c>
      <c r="AU192" s="341">
        <f>+AT192</f>
        <v>0</v>
      </c>
      <c r="AV192" s="332" t="str">
        <f>IF(Q185="","",IF(L160="X - X",VLOOKUP(Q185,'Moms de Empt'!$P$3:$T$36,2,0),VLOOKUP(Q185,'Moms de Empt'!$P$3:$T$36,4,0)))</f>
        <v/>
      </c>
      <c r="AW192" s="635"/>
      <c r="AX192" s="633" t="str">
        <f>IF(AV192="","",IF(AV193="","",ROUND(AV192/(AV192+AV193),3)))</f>
        <v/>
      </c>
      <c r="AY192" s="635"/>
      <c r="AZ192" s="633" t="str">
        <f>IF(AV192="","",IF(AV193="","",ROUND(AV193/(AV192+AV193),3)))</f>
        <v/>
      </c>
      <c r="BA192" s="331" t="str">
        <f t="shared" si="287"/>
        <v/>
      </c>
      <c r="BB192" s="30"/>
      <c r="BC192" s="401"/>
      <c r="BD192" s="398"/>
      <c r="BE192" s="391"/>
      <c r="BF192" s="393"/>
      <c r="BG192" s="393"/>
      <c r="BH192" s="393"/>
      <c r="BI192" s="393"/>
      <c r="BJ192" s="393"/>
      <c r="BK192" s="396"/>
      <c r="BL192" s="395"/>
      <c r="BM192" s="395"/>
      <c r="BN192" s="395"/>
      <c r="BO192" s="395"/>
      <c r="BP192" s="395"/>
      <c r="BQ192" s="395"/>
      <c r="BR192" s="395"/>
      <c r="BS192" s="395"/>
      <c r="BT192" s="395"/>
      <c r="BU192" s="395"/>
      <c r="BV192" s="395"/>
      <c r="BW192" s="395"/>
      <c r="BX192" s="395"/>
      <c r="BY192" s="395"/>
      <c r="BZ192" s="395"/>
      <c r="CA192" s="395"/>
      <c r="CB192" s="395"/>
      <c r="CC192" s="395"/>
      <c r="CD192" s="395"/>
      <c r="CE192" s="395"/>
      <c r="CF192" s="395"/>
      <c r="CG192" s="395"/>
      <c r="CH192" s="395"/>
      <c r="CI192" s="395"/>
      <c r="CJ192" s="395"/>
      <c r="CK192" s="395"/>
      <c r="CL192" s="395"/>
      <c r="CM192" s="474"/>
      <c r="CN192" s="286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</row>
    <row r="193" spans="1:110" s="36" customFormat="1" ht="21.75" customHeight="1" thickBot="1">
      <c r="A193" s="36" t="s">
        <v>66</v>
      </c>
      <c r="B193" s="273"/>
      <c r="D193" s="672">
        <f>IF(E185="",0,IF(D192=0,IF(E192=0,MAX(ABS(D189),ABS(E189)),E192),MAX(ABS(D192),ABS(E192))))</f>
        <v>0</v>
      </c>
      <c r="E193" s="674"/>
      <c r="G193" s="672">
        <f>IF(H185="",0,IF(G192=0,IF(H192=0,MAX(ABS(G189),ABS(H189)),H192),MAX(ABS(G192),ABS(H192))))</f>
        <v>0</v>
      </c>
      <c r="H193" s="674"/>
      <c r="J193" s="672">
        <f>IF(K185="",0,IF(J192=0,IF(K192=0,MAX(ABS(J189),ABS(K189)),K192),MAX(ABS(J192),ABS(K192))))</f>
        <v>0</v>
      </c>
      <c r="K193" s="674"/>
      <c r="M193" s="672">
        <f>IF(N185="",0,IF(M192=0,IF(N192=0,MAX(ABS(M189),ABS(N189)),N192),MAX(ABS(M192),ABS(N192))))</f>
        <v>0</v>
      </c>
      <c r="N193" s="674"/>
      <c r="P193" s="672">
        <f>IF(Q185="",0,IF(P192=0,IF(Q192=0,MAX(ABS(P189),ABS(Q189)),Q192),MAX(ABS(P192),ABS(Q192))))</f>
        <v>0</v>
      </c>
      <c r="Q193" s="674"/>
      <c r="S193" s="672">
        <f>IF(T185="",0,IF(S192=0,IF(T192=0,MAX(ABS(S189),ABS(T189)),T192),MAX(ABS(S192),ABS(T192))))</f>
        <v>0</v>
      </c>
      <c r="T193" s="674"/>
      <c r="U193" s="265"/>
      <c r="V193" s="672">
        <f>IF(W185="",0,IF(V192=0,IF(W192=0,MAX(ABS(V189),ABS(W189)),W192),MAX(ABS(V192),ABS(W192))))</f>
        <v>0</v>
      </c>
      <c r="W193" s="674"/>
      <c r="Y193" s="672">
        <f>IF(Z185="",0,IF(Y192=0,IF(Z192=0,MAX(ABS(Y189),ABS(Z189)),Z192),MAX(ABS(Y192),ABS(Z192))))</f>
        <v>0</v>
      </c>
      <c r="Z193" s="674"/>
      <c r="AA193" s="37"/>
      <c r="AB193" s="38"/>
      <c r="AC193" s="39"/>
      <c r="AD193" s="321" t="str">
        <f>+IF(AK185="","",AK185)</f>
        <v/>
      </c>
      <c r="AE193" s="324" t="str">
        <f>IF(T185="","",IF($K$2="X - X",VLOOKUP(T185,Espesor!$C$8:$E$41,2,0),VLOOKUP(T185,Espesor!$C$8:$E$41,3,0)))</f>
        <v/>
      </c>
      <c r="AF193" s="319" t="str">
        <f>IF(AD193="","",IF(LOOKUP(AD193,Espesor!$C$8:$C$41,Espesor!$K$8:$K$41)="en voladizo","",IF(AD194="",0.75/AE193,1/AE193)))</f>
        <v/>
      </c>
      <c r="AG193" s="634" t="str">
        <f>IF(AF193="","",IF(AF194="","",ROUND(AF193/(AF193+AF194),3)))</f>
        <v/>
      </c>
      <c r="AH193" s="634"/>
      <c r="AI193" s="634" t="str">
        <f>IF(AF194="","",IF(AF193="","",ROUND(AF194/(AF194+AF193),3)))</f>
        <v/>
      </c>
      <c r="AJ193" s="634"/>
      <c r="AK193" s="317">
        <f>IF(H160="",0,IF($K$2="X - X",VLOOKUP(H160,'Moms de Empt'!$P$3:$T$36,3,0),VLOOKUP(H160,'Moms de Empt'!$P$3:$T$36,5,0)))</f>
        <v>0</v>
      </c>
      <c r="AL193" s="317">
        <f>+IF(AD194="",0,-AK193)</f>
        <v>0</v>
      </c>
      <c r="AM193" s="629">
        <f>IF(AD194="",0,IF(LOOKUP(AD194,Espesor!$C$8:$C$41,Espesor!$K$8:$K$41)="en voladizo",MAX(ABS(AL193),ABS(AK194)),-(AK194+AL193)))</f>
        <v>0</v>
      </c>
      <c r="AN193" s="629"/>
      <c r="AO193" s="630" t="str">
        <f>IF(AG193="","",AM193*AG193)</f>
        <v/>
      </c>
      <c r="AP193" s="630"/>
      <c r="AQ193" s="630" t="str">
        <f t="shared" ref="AQ193" si="297">IF(AI193="","",AM193*AI193)</f>
        <v/>
      </c>
      <c r="AR193" s="630"/>
      <c r="AS193" s="631">
        <f>-IF(AM193="","",IF(AL193="",IF(AO193="",0,AO193),IF(AO193="",AL193,AL193+AO193)))</f>
        <v>0</v>
      </c>
      <c r="AT193" s="632"/>
      <c r="AU193" s="341">
        <f>+AS193</f>
        <v>0</v>
      </c>
      <c r="AV193" s="332" t="str">
        <f>IF(T185="","",IF(L160="X - X",VLOOKUP(T185,'Moms de Empt'!$P$3:$T$36,2,0),VLOOKUP(T185,'Moms de Empt'!$P$3:$T$36,4,0)))</f>
        <v/>
      </c>
      <c r="AW193" s="635" t="str">
        <f>IF(AV193="","",IF(AV194="","",ROUND(AV193/(AV193+AV194),3)))</f>
        <v/>
      </c>
      <c r="AX193" s="633"/>
      <c r="AY193" s="635" t="str">
        <f>IF(AV194="","",IF(AV193="","",ROUND(AV194/(AV194+AV193),3)))</f>
        <v/>
      </c>
      <c r="AZ193" s="633"/>
      <c r="BA193" s="331" t="str">
        <f t="shared" si="287"/>
        <v/>
      </c>
      <c r="BB193" s="32"/>
      <c r="BC193" s="401"/>
      <c r="BD193" s="398"/>
      <c r="BE193" s="391"/>
      <c r="BF193" s="393"/>
      <c r="BG193" s="393"/>
      <c r="BH193" s="393"/>
      <c r="BI193" s="393"/>
      <c r="BJ193" s="393"/>
      <c r="BK193" s="396"/>
      <c r="BL193" s="396"/>
      <c r="BM193" s="396"/>
      <c r="BN193" s="396"/>
      <c r="BO193" s="396"/>
      <c r="BP193" s="396"/>
      <c r="BQ193" s="396"/>
      <c r="BR193" s="396"/>
      <c r="BS193" s="396"/>
      <c r="BT193" s="396"/>
      <c r="BU193" s="396"/>
      <c r="BV193" s="396"/>
      <c r="BW193" s="396"/>
      <c r="BX193" s="396"/>
      <c r="BY193" s="396"/>
      <c r="BZ193" s="396"/>
      <c r="CA193" s="396"/>
      <c r="CB193" s="396"/>
      <c r="CC193" s="396"/>
      <c r="CD193" s="396"/>
      <c r="CE193" s="396"/>
      <c r="CF193" s="396"/>
      <c r="CG193" s="396"/>
      <c r="CH193" s="396"/>
      <c r="CI193" s="396"/>
      <c r="CJ193" s="396"/>
      <c r="CK193" s="396"/>
      <c r="CL193" s="396"/>
      <c r="CM193" s="474"/>
      <c r="CN193" s="30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</row>
    <row r="194" spans="1:110" s="36" customFormat="1" ht="21.75" customHeight="1" thickBot="1">
      <c r="B194" s="274"/>
      <c r="D194" s="690">
        <f>IF(D193="","",D193*100000)</f>
        <v>0</v>
      </c>
      <c r="E194" s="690"/>
      <c r="G194" s="690">
        <f>IF(G193="","",G193*100000)</f>
        <v>0</v>
      </c>
      <c r="H194" s="690"/>
      <c r="I194" s="388"/>
      <c r="J194" s="690">
        <f>IF(J193="","",J193*100000)</f>
        <v>0</v>
      </c>
      <c r="K194" s="690"/>
      <c r="L194" s="388"/>
      <c r="M194" s="690">
        <f>IF(M193="","",M193*100000)</f>
        <v>0</v>
      </c>
      <c r="N194" s="690"/>
      <c r="O194" s="388"/>
      <c r="P194" s="690">
        <f>IF(P193="","",P193*100000)</f>
        <v>0</v>
      </c>
      <c r="Q194" s="690"/>
      <c r="R194" s="388"/>
      <c r="S194" s="690">
        <f>IF(S193="","",S193*100000)</f>
        <v>0</v>
      </c>
      <c r="T194" s="690"/>
      <c r="U194" s="387"/>
      <c r="V194" s="690">
        <f>IF(V193="","",V193*100000)</f>
        <v>0</v>
      </c>
      <c r="W194" s="690"/>
      <c r="X194" s="388"/>
      <c r="Y194" s="690">
        <f>IF(Y193="","",Y193*100000)</f>
        <v>0</v>
      </c>
      <c r="Z194" s="690"/>
      <c r="AA194" s="37"/>
      <c r="AB194" s="275"/>
      <c r="AC194" s="39"/>
      <c r="AD194" s="321" t="str">
        <f>+IF(AL185="","",AL185)</f>
        <v/>
      </c>
      <c r="AE194" s="324" t="str">
        <f>IF(W185="","",IF($K$2="X - X",VLOOKUP(W185,Espesor!$C$8:$E$41,2,0),VLOOKUP(W185,Espesor!$C$8:$E$41,3,0)))</f>
        <v/>
      </c>
      <c r="AF194" s="319" t="str">
        <f>IF(AD194="","",IF(LOOKUP(AD194,Espesor!$C$8:$C$41,Espesor!$K$8:$K$41)="en voladizo","",IF(AD195="",0.75/AE194,1/AE194)))</f>
        <v/>
      </c>
      <c r="AG194" s="634"/>
      <c r="AH194" s="634" t="str">
        <f>IF(AF194="","",IF(AF195="","",ROUND(AF194/(AF194+AF195),3)))</f>
        <v/>
      </c>
      <c r="AI194" s="634"/>
      <c r="AJ194" s="634" t="str">
        <f>IF(AF194="","",IF(AF195="","",ROUND(AF195/(AF194+AF195),3)))</f>
        <v/>
      </c>
      <c r="AK194" s="317">
        <f>IF(I160="",0,IF($K$2="X - X",VLOOKUP(I160,'Moms de Empt'!$P$3:$T$36,3,0),VLOOKUP(I160,'Moms de Empt'!$P$3:$T$36,5,0)))</f>
        <v>0</v>
      </c>
      <c r="AL194" s="317">
        <f t="shared" ref="AL194:AL195" si="298">+IF(AD195="",0,-AK194)</f>
        <v>0</v>
      </c>
      <c r="AM194" s="629"/>
      <c r="AN194" s="629">
        <f>IF(AD195="",0,IF(LOOKUP(AD195,Espesor!$C$8:$C$41,Espesor!$K$8:$K$41)="en voladizo",MAX(ABS(AL194),ABS(AK195)),-(AK195+AL194)))</f>
        <v>0</v>
      </c>
      <c r="AO194" s="630"/>
      <c r="AP194" s="630" t="str">
        <f t="shared" ref="AP194" si="299">IF(AH194="","",AN194*AH194)</f>
        <v/>
      </c>
      <c r="AQ194" s="630"/>
      <c r="AR194" s="630" t="str">
        <f t="shared" ref="AR194" si="300">IF(AJ194="","",AN194*AJ194)</f>
        <v/>
      </c>
      <c r="AS194" s="632"/>
      <c r="AT194" s="631">
        <f t="shared" ref="AT194" si="301">-IF(AN194="","",IF(AL194="",IF(AP194="",0,AP194),IF(AP194="",AL194,AL194+AP194)))</f>
        <v>0</v>
      </c>
      <c r="AU194" s="341">
        <f>+AT194</f>
        <v>0</v>
      </c>
      <c r="AV194" s="332" t="str">
        <f>IF(W185="","",IF(L160="X - X",VLOOKUP(W185,'Moms de Empt'!$P$3:$T$36,2,0),VLOOKUP(W185,'Moms de Empt'!$P$3:$T$36,4,0)))</f>
        <v/>
      </c>
      <c r="AW194" s="635"/>
      <c r="AX194" s="633" t="str">
        <f>IF(AV194="","",IF(AV195="","",ROUND(AV194/(AV194+AV195),3)))</f>
        <v/>
      </c>
      <c r="AY194" s="635"/>
      <c r="AZ194" s="633" t="str">
        <f>IF(AV194="","",IF(AV195="","",ROUND(AV195/(AV194+AV195),3)))</f>
        <v/>
      </c>
      <c r="BA194" s="331" t="str">
        <f t="shared" si="287"/>
        <v/>
      </c>
      <c r="BC194" s="401"/>
      <c r="BD194" s="398"/>
      <c r="BE194" s="391"/>
      <c r="BF194" s="278"/>
      <c r="BG194" s="278"/>
      <c r="BH194" s="278"/>
      <c r="BI194" s="278"/>
      <c r="BJ194" s="278"/>
      <c r="BK194" s="396"/>
      <c r="BL194" s="396"/>
      <c r="BM194" s="396"/>
      <c r="BN194" s="396"/>
      <c r="BO194" s="396"/>
      <c r="BP194" s="396"/>
      <c r="BQ194" s="396"/>
      <c r="BR194" s="396"/>
      <c r="BS194" s="396"/>
      <c r="BT194" s="396"/>
      <c r="BU194" s="396"/>
      <c r="BV194" s="396"/>
      <c r="BW194" s="396"/>
      <c r="BX194" s="396"/>
      <c r="BY194" s="396"/>
      <c r="BZ194" s="396"/>
      <c r="CA194" s="396"/>
      <c r="CB194" s="396"/>
      <c r="CC194" s="396"/>
      <c r="CD194" s="396"/>
      <c r="CE194" s="396"/>
      <c r="CF194" s="396"/>
      <c r="CG194" s="396"/>
      <c r="CH194" s="396"/>
      <c r="CI194" s="396"/>
      <c r="CJ194" s="396"/>
      <c r="CK194" s="396"/>
      <c r="CL194" s="396"/>
      <c r="CM194" s="430"/>
      <c r="CN194" s="32"/>
    </row>
    <row r="195" spans="1:110" s="210" customFormat="1" ht="21.75" customHeight="1" thickBot="1">
      <c r="A195" s="257" t="s">
        <v>127</v>
      </c>
      <c r="B195" s="675" t="str">
        <f>IF(B185="","",IF(L56="X - X",VLOOKUP(B185,'Moms de Empt'!$P$3:$T$36,2,0),VLOOKUP(B185,'Moms de Empt'!$P$3:$T$36,4,0)))</f>
        <v/>
      </c>
      <c r="C195" s="676"/>
      <c r="D195" s="677"/>
      <c r="E195" s="675" t="str">
        <f>IF(E185="","",IF(L56="X - X",VLOOKUP(E185,'Moms de Empt'!$P$3:$T$36,2,0),VLOOKUP(E185,'Moms de Empt'!$P$3:$T$36,4,0)))</f>
        <v/>
      </c>
      <c r="F195" s="676"/>
      <c r="G195" s="677"/>
      <c r="H195" s="675" t="str">
        <f>IF(H185="","",IF(L56="X - X",VLOOKUP(H185,'Moms de Empt'!$P$3:$T$36,2,0),VLOOKUP(H185,'Moms de Empt'!$P$3:$T$36,4,0)))</f>
        <v/>
      </c>
      <c r="I195" s="676"/>
      <c r="J195" s="677"/>
      <c r="K195" s="675" t="str">
        <f>IF(K185="","",IF(L56="X - X",VLOOKUP(K185,'Moms de Empt'!$P$3:$T$36,2,0),VLOOKUP(K185,'Moms de Empt'!$P$3:$T$36,4,0)))</f>
        <v/>
      </c>
      <c r="L195" s="676"/>
      <c r="M195" s="677"/>
      <c r="N195" s="675" t="str">
        <f>IF(N185="","",IF(L56="X - X",VLOOKUP(N185,'Moms de Empt'!$P$3:$T$36,2,0),VLOOKUP(N185,'Moms de Empt'!$P$3:$T$36,4,0)))</f>
        <v/>
      </c>
      <c r="O195" s="676"/>
      <c r="P195" s="677"/>
      <c r="Q195" s="675" t="str">
        <f>IF(Q185="","",IF(L56="X - X",VLOOKUP(Q185,'Moms de Empt'!$P$3:$T$36,2,0),VLOOKUP(Q185,'Moms de Empt'!$P$3:$T$36,4,0)))</f>
        <v/>
      </c>
      <c r="R195" s="676"/>
      <c r="S195" s="677"/>
      <c r="T195" s="675" t="str">
        <f>IF(T185="","",IF(L56="X - X",VLOOKUP(T185,'Moms de Empt'!$P$3:$T$36,2,0),VLOOKUP(T185,'Moms de Empt'!$P$3:$T$36,4,0)))</f>
        <v/>
      </c>
      <c r="U195" s="676"/>
      <c r="V195" s="677"/>
      <c r="W195" s="675" t="str">
        <f>IF(W185="","",IF(L56="X - X",VLOOKUP(W185,'Moms de Empt'!$P$3:$T$36,2,0),VLOOKUP(W185,'Moms de Empt'!$P$3:$T$36,4,0)))</f>
        <v/>
      </c>
      <c r="X195" s="676"/>
      <c r="Y195" s="677"/>
      <c r="Z195" s="675" t="str">
        <f>IF(Z185="","",IF(L56="X - X",VLOOKUP(Z185,'Moms de Empt'!$P$3:$T$36,2,0),VLOOKUP(Z185,'Moms de Empt'!$P$3:$T$36,4,0)))</f>
        <v/>
      </c>
      <c r="AA195" s="676"/>
      <c r="AB195" s="677"/>
      <c r="AC195" s="40"/>
      <c r="AD195" s="321" t="str">
        <f>+IF(AM185="","",AM185)</f>
        <v/>
      </c>
      <c r="AE195" s="324" t="str">
        <f>IF(Z185="","",IF($K$2="X - X",VLOOKUP(Z185,Espesor!$C$8:$E$41,2,0),VLOOKUP(Z185,Espesor!$C$8:$E$41,3,0)))</f>
        <v/>
      </c>
      <c r="AF195" s="319" t="str">
        <f>IF(AD195="","",IF(LOOKUP(AD195,Espesor!$C$8:$C$41,Espesor!$K$8:$K$41)="en voladizo","",IF(AD196="",0.75/AE195,1/AE195)))</f>
        <v/>
      </c>
      <c r="AG195" s="344" t="str">
        <f>IF(AF195="","",IF(AK169="","",ROUND(AF195/(AF195+AK169),3)))</f>
        <v/>
      </c>
      <c r="AH195" s="634"/>
      <c r="AI195" s="344" t="str">
        <f>IF(AK169="","",IF(AF195="","",ROUND(AK169/(AK169+AF195),3)))</f>
        <v/>
      </c>
      <c r="AJ195" s="634"/>
      <c r="AK195" s="317">
        <f>IF(J160="",0,IF($K$2="X - X",VLOOKUP(J160,'Moms de Empt'!$P$3:$T$36,3,0),VLOOKUP(J160,'Moms de Empt'!$P$3:$T$36,5,0)))</f>
        <v>0</v>
      </c>
      <c r="AL195" s="317">
        <f t="shared" si="298"/>
        <v>0</v>
      </c>
      <c r="AM195" s="307" t="str">
        <f>IF(AI169="","",IF(LOOKUP(AI169,[6]Espesor!$C$8:$C$41,[6]Espesor!$K$8:$K$41)="en voladizo",MAX(ABS(AL195),ABS(AQ169)),-(AQ169-AL195)))</f>
        <v/>
      </c>
      <c r="AN195" s="629"/>
      <c r="AO195" s="340" t="str">
        <f t="shared" ref="AO195" si="302">IF(AG195="","",AM195*AG195)</f>
        <v/>
      </c>
      <c r="AP195" s="630"/>
      <c r="AQ195" s="315" t="str">
        <f t="shared" ref="AQ195" si="303">IF(AI195="","",AM195*AI195)</f>
        <v/>
      </c>
      <c r="AR195" s="630"/>
      <c r="AS195" s="312" t="str">
        <f t="shared" ref="AS195" si="304">IF(AM195="","",IF(AL195="",IF(AO195="",0,AO195),IF(AO195="",AL195,AL195+AO195)))</f>
        <v/>
      </c>
      <c r="AT195" s="632"/>
      <c r="AU195" s="341"/>
      <c r="AV195" s="333" t="str">
        <f>IF(Z185="","",IF(L160="X - X",VLOOKUP(Z185,'Moms de Empt'!$P$3:$T$36,2,0),VLOOKUP(Z185,'Moms de Empt'!$P$3:$T$36,4,0)))</f>
        <v/>
      </c>
      <c r="AW195" s="337" t="str">
        <f>IF(AV195="","",IF(BA169="","",ROUND(AV195/(AV195+BA169),3)))</f>
        <v/>
      </c>
      <c r="AX195" s="633"/>
      <c r="AY195" s="337" t="str">
        <f>IF(BA169="","",IF(AV195="","",ROUND(BA169/(BA169+AV195),3)))</f>
        <v/>
      </c>
      <c r="AZ195" s="633"/>
      <c r="BA195" s="331"/>
      <c r="BB195" s="36"/>
      <c r="BC195" s="401"/>
      <c r="BD195" s="398"/>
      <c r="BE195" s="391"/>
      <c r="BF195" s="396"/>
      <c r="BG195" s="396"/>
      <c r="BH195" s="396"/>
      <c r="BI195" s="396"/>
      <c r="BJ195" s="396"/>
      <c r="BK195" s="396"/>
      <c r="BL195" s="397"/>
      <c r="BM195" s="397"/>
      <c r="BN195" s="397"/>
      <c r="BO195" s="397"/>
      <c r="BP195" s="397"/>
      <c r="BQ195" s="397"/>
      <c r="BR195" s="397"/>
      <c r="BS195" s="397"/>
      <c r="BT195" s="397"/>
      <c r="BU195" s="397"/>
      <c r="BV195" s="397"/>
      <c r="BW195" s="397"/>
      <c r="BX195" s="397"/>
      <c r="BY195" s="397"/>
      <c r="BZ195" s="397"/>
      <c r="CA195" s="397"/>
      <c r="CB195" s="397"/>
      <c r="CC195" s="397"/>
      <c r="CD195" s="397"/>
      <c r="CE195" s="397"/>
      <c r="CF195" s="397"/>
      <c r="CG195" s="397"/>
      <c r="CH195" s="397"/>
      <c r="CI195" s="397"/>
      <c r="CJ195" s="397"/>
      <c r="CK195" s="397"/>
      <c r="CL195" s="397"/>
      <c r="CM195" s="430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</row>
    <row r="196" spans="1:110" ht="21.75" customHeight="1" thickBot="1">
      <c r="A196" s="258"/>
      <c r="B196" s="209"/>
      <c r="C196" s="209"/>
      <c r="D196" s="209" t="str">
        <f>IF(B187="","",IF(D189="","",IF(ABS(D193)&gt;ABS(D189),-0.5*ABS(D191),0.5*ABS(D191))))</f>
        <v/>
      </c>
      <c r="E196" s="209" t="str">
        <f>IF(E187="","",IF(E189="","",IF(ABS(D193)&gt;ABS(E189),-0.5*ABS(E191),0.5*ABS(E191))))</f>
        <v/>
      </c>
      <c r="F196" s="209"/>
      <c r="G196" s="209" t="str">
        <f>IF(E187="","",IF(G189="","",IF(ABS(G193)&gt;ABS(G189),-0.5*ABS(G191),0.5*ABS(G191))))</f>
        <v/>
      </c>
      <c r="H196" s="209" t="str">
        <f>IF(H187="","",IF(H189="","",IF(ABS(G193)&gt;ABS(H189),-0.5*ABS(H191),0.5*ABS(H191))))</f>
        <v/>
      </c>
      <c r="I196" s="209"/>
      <c r="J196" s="209" t="str">
        <f>IF(H187="","",IF(J189="","",IF(ABS(J193)&gt;ABS(J189),-0.5*ABS(J191),0.5*ABS(J191))))</f>
        <v/>
      </c>
      <c r="K196" s="209" t="str">
        <f>IF(K187="","",IF(K189="","",IF(ABS(J193)&gt;ABS(K189),-0.5*ABS(K191),0.5*ABS(K191))))</f>
        <v/>
      </c>
      <c r="L196" s="209"/>
      <c r="M196" s="209" t="str">
        <f>IF(K187="","",IF(M189="","",IF(ABS(M193)&gt;ABS(M189),-0.5*ABS(M191),0.5*ABS(M191))))</f>
        <v/>
      </c>
      <c r="N196" s="209" t="str">
        <f>IF(N187="","",IF(N189="","",IF(ABS(M193)&gt;ABS(N189),-0.5*ABS(N191),0.5*ABS(N191))))</f>
        <v/>
      </c>
      <c r="O196" s="209"/>
      <c r="P196" s="209" t="str">
        <f>IF(N187="","",IF(P189="","",IF(ABS(P193)&gt;ABS(P189),-0.5*ABS(P191),0.5*ABS(P191))))</f>
        <v/>
      </c>
      <c r="Q196" s="209" t="str">
        <f>IF(Q187="","",IF(Q189="","",IF(ABS(P193)&gt;ABS(Q189),-0.5*ABS(Q191),0.5*ABS(Q191))))</f>
        <v/>
      </c>
      <c r="R196" s="209"/>
      <c r="S196" s="209" t="str">
        <f>IF(Q187="","",IF(S189="","",IF(ABS(S193)&gt;ABS(S189),-0.5*ABS(S191),0.5*ABS(S191))))</f>
        <v/>
      </c>
      <c r="T196" s="209" t="str">
        <f>IF(T187="","",IF(T189="","",IF(ABS(S193)&gt;ABS(T189),-0.5*ABS(T191),0.5*ABS(T191))))</f>
        <v/>
      </c>
      <c r="U196" s="209"/>
      <c r="V196" s="209" t="str">
        <f>IF(T187="","",IF(V189="","",IF(ABS(V193)&gt;ABS(V189),-0.5*ABS(V191),0.5*ABS(V191))))</f>
        <v/>
      </c>
      <c r="W196" s="209" t="str">
        <f>IF(W187="","",IF(W189="","",IF(ABS(V193)&gt;ABS(W189),-0.5*ABS(W191),0.5*ABS(W191))))</f>
        <v/>
      </c>
      <c r="X196" s="209"/>
      <c r="Y196" s="209" t="str">
        <f>IF(W187="","",IF(Y189="","",IF(ABS(Y193)&gt;ABS(Y189),-0.5*ABS(Y191),0.5*ABS(Y191))))</f>
        <v/>
      </c>
      <c r="Z196" s="209" t="str">
        <f>IF(Z187="","",IF(Z189="","",IF(ABS(Y193)&gt;ABS(Z189),-0.5*ABS(Z191),0.5*ABS(Z191))))</f>
        <v/>
      </c>
      <c r="AA196" s="209"/>
      <c r="AB196" s="209" t="str">
        <f>IF(Z187="","",IF(AB189="","",IF(AB193&gt;-AB189,IF(AB191&lt;0,0.5*AB191,-0.5*AB191),0.5*AB191)))</f>
        <v/>
      </c>
      <c r="BB196" s="210"/>
      <c r="BC196" s="401"/>
      <c r="BD196" s="398"/>
      <c r="BE196" s="391"/>
      <c r="BF196" s="395"/>
      <c r="BG196" s="395"/>
      <c r="BH196" s="395"/>
      <c r="BI196" s="395"/>
      <c r="BJ196" s="395"/>
      <c r="BL196" s="397"/>
      <c r="BM196" s="397"/>
      <c r="BN196" s="397"/>
      <c r="BO196" s="397"/>
      <c r="BP196" s="397"/>
      <c r="BQ196" s="397"/>
      <c r="BR196" s="397"/>
      <c r="BS196" s="397"/>
      <c r="BT196" s="397"/>
      <c r="BU196" s="397"/>
      <c r="BV196" s="397"/>
      <c r="BW196" s="397"/>
      <c r="BX196" s="397"/>
      <c r="BY196" s="397"/>
      <c r="BZ196" s="397"/>
      <c r="CA196" s="397"/>
      <c r="CB196" s="397"/>
      <c r="CC196" s="397"/>
      <c r="CD196" s="397"/>
      <c r="CE196" s="397"/>
      <c r="CF196" s="397"/>
      <c r="CG196" s="397"/>
      <c r="CH196" s="397"/>
      <c r="CI196" s="397"/>
      <c r="CJ196" s="397"/>
      <c r="CK196" s="397"/>
      <c r="CL196" s="397"/>
      <c r="CM196" s="477"/>
      <c r="CN196" s="36"/>
      <c r="CO196" s="210"/>
      <c r="CP196" s="210"/>
      <c r="CQ196" s="210"/>
      <c r="CR196" s="210"/>
      <c r="CS196" s="210"/>
      <c r="CT196" s="210"/>
      <c r="CU196" s="210"/>
      <c r="CV196" s="210"/>
      <c r="CW196" s="210"/>
      <c r="CX196" s="210"/>
      <c r="CY196" s="210"/>
      <c r="CZ196" s="210"/>
      <c r="DA196" s="210"/>
      <c r="DB196" s="210"/>
      <c r="DC196" s="210"/>
      <c r="DD196" s="210"/>
      <c r="DE196" s="210"/>
      <c r="DF196" s="210"/>
    </row>
    <row r="197" spans="1:110" s="260" customFormat="1" ht="21.75" customHeight="1" thickBot="1">
      <c r="A197" s="259" t="s">
        <v>128</v>
      </c>
      <c r="B197" s="672" t="str">
        <f>IF(B196="",IF(D196="",B195,B195+D196),IF(D196="",B195+B196,B195+B196+D196))</f>
        <v/>
      </c>
      <c r="C197" s="673"/>
      <c r="D197" s="674"/>
      <c r="E197" s="672" t="str">
        <f>IF(E196="",IF(G196="",E195,E195+G196),IF(G196="",E195+E196,E195+E196+G196))</f>
        <v/>
      </c>
      <c r="F197" s="673"/>
      <c r="G197" s="674"/>
      <c r="H197" s="672" t="str">
        <f>IF(H196="",IF(J196="",H195,H195+J196),IF(J196="",H195+H196,H195+H196+J196))</f>
        <v/>
      </c>
      <c r="I197" s="673"/>
      <c r="J197" s="674"/>
      <c r="K197" s="672" t="str">
        <f>IF(K196="",IF(M196="",K195,K195+M196),IF(M196="",K195+K196,K195+K196+M196))</f>
        <v/>
      </c>
      <c r="L197" s="673"/>
      <c r="M197" s="674"/>
      <c r="N197" s="672" t="str">
        <f>IF(N196="",IF(P196="",N195,N195+P196),IF(P196="",N195+N196,N195+N196+P196))</f>
        <v/>
      </c>
      <c r="O197" s="673"/>
      <c r="P197" s="674"/>
      <c r="Q197" s="672" t="str">
        <f>IF(Q196="",IF(S196="",Q195,Q195+S196),IF(S196="",Q195+Q196,Q195+Q196+S196))</f>
        <v/>
      </c>
      <c r="R197" s="673"/>
      <c r="S197" s="674"/>
      <c r="T197" s="672" t="str">
        <f>IF(T196="",IF(V196="",T195,T195+V196),IF(V196="",T195+T196,T195+T196+V196))</f>
        <v/>
      </c>
      <c r="U197" s="673"/>
      <c r="V197" s="674"/>
      <c r="W197" s="672" t="str">
        <f>IF(W196="",IF(Y196="",W195,W195+Y196),IF(Y196="",W195+W196,W195+W196+Y196))</f>
        <v/>
      </c>
      <c r="X197" s="673"/>
      <c r="Y197" s="674"/>
      <c r="Z197" s="672" t="str">
        <f>IF(Z196="",IF(AB196="",Z195,Z195+AB196),IF(AB196="",Z195+Z196,Z195+Z196+AB196))</f>
        <v/>
      </c>
      <c r="AA197" s="673"/>
      <c r="AB197" s="674"/>
      <c r="AC197" s="39"/>
      <c r="AK197" s="39"/>
      <c r="AL197" s="39"/>
      <c r="AO197" s="39"/>
      <c r="AP197" s="39"/>
      <c r="AQ197" s="39"/>
      <c r="AR197" s="39"/>
      <c r="BB197" s="27"/>
      <c r="BC197" s="401"/>
      <c r="BD197" s="398"/>
      <c r="BE197" s="391"/>
      <c r="BF197" s="396"/>
      <c r="BG197" s="396"/>
      <c r="BH197" s="396"/>
      <c r="BI197" s="396"/>
      <c r="BJ197" s="396"/>
      <c r="BK197" s="396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431"/>
      <c r="CN197" s="210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</row>
    <row r="198" spans="1:110" ht="21.75" customHeight="1">
      <c r="AD198" s="260"/>
      <c r="AE198" s="260"/>
      <c r="AF198" s="260"/>
      <c r="AG198" s="260"/>
      <c r="AH198" s="260"/>
      <c r="AI198" s="260"/>
      <c r="AJ198" s="260"/>
      <c r="AK198" s="39"/>
      <c r="AL198" s="39"/>
      <c r="AM198" s="260"/>
      <c r="AN198" s="260"/>
      <c r="AO198" s="39"/>
      <c r="AP198" s="39"/>
      <c r="AQ198" s="39"/>
      <c r="AR198" s="39"/>
      <c r="AS198" s="260"/>
      <c r="AT198" s="260"/>
      <c r="AU198" s="260"/>
      <c r="AV198" s="260"/>
      <c r="AW198" s="260"/>
      <c r="AX198" s="260"/>
      <c r="AY198" s="260"/>
      <c r="AZ198" s="260"/>
      <c r="BA198" s="260"/>
      <c r="BB198" s="260"/>
      <c r="BC198" s="401"/>
      <c r="BD198" s="398"/>
      <c r="BE198" s="391"/>
      <c r="BL198" s="243"/>
      <c r="BM198" s="243"/>
      <c r="BN198" s="243"/>
      <c r="BO198" s="243"/>
      <c r="BP198" s="243"/>
      <c r="BQ198" s="243"/>
      <c r="BR198" s="243"/>
      <c r="BS198" s="243"/>
      <c r="BT198" s="243"/>
      <c r="BU198" s="243"/>
      <c r="BV198" s="243"/>
      <c r="BW198" s="243"/>
      <c r="BX198" s="243"/>
      <c r="BY198" s="243"/>
      <c r="BZ198" s="243"/>
      <c r="CA198" s="243"/>
      <c r="CB198" s="243"/>
      <c r="CC198" s="243"/>
      <c r="CD198" s="243"/>
      <c r="CE198" s="243"/>
      <c r="CF198" s="243"/>
      <c r="CG198" s="243"/>
      <c r="CH198" s="243"/>
      <c r="CI198" s="243"/>
      <c r="CJ198" s="243"/>
      <c r="CK198" s="243"/>
      <c r="CL198" s="243"/>
      <c r="CM198" s="478"/>
      <c r="CO198" s="260"/>
      <c r="CP198" s="260"/>
      <c r="CQ198" s="260"/>
      <c r="CR198" s="260"/>
      <c r="CS198" s="260"/>
      <c r="CT198" s="260"/>
      <c r="CU198" s="260"/>
      <c r="CV198" s="260"/>
      <c r="CW198" s="260"/>
      <c r="CX198" s="260"/>
      <c r="CY198" s="260"/>
      <c r="CZ198" s="260"/>
      <c r="DA198" s="260"/>
      <c r="DB198" s="260"/>
      <c r="DC198" s="260"/>
      <c r="DD198" s="260"/>
      <c r="DE198" s="260"/>
      <c r="DF198" s="260"/>
    </row>
    <row r="199" spans="1:110" ht="21.75" customHeight="1">
      <c r="AD199" s="263"/>
      <c r="AE199" s="263"/>
      <c r="AF199" s="263"/>
      <c r="AG199" s="263"/>
      <c r="AH199" s="263"/>
      <c r="AI199" s="263"/>
      <c r="AJ199" s="263"/>
      <c r="AK199" s="263"/>
      <c r="AL199" s="263"/>
      <c r="AM199" s="263"/>
      <c r="AN199" s="263"/>
      <c r="AO199" s="263"/>
      <c r="AP199" s="263"/>
      <c r="AQ199" s="263"/>
      <c r="AR199" s="263"/>
      <c r="AS199" s="263"/>
      <c r="AT199" s="263"/>
      <c r="AU199" s="263"/>
      <c r="AV199" s="263"/>
      <c r="AW199" s="263"/>
      <c r="AX199" s="263"/>
      <c r="AY199" s="263"/>
      <c r="AZ199" s="263"/>
      <c r="BA199" s="263"/>
      <c r="BC199" s="401"/>
      <c r="BD199" s="398"/>
      <c r="BE199" s="391"/>
      <c r="BF199" s="397"/>
      <c r="BG199" s="397"/>
      <c r="BH199" s="397"/>
      <c r="BI199" s="397"/>
      <c r="BJ199" s="397"/>
      <c r="BL199" s="244"/>
      <c r="BM199" s="244"/>
      <c r="BN199" s="244"/>
      <c r="BO199" s="244"/>
      <c r="BP199" s="244"/>
      <c r="BQ199" s="244"/>
      <c r="BR199" s="244"/>
      <c r="BS199" s="244"/>
      <c r="BT199" s="244"/>
      <c r="BU199" s="244"/>
      <c r="BV199" s="244"/>
      <c r="BW199" s="244"/>
      <c r="BX199" s="244"/>
      <c r="BY199" s="244"/>
      <c r="BZ199" s="244"/>
      <c r="CA199" s="244"/>
      <c r="CB199" s="244"/>
      <c r="CC199" s="244"/>
      <c r="CD199" s="244"/>
      <c r="CE199" s="244"/>
      <c r="CF199" s="244"/>
      <c r="CG199" s="244"/>
      <c r="CH199" s="244"/>
      <c r="CI199" s="244"/>
      <c r="CJ199" s="244"/>
      <c r="CK199" s="244"/>
      <c r="CL199" s="244"/>
      <c r="CN199" s="260"/>
    </row>
    <row r="200" spans="1:110" ht="21.75" customHeight="1" thickBot="1">
      <c r="A200" s="626">
        <f>A13</f>
        <v>1</v>
      </c>
      <c r="B200" s="626"/>
      <c r="C200" s="626"/>
      <c r="D200" s="626"/>
      <c r="E200" s="626"/>
      <c r="J200" s="628" t="s">
        <v>134</v>
      </c>
      <c r="K200" s="628"/>
      <c r="L200" s="271" t="str">
        <f>+K13</f>
        <v>Y - Y</v>
      </c>
      <c r="AD200" s="263"/>
      <c r="AE200" s="263"/>
      <c r="AF200" s="263"/>
      <c r="AG200" s="263"/>
      <c r="AH200" s="263"/>
      <c r="AI200" s="263"/>
      <c r="AJ200" s="263"/>
      <c r="AK200" s="263"/>
      <c r="AL200" s="263"/>
      <c r="AM200" s="263"/>
      <c r="AN200" s="263"/>
      <c r="AO200" s="263"/>
      <c r="AP200" s="263"/>
      <c r="AQ200" s="263"/>
      <c r="AR200" s="263"/>
      <c r="AS200" s="263"/>
      <c r="AT200" s="263"/>
      <c r="AU200" s="263"/>
      <c r="AV200" s="263"/>
      <c r="AW200" s="263"/>
      <c r="AX200" s="263"/>
      <c r="AY200" s="263"/>
      <c r="AZ200" s="263"/>
      <c r="BA200" s="263"/>
      <c r="BC200" s="401"/>
      <c r="BD200" s="398"/>
      <c r="BE200" s="391"/>
      <c r="BF200" s="397"/>
      <c r="BG200" s="397"/>
      <c r="BH200" s="397"/>
      <c r="BI200" s="397"/>
      <c r="BJ200" s="397"/>
      <c r="BL200" s="389"/>
      <c r="BM200" s="389"/>
      <c r="BN200" s="389"/>
      <c r="BO200" s="389"/>
      <c r="BP200" s="389"/>
      <c r="BQ200" s="389"/>
      <c r="BR200" s="389"/>
      <c r="BS200" s="389"/>
      <c r="BT200" s="389"/>
      <c r="BU200" s="389"/>
      <c r="BV200" s="389"/>
      <c r="BW200" s="389"/>
      <c r="BX200" s="389"/>
      <c r="BY200" s="389"/>
      <c r="BZ200" s="389"/>
      <c r="CA200" s="389"/>
      <c r="CB200" s="389"/>
      <c r="CC200" s="389"/>
      <c r="CD200" s="389"/>
      <c r="CE200" s="389"/>
      <c r="CF200" s="389"/>
      <c r="CG200" s="389"/>
      <c r="CH200" s="389"/>
      <c r="CI200" s="389"/>
      <c r="CJ200" s="389"/>
      <c r="CK200" s="389"/>
      <c r="CL200" s="389"/>
    </row>
    <row r="201" spans="1:110" ht="21.75" customHeight="1" thickTop="1">
      <c r="A201" s="686" t="str">
        <f>+Espesor!$J$3</f>
        <v>Techo</v>
      </c>
      <c r="B201" s="686"/>
      <c r="C201" s="688" t="s">
        <v>136</v>
      </c>
      <c r="D201" s="688"/>
      <c r="E201" s="264">
        <f>IF(B13="","",B13)</f>
        <v>1</v>
      </c>
      <c r="F201" s="264">
        <f>IF(C13="","",C13)</f>
        <v>3</v>
      </c>
      <c r="G201" s="264" t="str">
        <f t="shared" ref="G201:L201" si="305">IF(D13="","",D13)</f>
        <v/>
      </c>
      <c r="H201" s="264" t="str">
        <f t="shared" si="305"/>
        <v/>
      </c>
      <c r="I201" s="264" t="str">
        <f t="shared" si="305"/>
        <v/>
      </c>
      <c r="J201" s="264" t="str">
        <f t="shared" si="305"/>
        <v/>
      </c>
      <c r="K201" s="264" t="str">
        <f t="shared" si="305"/>
        <v/>
      </c>
      <c r="L201" s="264" t="str">
        <f t="shared" si="305"/>
        <v/>
      </c>
      <c r="M201" s="264" t="str">
        <f>IF(J13="","",J13)</f>
        <v/>
      </c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  <c r="AA201" s="264"/>
      <c r="AB201" s="263"/>
      <c r="AD201" s="624" t="s">
        <v>64</v>
      </c>
      <c r="AE201" s="624"/>
      <c r="AF201" s="624"/>
      <c r="AG201" s="624"/>
      <c r="AH201" s="624"/>
      <c r="AI201" s="624"/>
      <c r="AJ201" s="624"/>
      <c r="AK201" s="624"/>
      <c r="AL201" s="624"/>
      <c r="BC201" s="401"/>
      <c r="BD201" s="398"/>
      <c r="BE201" s="391"/>
      <c r="BF201" s="28"/>
      <c r="BG201" s="28"/>
      <c r="BH201" s="28"/>
      <c r="BI201" s="28"/>
      <c r="BJ201" s="28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</row>
    <row r="202" spans="1:110" ht="21.75" customHeight="1" thickBot="1"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D202" s="287" t="str">
        <f>+A177</f>
        <v>M+ =</v>
      </c>
      <c r="AE202" s="325" t="str">
        <f>+IF(B177="","",B177)</f>
        <v/>
      </c>
      <c r="AF202" s="325" t="str">
        <f>+IF(C177="","",C177)</f>
        <v/>
      </c>
      <c r="AG202" s="325" t="str">
        <f t="shared" ref="AG202" si="306">+IF(D177="","",D177)</f>
        <v/>
      </c>
      <c r="AH202" s="325" t="str">
        <f t="shared" ref="AH202" si="307">+IF(E177="","",E177)</f>
        <v/>
      </c>
      <c r="AI202" s="325" t="str">
        <f t="shared" ref="AI202" si="308">+IF(F177="","",F177)</f>
        <v/>
      </c>
      <c r="AJ202" s="325" t="str">
        <f t="shared" ref="AJ202" si="309">+IF(G177="","",G177)</f>
        <v/>
      </c>
      <c r="AK202" s="325" t="str">
        <f t="shared" ref="AK202" si="310">+IF(H177="","",H177)</f>
        <v/>
      </c>
      <c r="AL202" s="325" t="str">
        <f t="shared" ref="AL202" si="311">+IF(I177="","",I177)</f>
        <v/>
      </c>
      <c r="AM202" s="325" t="str">
        <f t="shared" ref="AM202" si="312">+IF(J177="","",J177)</f>
        <v/>
      </c>
      <c r="AN202" s="242"/>
      <c r="AO202" s="242"/>
      <c r="AP202" s="242"/>
      <c r="AQ202" s="242"/>
      <c r="AR202" s="242"/>
      <c r="AS202" s="242"/>
      <c r="AT202" s="242"/>
      <c r="AU202" s="242"/>
      <c r="AV202" s="242"/>
      <c r="AW202" s="242"/>
      <c r="AX202" s="242"/>
      <c r="AY202" s="242"/>
      <c r="AZ202" s="242"/>
      <c r="BA202" s="242"/>
      <c r="BC202" s="401"/>
      <c r="BD202" s="398"/>
      <c r="BE202" s="391"/>
      <c r="BF202" s="243"/>
      <c r="BG202" s="243"/>
      <c r="BH202" s="243"/>
      <c r="BI202" s="243"/>
      <c r="BJ202" s="243"/>
      <c r="BL202" s="392"/>
      <c r="BM202" s="392"/>
      <c r="BN202" s="392"/>
      <c r="BO202" s="392"/>
      <c r="BP202" s="392"/>
      <c r="BQ202" s="392"/>
      <c r="BR202" s="392"/>
      <c r="BS202" s="392"/>
      <c r="BT202" s="392"/>
      <c r="BU202" s="392"/>
      <c r="BV202" s="392"/>
      <c r="BW202" s="392"/>
      <c r="BX202" s="392"/>
      <c r="BY202" s="392"/>
      <c r="BZ202" s="392"/>
      <c r="CA202" s="392"/>
      <c r="CB202" s="392"/>
      <c r="CC202" s="392"/>
      <c r="CD202" s="392"/>
      <c r="CE202" s="392"/>
      <c r="CF202" s="392"/>
      <c r="CG202" s="392"/>
      <c r="CH202" s="392"/>
      <c r="CI202" s="392"/>
      <c r="CJ202" s="392"/>
      <c r="CK202" s="392"/>
      <c r="CL202" s="392"/>
    </row>
    <row r="203" spans="1:110" ht="21.75" customHeight="1" thickBot="1">
      <c r="A203" s="360"/>
      <c r="B203" s="682">
        <f>IF($E201="","",$E201)</f>
        <v>1</v>
      </c>
      <c r="C203" s="682"/>
      <c r="D203" s="682"/>
      <c r="E203" s="682">
        <f>IF($F201="","",$F201)</f>
        <v>3</v>
      </c>
      <c r="F203" s="682"/>
      <c r="G203" s="682"/>
      <c r="H203" s="682" t="str">
        <f>IF($G201="","",$G201)</f>
        <v/>
      </c>
      <c r="I203" s="682"/>
      <c r="J203" s="682"/>
      <c r="K203" s="682" t="str">
        <f>IF($H201="","",$H201)</f>
        <v/>
      </c>
      <c r="L203" s="682"/>
      <c r="M203" s="682"/>
      <c r="N203" s="682" t="str">
        <f>IF($I201="","",$I201)</f>
        <v/>
      </c>
      <c r="O203" s="682"/>
      <c r="P203" s="682"/>
      <c r="Q203" s="682" t="str">
        <f>IF($J201="","",$J201)</f>
        <v/>
      </c>
      <c r="R203" s="682"/>
      <c r="S203" s="682"/>
      <c r="T203" s="682" t="str">
        <f>IF($K201="","",$K201)</f>
        <v/>
      </c>
      <c r="U203" s="682"/>
      <c r="V203" s="682"/>
      <c r="W203" s="682" t="str">
        <f>IF($L201="","",$L201)</f>
        <v/>
      </c>
      <c r="X203" s="682"/>
      <c r="Y203" s="682"/>
      <c r="Z203" s="682" t="str">
        <f>IF($M201="","",$M201)</f>
        <v/>
      </c>
      <c r="AA203" s="682"/>
      <c r="AB203" s="682"/>
      <c r="AD203" s="338" t="s">
        <v>4</v>
      </c>
      <c r="AE203" s="322" t="s">
        <v>3</v>
      </c>
      <c r="AF203" s="339" t="s">
        <v>138</v>
      </c>
      <c r="AG203" s="637" t="s">
        <v>139</v>
      </c>
      <c r="AH203" s="638"/>
      <c r="AI203" s="638"/>
      <c r="AJ203" s="639"/>
      <c r="AK203" s="640" t="s">
        <v>142</v>
      </c>
      <c r="AL203" s="641"/>
      <c r="AM203" s="637" t="s">
        <v>143</v>
      </c>
      <c r="AN203" s="639"/>
      <c r="AO203" s="642" t="s">
        <v>144</v>
      </c>
      <c r="AP203" s="643"/>
      <c r="AQ203" s="643"/>
      <c r="AR203" s="644"/>
      <c r="AS203" s="642" t="s">
        <v>145</v>
      </c>
      <c r="AT203" s="643"/>
      <c r="AU203" s="644"/>
      <c r="AV203" s="645" t="s">
        <v>157</v>
      </c>
      <c r="AW203" s="646"/>
      <c r="AX203" s="646"/>
      <c r="AY203" s="646"/>
      <c r="AZ203" s="646"/>
      <c r="BA203" s="647"/>
      <c r="BC203" s="401"/>
      <c r="BD203" s="398"/>
      <c r="BE203" s="428">
        <f>BE$27</f>
        <v>1</v>
      </c>
      <c r="BF203" s="428">
        <f t="shared" ref="BF203:CL203" si="313">BF$27</f>
        <v>2</v>
      </c>
      <c r="BG203" s="428">
        <f t="shared" si="313"/>
        <v>3</v>
      </c>
      <c r="BH203" s="428">
        <f t="shared" si="313"/>
        <v>4</v>
      </c>
      <c r="BI203" s="428">
        <f t="shared" si="313"/>
        <v>5</v>
      </c>
      <c r="BJ203" s="428">
        <f t="shared" si="313"/>
        <v>6</v>
      </c>
      <c r="BK203" s="428">
        <f t="shared" si="313"/>
        <v>7</v>
      </c>
      <c r="BL203" s="428">
        <f t="shared" si="313"/>
        <v>8</v>
      </c>
      <c r="BM203" s="428">
        <f t="shared" si="313"/>
        <v>9</v>
      </c>
      <c r="BN203" s="428">
        <f t="shared" si="313"/>
        <v>10</v>
      </c>
      <c r="BO203" s="428">
        <f t="shared" si="313"/>
        <v>11</v>
      </c>
      <c r="BP203" s="428">
        <f t="shared" si="313"/>
        <v>12</v>
      </c>
      <c r="BQ203" s="428">
        <f t="shared" si="313"/>
        <v>13</v>
      </c>
      <c r="BR203" s="428">
        <f t="shared" si="313"/>
        <v>14</v>
      </c>
      <c r="BS203" s="428">
        <f t="shared" si="313"/>
        <v>15</v>
      </c>
      <c r="BT203" s="428">
        <f t="shared" si="313"/>
        <v>16</v>
      </c>
      <c r="BU203" s="428">
        <f t="shared" si="313"/>
        <v>17</v>
      </c>
      <c r="BV203" s="428">
        <f t="shared" si="313"/>
        <v>18</v>
      </c>
      <c r="BW203" s="428">
        <f t="shared" si="313"/>
        <v>19</v>
      </c>
      <c r="BX203" s="428">
        <f t="shared" si="313"/>
        <v>20</v>
      </c>
      <c r="BY203" s="428">
        <f t="shared" si="313"/>
        <v>21</v>
      </c>
      <c r="BZ203" s="428">
        <f t="shared" si="313"/>
        <v>22</v>
      </c>
      <c r="CA203" s="428">
        <f t="shared" si="313"/>
        <v>23</v>
      </c>
      <c r="CB203" s="428">
        <f t="shared" si="313"/>
        <v>24</v>
      </c>
      <c r="CC203" s="428">
        <f t="shared" si="313"/>
        <v>25</v>
      </c>
      <c r="CD203" s="428">
        <f t="shared" si="313"/>
        <v>26</v>
      </c>
      <c r="CE203" s="428">
        <f t="shared" si="313"/>
        <v>27</v>
      </c>
      <c r="CF203" s="428">
        <f t="shared" si="313"/>
        <v>28</v>
      </c>
      <c r="CG203" s="428">
        <f t="shared" si="313"/>
        <v>29</v>
      </c>
      <c r="CH203" s="428">
        <f t="shared" si="313"/>
        <v>30</v>
      </c>
      <c r="CI203" s="428">
        <f t="shared" si="313"/>
        <v>31</v>
      </c>
      <c r="CJ203" s="428">
        <f t="shared" si="313"/>
        <v>32</v>
      </c>
      <c r="CK203" s="428">
        <f t="shared" si="313"/>
        <v>33</v>
      </c>
      <c r="CL203" s="428">
        <f t="shared" si="313"/>
        <v>34</v>
      </c>
    </row>
    <row r="204" spans="1:110" ht="21.75" customHeight="1">
      <c r="A204" s="413" t="s">
        <v>3</v>
      </c>
      <c r="B204" s="683">
        <f>IF(B203="","",VLOOKUP(B203,Espesor!$C$8:$E$41,3,0))</f>
        <v>2.4500000000000002</v>
      </c>
      <c r="C204" s="684"/>
      <c r="D204" s="685"/>
      <c r="E204" s="683">
        <f>IF(E203="","",VLOOKUP(E203,Espesor!$C$8:$E$41,3,0))</f>
        <v>5.3</v>
      </c>
      <c r="F204" s="684"/>
      <c r="G204" s="685"/>
      <c r="H204" s="683" t="str">
        <f>IF(H203="","",VLOOKUP(H203,Espesor!$C$8:$E$41,3,0))</f>
        <v/>
      </c>
      <c r="I204" s="684"/>
      <c r="J204" s="685"/>
      <c r="K204" s="683" t="str">
        <f>IF(K203="","",VLOOKUP(K203,Espesor!$C$8:$E$41,3,0))</f>
        <v/>
      </c>
      <c r="L204" s="684"/>
      <c r="M204" s="685"/>
      <c r="N204" s="683" t="str">
        <f>IF(N203="","",VLOOKUP(N203,Espesor!$C$8:$E$41,3,0))</f>
        <v/>
      </c>
      <c r="O204" s="684"/>
      <c r="P204" s="685"/>
      <c r="Q204" s="683" t="str">
        <f>IF(Q203="","",VLOOKUP(Q203,Espesor!$C$8:$E$41,3,0))</f>
        <v/>
      </c>
      <c r="R204" s="684"/>
      <c r="S204" s="685"/>
      <c r="T204" s="683" t="str">
        <f>IF(T203="","",VLOOKUP(T203,Espesor!$C$8:$E$41,3,0))</f>
        <v/>
      </c>
      <c r="U204" s="684"/>
      <c r="V204" s="685"/>
      <c r="W204" s="683" t="str">
        <f>IF(W203="","",VLOOKUP(W203,Espesor!$C$8:$E$41,3,0))</f>
        <v/>
      </c>
      <c r="X204" s="684"/>
      <c r="Y204" s="685"/>
      <c r="Z204" s="683" t="str">
        <f>IF(Z203="","",VLOOKUP(Z203,Espesor!$C$8:$E$41,3,0))</f>
        <v/>
      </c>
      <c r="AA204" s="684"/>
      <c r="AB204" s="685"/>
      <c r="AD204" s="320" t="str">
        <f>+IF(AE202="","",AE202)</f>
        <v/>
      </c>
      <c r="AE204" s="323" t="str">
        <f>IF(B178="","",IF($K$2="X - X",VLOOKUP(B178,Espesor!$C$8:$E$41,2,0),VLOOKUP(B178,Espesor!$C$8:$E$41,3,0)))</f>
        <v/>
      </c>
      <c r="AF204" s="318" t="str">
        <f>+IF(AD204="","",IF(LOOKUP(AD204,Espesor!$C$8:$C$41,Espesor!$K$8:$K$41)="en voladizo","",0.75/AE204))</f>
        <v/>
      </c>
      <c r="AG204" s="648" t="str">
        <f>IF(AF204="","",IF(AF205="","",ROUND(AF204/(AF204+AF205),3)))</f>
        <v/>
      </c>
      <c r="AH204" s="343"/>
      <c r="AI204" s="648" t="str">
        <f>IF(AF205="","",IF(AF204="","",ROUND(AF205/(AF205+AF204),3)))</f>
        <v/>
      </c>
      <c r="AJ204" s="343"/>
      <c r="AK204" s="342">
        <v>0</v>
      </c>
      <c r="AL204" s="316" t="e">
        <f>-IF(B177="","",IF($K$2="X - X",VLOOKUP(B177,'Moms de Empt'!$P$3:$T$36,3,0),VLOOKUP(B177,'Moms de Empt'!$P$3:$T$36,5,0)))</f>
        <v>#VALUE!</v>
      </c>
      <c r="AM204" s="649">
        <f>IF(AD205="",0,IF(LOOKUP(AD205,Espesor!$C$8:$C$41,Espesor!$K$8:$K$41)="en voladizo",MAX(ABS(AL204),ABS(AK205)),-(AK205+AL204)))</f>
        <v>0</v>
      </c>
      <c r="AN204" s="345"/>
      <c r="AO204" s="650" t="str">
        <f>IF(AG204="","",AM204*AG204)</f>
        <v/>
      </c>
      <c r="AP204" s="342"/>
      <c r="AQ204" s="650" t="str">
        <f>IF(AI204="","",AM204*AI204)</f>
        <v/>
      </c>
      <c r="AR204" s="342"/>
      <c r="AS204" s="651" t="e">
        <f>-IF(AM204="","",IF(AL204="",IF(AO204="",0,AO204),IF(AO204="",AL204,AL204+AO204)))</f>
        <v>#VALUE!</v>
      </c>
      <c r="AT204" s="341"/>
      <c r="AU204" s="341" t="e">
        <f>+AS204</f>
        <v>#VALUE!</v>
      </c>
      <c r="AV204" s="329" t="str">
        <f>IF(B177="","",IF(L177="X - X",VLOOKUP(B202,'Moms de Empt'!$P$3:$T$36,2,0),VLOOKUP(B202,'Moms de Empt'!$P$3:$T$36,4,0)))</f>
        <v/>
      </c>
      <c r="AW204" s="653">
        <f>IF(B204="","",IF(D206="","",IF(ABS(D210)&gt;ABS(D206),-0.5*ABS(D208),0.5*ABS(D208))))</f>
        <v>-4.1900000000000048E-2</v>
      </c>
      <c r="AX204" s="330"/>
      <c r="AY204" s="653" t="str">
        <f>IF(AV205="","",IF(AV204="","",ROUND(AV205/(AV205+AV204),3)))</f>
        <v/>
      </c>
      <c r="AZ204" s="330"/>
      <c r="BA204" s="331" t="str">
        <f t="shared" ref="BA204:BA211" si="314">+AV204</f>
        <v/>
      </c>
      <c r="BC204" s="422">
        <f>+A200</f>
        <v>1</v>
      </c>
      <c r="BD204" s="398" t="s">
        <v>153</v>
      </c>
      <c r="BE204" s="429">
        <f>IF(BE203=$B$203,$B$215,IF(BE203=$E$203,$E$215,IF(BE203=$H$203,$H$215,IF(BE203=$K$203,$K$215,IF(BE203=$N$203,$N$215,IF(BE203=$Q$203,$Q$215,IF(BE203=$T$203,$T$215,IF(BE203=$W$203,$W$215,IF(BE203=$Z$203,$Z$215,0)))))))))</f>
        <v>0.24174039999999994</v>
      </c>
      <c r="BF204" s="429">
        <f t="shared" ref="BF204:BI204" si="315">IF(BF203=$B$203,$B$215,IF(BF203=$E$203,$E$215,IF(BF203=$H$203,$H$215,IF(BF203=$K$203,$K$215,IF(BF203=$N$203,$N$215,IF(BF203=$Q$203,$Q$215,IF(BF203=$T$203,$T$215,IF(BF203=$W$203,$W$215,IF(BF203=$Z$203,$Z$215,0)))))))))</f>
        <v>0</v>
      </c>
      <c r="BG204" s="429">
        <f t="shared" si="315"/>
        <v>1.1473404</v>
      </c>
      <c r="BH204" s="429">
        <f t="shared" si="315"/>
        <v>0</v>
      </c>
      <c r="BI204" s="429">
        <f t="shared" si="315"/>
        <v>0</v>
      </c>
      <c r="BJ204" s="429">
        <f t="shared" ref="BJ204" si="316">IF(BJ203=$B$203,$B$215,IF(BJ203=$E$203,$E$215,IF(BJ203=$H$203,$H$215,IF(BJ203=$K$203,$K$215,IF(BJ203=$N$203,$N$215,IF(BJ203=$Q$203,$Q$215,IF(BJ203=$T$203,$T$215,IF(BJ203=$W$203,$W$215,IF(BJ203=$Z$203,$Z$215,0)))))))))</f>
        <v>0</v>
      </c>
      <c r="BK204" s="429">
        <f t="shared" ref="BK204" si="317">IF(BK203=$B$203,$B$215,IF(BK203=$E$203,$E$215,IF(BK203=$H$203,$H$215,IF(BK203=$K$203,$K$215,IF(BK203=$N$203,$N$215,IF(BK203=$Q$203,$Q$215,IF(BK203=$T$203,$T$215,IF(BK203=$W$203,$W$215,IF(BK203=$Z$203,$Z$215,0)))))))))</f>
        <v>0</v>
      </c>
      <c r="BL204" s="429">
        <f t="shared" ref="BL204:BM204" si="318">IF(BL203=$B$203,$B$215,IF(BL203=$E$203,$E$215,IF(BL203=$H$203,$H$215,IF(BL203=$K$203,$K$215,IF(BL203=$N$203,$N$215,IF(BL203=$Q$203,$Q$215,IF(BL203=$T$203,$T$215,IF(BL203=$W$203,$W$215,IF(BL203=$Z$203,$Z$215,0)))))))))</f>
        <v>0</v>
      </c>
      <c r="BM204" s="429">
        <f t="shared" si="318"/>
        <v>0</v>
      </c>
      <c r="BN204" s="429">
        <f t="shared" ref="BN204" si="319">IF(BN203=$B$203,$B$215,IF(BN203=$E$203,$E$215,IF(BN203=$H$203,$H$215,IF(BN203=$K$203,$K$215,IF(BN203=$N$203,$N$215,IF(BN203=$Q$203,$Q$215,IF(BN203=$T$203,$T$215,IF(BN203=$W$203,$W$215,IF(BN203=$Z$203,$Z$215,0)))))))))</f>
        <v>0</v>
      </c>
      <c r="BO204" s="429">
        <f t="shared" ref="BO204" si="320">IF(BO203=$B$203,$B$215,IF(BO203=$E$203,$E$215,IF(BO203=$H$203,$H$215,IF(BO203=$K$203,$K$215,IF(BO203=$N$203,$N$215,IF(BO203=$Q$203,$Q$215,IF(BO203=$T$203,$T$215,IF(BO203=$W$203,$W$215,IF(BO203=$Z$203,$Z$215,0)))))))))</f>
        <v>0</v>
      </c>
      <c r="BP204" s="429">
        <f t="shared" ref="BP204:BQ204" si="321">IF(BP203=$B$203,$B$215,IF(BP203=$E$203,$E$215,IF(BP203=$H$203,$H$215,IF(BP203=$K$203,$K$215,IF(BP203=$N$203,$N$215,IF(BP203=$Q$203,$Q$215,IF(BP203=$T$203,$T$215,IF(BP203=$W$203,$W$215,IF(BP203=$Z$203,$Z$215,0)))))))))</f>
        <v>0</v>
      </c>
      <c r="BQ204" s="429">
        <f t="shared" si="321"/>
        <v>0</v>
      </c>
      <c r="BR204" s="429">
        <f t="shared" ref="BR204" si="322">IF(BR203=$B$203,$B$215,IF(BR203=$E$203,$E$215,IF(BR203=$H$203,$H$215,IF(BR203=$K$203,$K$215,IF(BR203=$N$203,$N$215,IF(BR203=$Q$203,$Q$215,IF(BR203=$T$203,$T$215,IF(BR203=$W$203,$W$215,IF(BR203=$Z$203,$Z$215,0)))))))))</f>
        <v>0</v>
      </c>
      <c r="BS204" s="429">
        <f t="shared" ref="BS204" si="323">IF(BS203=$B$203,$B$215,IF(BS203=$E$203,$E$215,IF(BS203=$H$203,$H$215,IF(BS203=$K$203,$K$215,IF(BS203=$N$203,$N$215,IF(BS203=$Q$203,$Q$215,IF(BS203=$T$203,$T$215,IF(BS203=$W$203,$W$215,IF(BS203=$Z$203,$Z$215,0)))))))))</f>
        <v>0</v>
      </c>
      <c r="BT204" s="429">
        <f t="shared" ref="BT204:BU204" si="324">IF(BT203=$B$203,$B$215,IF(BT203=$E$203,$E$215,IF(BT203=$H$203,$H$215,IF(BT203=$K$203,$K$215,IF(BT203=$N$203,$N$215,IF(BT203=$Q$203,$Q$215,IF(BT203=$T$203,$T$215,IF(BT203=$W$203,$W$215,IF(BT203=$Z$203,$Z$215,0)))))))))</f>
        <v>0</v>
      </c>
      <c r="BU204" s="429">
        <f t="shared" si="324"/>
        <v>0</v>
      </c>
      <c r="BV204" s="429">
        <f t="shared" ref="BV204" si="325">IF(BV203=$B$203,$B$215,IF(BV203=$E$203,$E$215,IF(BV203=$H$203,$H$215,IF(BV203=$K$203,$K$215,IF(BV203=$N$203,$N$215,IF(BV203=$Q$203,$Q$215,IF(BV203=$T$203,$T$215,IF(BV203=$W$203,$W$215,IF(BV203=$Z$203,$Z$215,0)))))))))</f>
        <v>0</v>
      </c>
      <c r="BW204" s="429">
        <f t="shared" ref="BW204" si="326">IF(BW203=$B$203,$B$215,IF(BW203=$E$203,$E$215,IF(BW203=$H$203,$H$215,IF(BW203=$K$203,$K$215,IF(BW203=$N$203,$N$215,IF(BW203=$Q$203,$Q$215,IF(BW203=$T$203,$T$215,IF(BW203=$W$203,$W$215,IF(BW203=$Z$203,$Z$215,0)))))))))</f>
        <v>0</v>
      </c>
      <c r="BX204" s="429">
        <f t="shared" ref="BX204:BY204" si="327">IF(BX203=$B$203,$B$215,IF(BX203=$E$203,$E$215,IF(BX203=$H$203,$H$215,IF(BX203=$K$203,$K$215,IF(BX203=$N$203,$N$215,IF(BX203=$Q$203,$Q$215,IF(BX203=$T$203,$T$215,IF(BX203=$W$203,$W$215,IF(BX203=$Z$203,$Z$215,0)))))))))</f>
        <v>0</v>
      </c>
      <c r="BY204" s="429">
        <f t="shared" si="327"/>
        <v>0</v>
      </c>
      <c r="BZ204" s="429">
        <f t="shared" ref="BZ204" si="328">IF(BZ203=$B$203,$B$215,IF(BZ203=$E$203,$E$215,IF(BZ203=$H$203,$H$215,IF(BZ203=$K$203,$K$215,IF(BZ203=$N$203,$N$215,IF(BZ203=$Q$203,$Q$215,IF(BZ203=$T$203,$T$215,IF(BZ203=$W$203,$W$215,IF(BZ203=$Z$203,$Z$215,0)))))))))</f>
        <v>0</v>
      </c>
      <c r="CA204" s="429">
        <f t="shared" ref="CA204" si="329">IF(CA203=$B$203,$B$215,IF(CA203=$E$203,$E$215,IF(CA203=$H$203,$H$215,IF(CA203=$K$203,$K$215,IF(CA203=$N$203,$N$215,IF(CA203=$Q$203,$Q$215,IF(CA203=$T$203,$T$215,IF(CA203=$W$203,$W$215,IF(CA203=$Z$203,$Z$215,0)))))))))</f>
        <v>0</v>
      </c>
      <c r="CB204" s="429">
        <f t="shared" ref="CB204:CC204" si="330">IF(CB203=$B$203,$B$215,IF(CB203=$E$203,$E$215,IF(CB203=$H$203,$H$215,IF(CB203=$K$203,$K$215,IF(CB203=$N$203,$N$215,IF(CB203=$Q$203,$Q$215,IF(CB203=$T$203,$T$215,IF(CB203=$W$203,$W$215,IF(CB203=$Z$203,$Z$215,0)))))))))</f>
        <v>0</v>
      </c>
      <c r="CC204" s="429">
        <f t="shared" si="330"/>
        <v>0</v>
      </c>
      <c r="CD204" s="429">
        <f t="shared" ref="CD204" si="331">IF(CD203=$B$203,$B$215,IF(CD203=$E$203,$E$215,IF(CD203=$H$203,$H$215,IF(CD203=$K$203,$K$215,IF(CD203=$N$203,$N$215,IF(CD203=$Q$203,$Q$215,IF(CD203=$T$203,$T$215,IF(CD203=$W$203,$W$215,IF(CD203=$Z$203,$Z$215,0)))))))))</f>
        <v>0</v>
      </c>
      <c r="CE204" s="429">
        <f t="shared" ref="CE204" si="332">IF(CE203=$B$203,$B$215,IF(CE203=$E$203,$E$215,IF(CE203=$H$203,$H$215,IF(CE203=$K$203,$K$215,IF(CE203=$N$203,$N$215,IF(CE203=$Q$203,$Q$215,IF(CE203=$T$203,$T$215,IF(CE203=$W$203,$W$215,IF(CE203=$Z$203,$Z$215,0)))))))))</f>
        <v>0</v>
      </c>
      <c r="CF204" s="429">
        <f t="shared" ref="CF204:CG204" si="333">IF(CF203=$B$203,$B$215,IF(CF203=$E$203,$E$215,IF(CF203=$H$203,$H$215,IF(CF203=$K$203,$K$215,IF(CF203=$N$203,$N$215,IF(CF203=$Q$203,$Q$215,IF(CF203=$T$203,$T$215,IF(CF203=$W$203,$W$215,IF(CF203=$Z$203,$Z$215,0)))))))))</f>
        <v>0</v>
      </c>
      <c r="CG204" s="429">
        <f t="shared" si="333"/>
        <v>0</v>
      </c>
      <c r="CH204" s="429">
        <f t="shared" ref="CH204" si="334">IF(CH203=$B$203,$B$215,IF(CH203=$E$203,$E$215,IF(CH203=$H$203,$H$215,IF(CH203=$K$203,$K$215,IF(CH203=$N$203,$N$215,IF(CH203=$Q$203,$Q$215,IF(CH203=$T$203,$T$215,IF(CH203=$W$203,$W$215,IF(CH203=$Z$203,$Z$215,0)))))))))</f>
        <v>0</v>
      </c>
      <c r="CI204" s="429">
        <f t="shared" ref="CI204" si="335">IF(CI203=$B$203,$B$215,IF(CI203=$E$203,$E$215,IF(CI203=$H$203,$H$215,IF(CI203=$K$203,$K$215,IF(CI203=$N$203,$N$215,IF(CI203=$Q$203,$Q$215,IF(CI203=$T$203,$T$215,IF(CI203=$W$203,$W$215,IF(CI203=$Z$203,$Z$215,0)))))))))</f>
        <v>0</v>
      </c>
      <c r="CJ204" s="429">
        <f t="shared" ref="CJ204:CK204" si="336">IF(CJ203=$B$203,$B$215,IF(CJ203=$E$203,$E$215,IF(CJ203=$H$203,$H$215,IF(CJ203=$K$203,$K$215,IF(CJ203=$N$203,$N$215,IF(CJ203=$Q$203,$Q$215,IF(CJ203=$T$203,$T$215,IF(CJ203=$W$203,$W$215,IF(CJ203=$Z$203,$Z$215,0)))))))))</f>
        <v>0</v>
      </c>
      <c r="CK204" s="429">
        <f t="shared" si="336"/>
        <v>0</v>
      </c>
      <c r="CL204" s="429">
        <f t="shared" ref="CL204" si="337">IF(CL203=$B$203,$B$215,IF(CL203=$E$203,$E$215,IF(CL203=$H$203,$H$215,IF(CL203=$K$203,$K$215,IF(CL203=$N$203,$N$215,IF(CL203=$Q$203,$Q$215,IF(CL203=$T$203,$T$215,IF(CL203=$W$203,$W$215,IF(CL203=$Z$203,$Z$215,0)))))))))</f>
        <v>0</v>
      </c>
      <c r="CM204" s="429" t="str">
        <f t="shared" ref="CM204" si="338">IF(CM203=$B$203,$B$215,IF(CM203=$E$203,$E$215,IF(CM203=$H$203,$H$215,IF(CM203=$K$203,$K$215,IF(CM203=$N$203,$N$215,IF(CM203=$Q$203,$Q$215,IF(CM203=$T$203,$T$215,IF(CM203=$W$203,$W$215,IF(CM203=$Z$203,$Z$215,0)))))))))</f>
        <v/>
      </c>
      <c r="CN204" s="429" t="str">
        <f t="shared" ref="CN204" si="339">IF(CN203=$B$203,$B$215,IF(CN203=$E$203,$E$215,IF(CN203=$H$203,$H$215,IF(CN203=$K$203,$K$215,IF(CN203=$N$203,$N$215,IF(CN203=$Q$203,$Q$215,IF(CN203=$T$203,$T$215,IF(CN203=$W$203,$W$215,IF(CN203=$Z$203,$Z$215,0)))))))))</f>
        <v/>
      </c>
    </row>
    <row r="205" spans="1:110" ht="21.75" customHeight="1">
      <c r="A205" s="257" t="s">
        <v>65</v>
      </c>
      <c r="B205" s="679">
        <f>+IF(B203="","",IF(LOOKUP(B203,Espesor!$C$8:$C$41,Espesor!$K$8:$K$41)="en voladizo","",0.75/B204))</f>
        <v>0.30612244897959179</v>
      </c>
      <c r="C205" s="680"/>
      <c r="D205" s="681"/>
      <c r="E205" s="679">
        <f>IF(E203="","",IF(LOOKUP(E203,Espesor!$C$8:$C$41,Espesor!$K$8:$K$41)="en voladizo","",IF(H203="",0.75/E204,1/E204)))</f>
        <v>0.14150943396226415</v>
      </c>
      <c r="F205" s="680"/>
      <c r="G205" s="681"/>
      <c r="H205" s="679" t="str">
        <f>IF(H203="","",IF(LOOKUP(H203,Espesor!$C$8:$C$41,Espesor!$K$8:$K$41)="en voladizo","",IF(K203="",0.75/H204,1/H204)))</f>
        <v/>
      </c>
      <c r="I205" s="680"/>
      <c r="J205" s="681"/>
      <c r="K205" s="679" t="str">
        <f>IF(K203="","",IF(LOOKUP(K203,Espesor!$C$8:$C$41,Espesor!$K$8:$K$41)="en voladizo","",IF(N203="",0.75/K204,1/K204)))</f>
        <v/>
      </c>
      <c r="L205" s="680"/>
      <c r="M205" s="681"/>
      <c r="N205" s="679" t="str">
        <f>IF(N203="","",IF(LOOKUP(N203,Espesor!$C$8:$C$41,Espesor!$K$8:$K$41)="en voladizo","",IF(Q203="",0.75/N204,1/N204)))</f>
        <v/>
      </c>
      <c r="O205" s="680"/>
      <c r="P205" s="681"/>
      <c r="Q205" s="679" t="str">
        <f>IF(Q203="","",IF(LOOKUP(Q203,Espesor!$C$8:$C$41,Espesor!$K$8:$K$41)="en voladizo","",IF(T203="",0.75/Q204,1/Q204)))</f>
        <v/>
      </c>
      <c r="R205" s="680"/>
      <c r="S205" s="681"/>
      <c r="T205" s="679" t="str">
        <f>IF(T203="","",IF(LOOKUP(T203,Espesor!$C$8:$C$41,Espesor!$K$8:$K$41)="en voladizo","",IF(W203="",0.75/T204,1/T204)))</f>
        <v/>
      </c>
      <c r="U205" s="680"/>
      <c r="V205" s="681"/>
      <c r="W205" s="679" t="str">
        <f>IF(W203="","",IF(LOOKUP(W203,Espesor!$C$8:$C$41,Espesor!$K$8:$K$41)="en voladizo","",IF(Z203="",0.75/W204,1/W204)))</f>
        <v/>
      </c>
      <c r="X205" s="680"/>
      <c r="Y205" s="681"/>
      <c r="Z205" s="679" t="str">
        <f>IF(Z203="","",IF(LOOKUP(Z203,Espesor!$C$8:$C$41,Espesor!$K$8:$K$41)="en voladizo","",IF(AC203="",0.75/Z204,1/Z204)))</f>
        <v/>
      </c>
      <c r="AA205" s="680"/>
      <c r="AB205" s="681"/>
      <c r="AD205" s="321" t="str">
        <f>+IF(AF202="","",AF202)</f>
        <v/>
      </c>
      <c r="AE205" s="324" t="str">
        <f>IF(C177="","",IF($K$2="X - X",VLOOKUP(C177,Espesor!$C$8:$E$41,2,0),VLOOKUP(C177,Espesor!$C$8:$E$41,3,0)))</f>
        <v/>
      </c>
      <c r="AF205" s="319" t="str">
        <f>IF(AD205="","",IF(LOOKUP(AD205,Espesor!$C$8:$C$41,Espesor!$K$8:$K$41)="en voladizo","",IF(AD206="",0.75/AE205,1/AE205)))</f>
        <v/>
      </c>
      <c r="AG205" s="634"/>
      <c r="AH205" s="634" t="str">
        <f>IF(AF205="","",IF(AF206="","",ROUND(AF205/(AF205+AF206),3)))</f>
        <v/>
      </c>
      <c r="AI205" s="634"/>
      <c r="AJ205" s="634" t="str">
        <f>IF(AF205="","",IF(AF206="","",ROUND(AF206/(AF205+AF206),3)))</f>
        <v/>
      </c>
      <c r="AK205" s="317">
        <f>IF(C177="",0,IF($K$2="X - X",VLOOKUP(C177,'Moms de Empt'!$P$3:$T$36,3,0),VLOOKUP(C177,'Moms de Empt'!$P$3:$T$36,5,0)))</f>
        <v>0</v>
      </c>
      <c r="AL205" s="317">
        <f>+IF(AD206="",0,-AK205)</f>
        <v>0</v>
      </c>
      <c r="AM205" s="629"/>
      <c r="AN205" s="629">
        <f>IF(AD206="",0,IF(LOOKUP(AD206,Espesor!$C$8:$C$41,Espesor!$K$8:$K$41)="en voladizo",MAX(ABS(AL205),ABS(AK206)),-(AK206+AL205)))</f>
        <v>0</v>
      </c>
      <c r="AO205" s="630"/>
      <c r="AP205" s="630" t="str">
        <f>IF(AH205="","",AN205*AH205)</f>
        <v/>
      </c>
      <c r="AQ205" s="630"/>
      <c r="AR205" s="630" t="str">
        <f>IF(AJ205="","",AN205*AJ205)</f>
        <v/>
      </c>
      <c r="AS205" s="652"/>
      <c r="AT205" s="631">
        <f>-IF(AN205="","",IF(AL205="",IF(AP205="",0,AP205),IF(AP205="",AL205,AL205+AP205)))</f>
        <v>0</v>
      </c>
      <c r="AU205" s="341">
        <f>+AT205</f>
        <v>0</v>
      </c>
      <c r="AV205" s="332" t="str">
        <f>IF(E202="","",IF(L177="X - X",VLOOKUP(E202,'Moms de Empt'!$P$3:$T$36,2,0),VLOOKUP(E202,'Moms de Empt'!$P$3:$T$36,4,0)))</f>
        <v/>
      </c>
      <c r="AW205" s="635"/>
      <c r="AX205" s="633" t="str">
        <f>IF(AV205="","",IF(AV206="","",ROUND(AV205/(AV205+AV206),3)))</f>
        <v/>
      </c>
      <c r="AY205" s="635"/>
      <c r="AZ205" s="633" t="str">
        <f>IF(AV205="","",IF(AV206="","",ROUND(AV206/(AV205+AV206),3)))</f>
        <v/>
      </c>
      <c r="BA205" s="331" t="str">
        <f t="shared" si="314"/>
        <v/>
      </c>
      <c r="BC205" s="422"/>
      <c r="BD205" s="433"/>
      <c r="BE205" s="434"/>
      <c r="BF205" s="30"/>
      <c r="BG205" s="30"/>
      <c r="BH205" s="30"/>
      <c r="BI205" s="30"/>
      <c r="BJ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</row>
    <row r="206" spans="1:110" ht="21.75" customHeight="1">
      <c r="A206" s="247" t="s">
        <v>123</v>
      </c>
      <c r="B206" s="29"/>
      <c r="C206" s="30"/>
      <c r="D206" s="31">
        <f>IF(B205="",0,IF(E205="",0,ROUND(B205/(B205+E205),3)))</f>
        <v>0.68400000000000005</v>
      </c>
      <c r="E206" s="29">
        <f>IF(E205="",0,IF(B205="",0,ROUND(E205/(E205+B205),3)))</f>
        <v>0.316</v>
      </c>
      <c r="F206" s="30"/>
      <c r="G206" s="31">
        <f>IF(E205="",0,IF(H205="",0,ROUND(E205/(E205+H205),3)))</f>
        <v>0</v>
      </c>
      <c r="H206" s="29">
        <f>IF(H205="",0,IF(E205="",0,ROUND(H205/(H205+E205),3)))</f>
        <v>0</v>
      </c>
      <c r="I206" s="30"/>
      <c r="J206" s="31">
        <f>IF(H205="",0,IF(K205="",0,ROUND(H205/(H205+K205),3)))</f>
        <v>0</v>
      </c>
      <c r="K206" s="29">
        <f>IF(K205="",0,IF(H205="",0,ROUND(K205/(K205+H205),3)))</f>
        <v>0</v>
      </c>
      <c r="L206" s="30"/>
      <c r="M206" s="31">
        <f>IF(K205="",0,IF(N205="",0,ROUND(K205/(K205+N205),3)))</f>
        <v>0</v>
      </c>
      <c r="N206" s="29">
        <f>IF(N205="",0,IF(K205="",0,ROUND(N205/(N205+K205),3)))</f>
        <v>0</v>
      </c>
      <c r="O206" s="30"/>
      <c r="P206" s="31">
        <f>IF(N205="",0,IF(Q205="",0,ROUND(N205/(N205+Q205),3)))</f>
        <v>0</v>
      </c>
      <c r="Q206" s="29">
        <f>IF(Q205="",0,IF(N205="",0,ROUND(Q205/(Q205+N205),3)))</f>
        <v>0</v>
      </c>
      <c r="R206" s="30"/>
      <c r="S206" s="31">
        <f>IF(Q205="",0,IF(T205="",0,ROUND(Q205/(Q205+T205),3)))</f>
        <v>0</v>
      </c>
      <c r="T206" s="29">
        <f>IF(T205="",0,IF(Q205="",0,ROUND(T205/(T205+Q205),3)))</f>
        <v>0</v>
      </c>
      <c r="U206" s="30"/>
      <c r="V206" s="31">
        <f>IF(T205="",0,IF(W205="",0,ROUND(T205/(T205+W205),3)))</f>
        <v>0</v>
      </c>
      <c r="W206" s="29">
        <f>IF(W205="",0,IF(T205="",0,ROUND(W205/(W205+T205),3)))</f>
        <v>0</v>
      </c>
      <c r="X206" s="30"/>
      <c r="Y206" s="31">
        <f>IF(W205="",0,IF(Z205="",0,ROUND(W205/(W205+Z205),3)))</f>
        <v>0</v>
      </c>
      <c r="Z206" s="29">
        <f>IF(Z205="",0,IF(W205="",0,ROUND(Z205/(Z205+W205),3)))</f>
        <v>0</v>
      </c>
      <c r="AA206" s="30"/>
      <c r="AB206" s="31"/>
      <c r="AD206" s="321" t="str">
        <f>+IF(AG202="","",AG202)</f>
        <v/>
      </c>
      <c r="AE206" s="324" t="str">
        <f>IF(C178="","",IF($K$2="X - X",VLOOKUP(C178,Espesor!$C$8:$E$41,2,0),VLOOKUP(C178,Espesor!$C$8:$E$41,3,0)))</f>
        <v/>
      </c>
      <c r="AF206" s="319" t="str">
        <f>IF(AD206="","",IF(LOOKUP(AD206,Espesor!$C$8:$C$41,Espesor!$K$8:$K$41)="en voladizo","",IF(AD207="",0.75/AE206,1/AE206)))</f>
        <v/>
      </c>
      <c r="AG206" s="634" t="str">
        <f>IF(AF206="","",IF(AF207="","",ROUND(AF206/(AF206+AF207),3)))</f>
        <v/>
      </c>
      <c r="AH206" s="634"/>
      <c r="AI206" s="634" t="str">
        <f>IF(AF207="","",IF(AF206="","",ROUND(AF207/(AF207+AF206),3)))</f>
        <v/>
      </c>
      <c r="AJ206" s="634"/>
      <c r="AK206" s="317">
        <f>IF(D177="",0,IF($K$2="X - X",VLOOKUP(D177,'Moms de Empt'!$P$3:$T$36,3,0),VLOOKUP(D177,'Moms de Empt'!$P$3:$T$36,5,0)))</f>
        <v>0</v>
      </c>
      <c r="AL206" s="317">
        <f>+IF(AD207="",0,-AK206)</f>
        <v>0</v>
      </c>
      <c r="AM206" s="629">
        <f>IF(AD207="",0,IF(LOOKUP(AD207,Espesor!$C$8:$C$41,Espesor!$K$8:$K$41)="en voladizo",MAX(ABS(AL206),ABS(AK207)),-(AK207+AL206)))</f>
        <v>0</v>
      </c>
      <c r="AN206" s="629"/>
      <c r="AO206" s="630" t="str">
        <f>IF(AG206="","",AM206*AG206)</f>
        <v/>
      </c>
      <c r="AP206" s="630"/>
      <c r="AQ206" s="630" t="str">
        <f>IF(AI206="","",AM206*AI206)</f>
        <v/>
      </c>
      <c r="AR206" s="630"/>
      <c r="AS206" s="631">
        <f>-IF(AM206="","",IF(AL206="",IF(AO206="",0,AO206),IF(AO206="",AL206,AL206+AO206)))</f>
        <v>0</v>
      </c>
      <c r="AT206" s="632"/>
      <c r="AU206" s="341">
        <f>+AS206</f>
        <v>0</v>
      </c>
      <c r="AV206" s="332" t="str">
        <f>IF(H202="","",IF(L177="X - X",VLOOKUP(H202,'Moms de Empt'!$P$3:$T$36,2,0),VLOOKUP(H202,'Moms de Empt'!$P$3:$T$36,4,0)))</f>
        <v/>
      </c>
      <c r="AW206" s="635" t="str">
        <f>IF(AV206="","",IF(AV207="","",ROUND(AV206/(AV206+AV207),3)))</f>
        <v/>
      </c>
      <c r="AX206" s="633"/>
      <c r="AY206" s="635" t="str">
        <f>IF(AV207="","",IF(AV206="","",ROUND(AV207/(AV207+AV206),3)))</f>
        <v/>
      </c>
      <c r="AZ206" s="633"/>
      <c r="BA206" s="331" t="str">
        <f t="shared" si="314"/>
        <v/>
      </c>
      <c r="BC206" s="422"/>
      <c r="BD206" s="433"/>
      <c r="BE206" s="434"/>
      <c r="BF206" s="392"/>
      <c r="BG206" s="392"/>
      <c r="BH206" s="392"/>
      <c r="BI206" s="392"/>
      <c r="BJ206" s="392"/>
      <c r="BK206" s="28"/>
      <c r="BL206" s="393"/>
      <c r="BM206" s="393"/>
      <c r="BN206" s="393"/>
      <c r="BO206" s="393"/>
      <c r="BP206" s="393"/>
      <c r="BQ206" s="393"/>
      <c r="BR206" s="393"/>
      <c r="BS206" s="393"/>
      <c r="BT206" s="393"/>
      <c r="BU206" s="393"/>
      <c r="BV206" s="393"/>
      <c r="BW206" s="393"/>
      <c r="BX206" s="393"/>
      <c r="BY206" s="393"/>
      <c r="BZ206" s="393"/>
      <c r="CA206" s="393"/>
      <c r="CB206" s="393"/>
      <c r="CC206" s="393"/>
      <c r="CD206" s="393"/>
      <c r="CE206" s="393"/>
      <c r="CF206" s="393"/>
      <c r="CG206" s="393"/>
      <c r="CH206" s="393"/>
      <c r="CI206" s="393"/>
      <c r="CJ206" s="393"/>
      <c r="CK206" s="393"/>
      <c r="CL206" s="393"/>
    </row>
    <row r="207" spans="1:110" ht="21.75" customHeight="1">
      <c r="A207" s="248" t="s">
        <v>124</v>
      </c>
      <c r="B207" s="249"/>
      <c r="C207" s="34"/>
      <c r="D207" s="33">
        <f>IF(B203="","",-VLOOKUP(B203,'Moms de Empt'!$P$3:$T$36,5,0))</f>
        <v>-1.4081999999999999</v>
      </c>
      <c r="E207" s="33">
        <f>IF(E203="","",VLOOKUP(E203,'Moms de Empt'!$P$3:$T$36,5,0))</f>
        <v>1.492</v>
      </c>
      <c r="F207" s="34"/>
      <c r="G207" s="33">
        <f>IF(E203="","",-VLOOKUP(E203,'Moms de Empt'!$P$3:$T$36,5,0))</f>
        <v>-1.492</v>
      </c>
      <c r="H207" s="33" t="str">
        <f>IF(H203="","",VLOOKUP(H203,'Moms de Empt'!$P$3:$T$36,5,0))</f>
        <v/>
      </c>
      <c r="I207" s="34"/>
      <c r="J207" s="33" t="str">
        <f>IF(H203="","",-VLOOKUP(H203,'Moms de Empt'!$P$3:$T$36,5,0))</f>
        <v/>
      </c>
      <c r="K207" s="33" t="str">
        <f>IF(K203="","",VLOOKUP(K203,'Moms de Empt'!$P$3:$T$36,5,0))</f>
        <v/>
      </c>
      <c r="L207" s="34"/>
      <c r="M207" s="33" t="str">
        <f>IF(K203="","",-VLOOKUP(K203,'Moms de Empt'!$P$3:$T$36,5,0))</f>
        <v/>
      </c>
      <c r="N207" s="33" t="str">
        <f>IF(N203="","",VLOOKUP(N203,'Moms de Empt'!$P$3:$T$36,5,0))</f>
        <v/>
      </c>
      <c r="O207" s="34"/>
      <c r="P207" s="33" t="str">
        <f>IF(N203="","",-VLOOKUP(N203,'Moms de Empt'!$P$3:$T$36,5,0))</f>
        <v/>
      </c>
      <c r="Q207" s="33" t="str">
        <f>IF(Q203="","",VLOOKUP(Q203,'Moms de Empt'!$P$3:$T$36,5,0))</f>
        <v/>
      </c>
      <c r="R207" s="34"/>
      <c r="S207" s="33" t="str">
        <f>IF(Q203="","",-VLOOKUP(Q203,'Moms de Empt'!$P$3:$T$36,5,0))</f>
        <v/>
      </c>
      <c r="T207" s="33" t="str">
        <f>IF(T203="","",VLOOKUP(T203,'Moms de Empt'!$P$3:$T$36,5,0))</f>
        <v/>
      </c>
      <c r="U207" s="34"/>
      <c r="V207" s="33" t="str">
        <f>IF(T203="","",-VLOOKUP(T203,'Moms de Empt'!$P$3:$T$36,5,0))</f>
        <v/>
      </c>
      <c r="W207" s="33" t="str">
        <f>IF(W203="","",VLOOKUP(W203,'Moms de Empt'!$P$3:$T$36,5,0))</f>
        <v/>
      </c>
      <c r="X207" s="34"/>
      <c r="Y207" s="33" t="str">
        <f>IF(W203="","",-VLOOKUP(W203,'Moms de Empt'!$P$3:$T$36,5,0))</f>
        <v/>
      </c>
      <c r="Z207" s="33" t="str">
        <f>IF(Z203="","",VLOOKUP(Z203,'Moms de Empt'!$P$3:$T$36,5,0))</f>
        <v/>
      </c>
      <c r="AA207" s="34"/>
      <c r="AB207" s="33"/>
      <c r="AD207" s="321" t="str">
        <f>+IF(AH202="","",AH202)</f>
        <v/>
      </c>
      <c r="AE207" s="324" t="str">
        <f>IF(K202="","",IF($K$2="X - X",VLOOKUP(K202,Espesor!$C$8:$E$41,2,0),VLOOKUP(K202,Espesor!$C$8:$E$41,3,0)))</f>
        <v/>
      </c>
      <c r="AF207" s="319" t="str">
        <f>IF(AD207="","",IF(LOOKUP(AD207,Espesor!$C$8:$C$41,Espesor!$K$8:$K$41)="en voladizo","",IF(AD208="",0.75/AE207,1/AE207)))</f>
        <v/>
      </c>
      <c r="AG207" s="634"/>
      <c r="AH207" s="634" t="str">
        <f>IF(AF207="","",IF(AF208="","",ROUND(AF207/(AF207+AF208),3)))</f>
        <v/>
      </c>
      <c r="AI207" s="634"/>
      <c r="AJ207" s="634" t="str">
        <f>IF(AF207="","",IF(AF208="","",ROUND(AF208/(AF207+AF208),3)))</f>
        <v/>
      </c>
      <c r="AK207" s="317">
        <f>IF(E177="",0,IF($K$2="X - X",VLOOKUP(E177,'Moms de Empt'!$P$3:$T$36,3,0),VLOOKUP(E177,'Moms de Empt'!$P$3:$T$36,5,0)))</f>
        <v>0</v>
      </c>
      <c r="AL207" s="317">
        <f t="shared" ref="AL207:AL209" si="340">+IF(AD208="",0,-AK207)</f>
        <v>0</v>
      </c>
      <c r="AM207" s="629"/>
      <c r="AN207" s="629">
        <f>IF(AD208="",0,IF(LOOKUP(AD208,Espesor!$C$8:$C$41,Espesor!$K$8:$K$41)="en voladizo",MAX(ABS(AL207),ABS(AK208)),-(AK208+AL207)))</f>
        <v>0</v>
      </c>
      <c r="AO207" s="630"/>
      <c r="AP207" s="630" t="str">
        <f t="shared" ref="AP207" si="341">IF(AH207="","",AN207*AH207)</f>
        <v/>
      </c>
      <c r="AQ207" s="630"/>
      <c r="AR207" s="630" t="str">
        <f t="shared" ref="AR207" si="342">IF(AJ207="","",AN207*AJ207)</f>
        <v/>
      </c>
      <c r="AS207" s="632"/>
      <c r="AT207" s="631">
        <f t="shared" ref="AT207" si="343">-IF(AN207="","",IF(AL207="",IF(AP207="",0,AP207),IF(AP207="",AL207,AL207+AP207)))</f>
        <v>0</v>
      </c>
      <c r="AU207" s="341">
        <f>+AT207</f>
        <v>0</v>
      </c>
      <c r="AV207" s="332" t="str">
        <f>IF(K202="","",IF(L177="X - X",VLOOKUP(K202,'Moms de Empt'!$P$3:$T$36,2,0),VLOOKUP(K202,'Moms de Empt'!$P$3:$T$36,4,0)))</f>
        <v/>
      </c>
      <c r="AW207" s="635"/>
      <c r="AX207" s="633" t="str">
        <f>IF(AV207="","",IF(AV208="","",ROUND(AV207/(AV207+AV208),3)))</f>
        <v/>
      </c>
      <c r="AY207" s="635"/>
      <c r="AZ207" s="633" t="str">
        <f>IF(AV207="","",IF(AV208="","",ROUND(AV208/(AV207+AV208),3)))</f>
        <v/>
      </c>
      <c r="BA207" s="331" t="str">
        <f t="shared" si="314"/>
        <v/>
      </c>
      <c r="BC207" s="422"/>
      <c r="BD207" s="433"/>
      <c r="BE207" s="434"/>
      <c r="BF207" s="406"/>
      <c r="BG207" s="406"/>
      <c r="BH207" s="406"/>
      <c r="BI207" s="406"/>
      <c r="BJ207" s="406"/>
      <c r="BK207" s="28"/>
      <c r="BL207" s="393"/>
      <c r="BM207" s="393"/>
      <c r="BN207" s="393"/>
      <c r="BO207" s="393"/>
      <c r="BP207" s="393"/>
      <c r="BQ207" s="393"/>
      <c r="BR207" s="393"/>
      <c r="BS207" s="393"/>
      <c r="BT207" s="393"/>
      <c r="BU207" s="393"/>
      <c r="BV207" s="393"/>
      <c r="BW207" s="393"/>
      <c r="BX207" s="393"/>
      <c r="BY207" s="393"/>
      <c r="BZ207" s="393"/>
      <c r="CA207" s="393"/>
      <c r="CB207" s="393"/>
      <c r="CC207" s="393"/>
      <c r="CD207" s="393"/>
      <c r="CE207" s="393"/>
      <c r="CF207" s="393"/>
      <c r="CG207" s="393"/>
      <c r="CH207" s="393"/>
      <c r="CI207" s="393"/>
      <c r="CJ207" s="393"/>
      <c r="CK207" s="393"/>
      <c r="CL207" s="393"/>
    </row>
    <row r="208" spans="1:110" ht="21.75" customHeight="1">
      <c r="A208" s="250" t="s">
        <v>125</v>
      </c>
      <c r="B208" s="272"/>
      <c r="C208" s="406"/>
      <c r="D208" s="678">
        <f>+IF(E203="",0,IF(LOOKUP(E203,Espesor!$C$8:$C$41,Espesor!$K$8:$K$41)="en voladizo",IF(LOOKUP(B203,Espesor!$C$8:$C$41,Espesor!$K$8:$K$41)="en voladizo","Inestable",MAX(ABS(D207),ABS(E207))),IF(LOOKUP(B203,Espesor!$C$8:$C$41,Espesor!$K$8:$K$41)="en voladizo",MAX(ABS(D207),ABS(E207)),-(E207+D207))))</f>
        <v>-8.3800000000000097E-2</v>
      </c>
      <c r="E208" s="678"/>
      <c r="F208" s="406"/>
      <c r="G208" s="678">
        <f>+IF(H203="",0,IF(LOOKUP(H203,Espesor!$C$8:$C$41,Espesor!$K$8:$K$41)="en voladizo",IF(LOOKUP(E203,Espesor!$C$8:$C$41,Espesor!$K$8:$K$41)="en voladizo","Inestable",MAX(ABS(G207),ABS(H207))),IF(LOOKUP(E203,Espesor!$C$8:$C$41,Espesor!$K$8:$K$41)="en voladizo",MAX(ABS(G207),ABS(H207)),-(H207+G207))))</f>
        <v>0</v>
      </c>
      <c r="H208" s="678"/>
      <c r="I208" s="406"/>
      <c r="J208" s="678">
        <f>+IF(K203="",0,IF(LOOKUP(K203,Espesor!$C$8:$C$41,Espesor!$K$8:$K$41)="en voladizo",IF(LOOKUP(H203,Espesor!$C$8:$C$41,Espesor!$K$8:$K$41)="en voladizo","Inestable",MAX(ABS(J207),ABS(K207))),IF(LOOKUP(H203,Espesor!$C$8:$C$41,Espesor!$K$8:$K$41)="en voladizo",MAX(ABS(J207),ABS(K207)),-(K207+J207))))</f>
        <v>0</v>
      </c>
      <c r="K208" s="678"/>
      <c r="L208" s="406"/>
      <c r="M208" s="678">
        <f>+IF(N203="",0,IF(LOOKUP(N203,Espesor!$C$8:$C$41,Espesor!$K$8:$K$41)="en voladizo",IF(LOOKUP(K203,Espesor!$C$8:$C$41,Espesor!$K$8:$K$41)="en voladizo","Inestable",MAX(ABS(M207),ABS(N207))),IF(LOOKUP(K203,Espesor!$C$8:$C$41,Espesor!$K$8:$K$41)="en voladizo",MAX(ABS(M207),ABS(N207)),-(N207+M207))))</f>
        <v>0</v>
      </c>
      <c r="N208" s="678"/>
      <c r="O208" s="406"/>
      <c r="P208" s="678">
        <f>+IF(Q203="",0,IF(LOOKUP(Q203,Espesor!$C$8:$C$41,Espesor!$K$8:$K$41)="en voladizo",IF(LOOKUP(N203,Espesor!$C$8:$C$41,Espesor!$K$8:$K$41)="en voladizo","Inestable",MAX(ABS(P207),ABS(Q207))),IF(LOOKUP(N203,Espesor!$C$8:$C$41,Espesor!$K$8:$K$41)="en voladizo",MAX(ABS(P207),ABS(Q207)),-(Q207+P207))))</f>
        <v>0</v>
      </c>
      <c r="Q208" s="678"/>
      <c r="R208" s="406"/>
      <c r="S208" s="678">
        <f>+IF(T203="",0,IF(LOOKUP(T203,Espesor!$C$8:$C$41,Espesor!$K$8:$K$41)="en voladizo",IF(LOOKUP(Q203,Espesor!$C$8:$C$41,Espesor!$K$8:$K$41)="en voladizo","Inestable",MAX(ABS(S207),ABS(T207))),IF(LOOKUP(Q203,Espesor!$C$8:$C$41,Espesor!$K$8:$K$41)="en voladizo",MAX(ABS(S207),ABS(T207)),-(T207+S207))))</f>
        <v>0</v>
      </c>
      <c r="T208" s="678"/>
      <c r="U208" s="406"/>
      <c r="V208" s="678">
        <f>+IF(W203="",0,IF(LOOKUP(W203,Espesor!$C$8:$C$41,Espesor!$K$8:$K$41)="en voladizo",IF(LOOKUP(T203,Espesor!$C$8:$C$41,Espesor!$K$8:$K$41)="en voladizo","Inestable",MAX(ABS(V207),ABS(W207))),IF(LOOKUP(T203,Espesor!$C$8:$C$41,Espesor!$K$8:$K$41)="en voladizo",MAX(ABS(V207),ABS(W207)),-(W207+V207))))</f>
        <v>0</v>
      </c>
      <c r="W208" s="678"/>
      <c r="X208" s="406"/>
      <c r="Y208" s="678">
        <f>+IF(Z203="",0,IF(LOOKUP(Z203,Espesor!$C$8:$C$41,Espesor!$K$8:$K$41)="en voladizo",IF(LOOKUP(W203,Espesor!$C$8:$C$41,Espesor!$K$8:$K$41)="en voladizo","Inestable",MAX(ABS(Y207),ABS(Z207))),IF(LOOKUP(W203,Espesor!$C$8:$C$41,Espesor!$K$8:$K$41)="en voladizo",MAX(ABS(Y207),ABS(Z207)),-(Z207+Y207))))</f>
        <v>0</v>
      </c>
      <c r="Z208" s="678"/>
      <c r="AA208" s="406"/>
      <c r="AB208" s="252"/>
      <c r="AD208" s="321" t="str">
        <f>+IF(AI202="","",AI202)</f>
        <v/>
      </c>
      <c r="AE208" s="324" t="str">
        <f>IF(N202="","",IF($K$2="X - X",VLOOKUP(N202,Espesor!$C$8:$E$41,2,0),VLOOKUP(N202,Espesor!$C$8:$E$41,3,0)))</f>
        <v/>
      </c>
      <c r="AF208" s="319" t="str">
        <f>IF(AD208="","",IF(LOOKUP(AD208,Espesor!$C$8:$C$41,Espesor!$K$8:$K$41)="en voladizo","",IF(AD209="",0.75/AE208,1/AE208)))</f>
        <v/>
      </c>
      <c r="AG208" s="634" t="str">
        <f>IF(AF208="","",IF(AF209="","",ROUND(AF208/(AF208+AF209),3)))</f>
        <v/>
      </c>
      <c r="AH208" s="634"/>
      <c r="AI208" s="634" t="str">
        <f>IF(AF209="","",IF(AF208="","",ROUND(AF209/(AF209+AF208),3)))</f>
        <v/>
      </c>
      <c r="AJ208" s="634"/>
      <c r="AK208" s="317">
        <f>IF(F177="",0,IF($K$2="X - X",VLOOKUP(F177,'Moms de Empt'!$P$3:$T$36,3,0),VLOOKUP(F177,'Moms de Empt'!$P$3:$T$36,5,0)))</f>
        <v>0</v>
      </c>
      <c r="AL208" s="317">
        <f t="shared" si="340"/>
        <v>0</v>
      </c>
      <c r="AM208" s="629">
        <f>IF(AD209="",0,IF(LOOKUP(AD209,Espesor!$C$8:$C$41,Espesor!$K$8:$K$41)="en voladizo",MAX(ABS(AL208),ABS(AK209)),-(AK209+AL208)))</f>
        <v>0</v>
      </c>
      <c r="AN208" s="629"/>
      <c r="AO208" s="630" t="str">
        <f t="shared" ref="AO208" si="344">IF(AG208="","",AM208*AG208)</f>
        <v/>
      </c>
      <c r="AP208" s="630"/>
      <c r="AQ208" s="630" t="str">
        <f t="shared" ref="AQ208" si="345">IF(AI208="","",AM208*AI208)</f>
        <v/>
      </c>
      <c r="AR208" s="630"/>
      <c r="AS208" s="631">
        <f>-IF(AM208="","",IF(AL208="",IF(AO208="",0,AO208),IF(AO208="",AL208,AL208+AO208)))</f>
        <v>0</v>
      </c>
      <c r="AT208" s="632"/>
      <c r="AU208" s="341">
        <f>+AS208</f>
        <v>0</v>
      </c>
      <c r="AV208" s="332" t="str">
        <f>IF(N202="","",IF(L177="X - X",VLOOKUP(N202,'Moms de Empt'!$P$3:$T$36,2,0),VLOOKUP(N202,'Moms de Empt'!$P$3:$T$36,4,0)))</f>
        <v/>
      </c>
      <c r="AW208" s="635" t="str">
        <f>IF(AV208="","",IF(AV209="","",ROUND(AV208/(AV208+AV209),3)))</f>
        <v/>
      </c>
      <c r="AX208" s="633"/>
      <c r="AY208" s="635" t="str">
        <f>IF(AV209="","",IF(AV208="","",ROUND(AV209/(AV209+AV208),3)))</f>
        <v/>
      </c>
      <c r="AZ208" s="633"/>
      <c r="BA208" s="331" t="str">
        <f t="shared" si="314"/>
        <v/>
      </c>
      <c r="BC208" s="401"/>
      <c r="BD208" s="398"/>
      <c r="BE208" s="391"/>
      <c r="BF208" s="30"/>
      <c r="BG208" s="30"/>
      <c r="BH208" s="30"/>
      <c r="BI208" s="30"/>
      <c r="BJ208" s="30"/>
      <c r="BK208" s="28"/>
      <c r="BL208" s="278"/>
      <c r="BM208" s="278"/>
      <c r="BN208" s="278"/>
      <c r="BO208" s="278"/>
      <c r="BP208" s="278"/>
      <c r="BQ208" s="278"/>
      <c r="BR208" s="278"/>
      <c r="BS208" s="278"/>
      <c r="BT208" s="278"/>
      <c r="BU208" s="278"/>
      <c r="BV208" s="278"/>
      <c r="BW208" s="278"/>
      <c r="BX208" s="278"/>
      <c r="BY208" s="278"/>
      <c r="BZ208" s="278"/>
      <c r="CA208" s="278"/>
      <c r="CB208" s="278"/>
      <c r="CC208" s="278"/>
      <c r="CD208" s="278"/>
      <c r="CE208" s="278"/>
      <c r="CF208" s="278"/>
      <c r="CG208" s="278"/>
      <c r="CH208" s="278"/>
      <c r="CI208" s="278"/>
      <c r="CJ208" s="278"/>
      <c r="CK208" s="278"/>
      <c r="CL208" s="278"/>
    </row>
    <row r="209" spans="1:110" ht="21.75" customHeight="1">
      <c r="A209" s="253" t="s">
        <v>126</v>
      </c>
      <c r="B209" s="29"/>
      <c r="C209" s="30"/>
      <c r="D209" s="254">
        <f>IF(D206="","",D208*D206)</f>
        <v>-5.731920000000007E-2</v>
      </c>
      <c r="E209" s="30">
        <f>IF(E206="","",D208*E206)</f>
        <v>-2.648080000000003E-2</v>
      </c>
      <c r="F209" s="30"/>
      <c r="G209" s="277">
        <f>IF(G206="","",G208*G206)</f>
        <v>0</v>
      </c>
      <c r="H209" s="278">
        <f>IF(H206="","",G208*H206)</f>
        <v>0</v>
      </c>
      <c r="I209" s="30"/>
      <c r="J209" s="254">
        <f>IF(J206="","",J208*J206)</f>
        <v>0</v>
      </c>
      <c r="K209" s="30">
        <f>IF(K206="","",J208*K206)</f>
        <v>0</v>
      </c>
      <c r="L209" s="30"/>
      <c r="M209" s="254">
        <f>IF(M206="","",M208*M206)</f>
        <v>0</v>
      </c>
      <c r="N209" s="30">
        <f>IF(N206="","",M208*N206)</f>
        <v>0</v>
      </c>
      <c r="O209" s="30"/>
      <c r="P209" s="254">
        <f>IF(P206="","",P208*P206)</f>
        <v>0</v>
      </c>
      <c r="Q209" s="30">
        <f>IF(Q206="","",P208*Q206)</f>
        <v>0</v>
      </c>
      <c r="R209" s="30"/>
      <c r="S209" s="254">
        <f>IF(S206="","",S208*S206)</f>
        <v>0</v>
      </c>
      <c r="T209" s="30">
        <f>IF(T206="","",S208*T206)</f>
        <v>0</v>
      </c>
      <c r="U209" s="30"/>
      <c r="V209" s="254">
        <f>IF(V206="","",V208*V206)</f>
        <v>0</v>
      </c>
      <c r="W209" s="30">
        <f>IF(W206="","",V208*W206)</f>
        <v>0</v>
      </c>
      <c r="X209" s="30"/>
      <c r="Y209" s="254">
        <f>IF(Y206="","",Y208*Y206)</f>
        <v>0</v>
      </c>
      <c r="Z209" s="30">
        <f>IF(Z206="","",Y208*Z206)</f>
        <v>0</v>
      </c>
      <c r="AA209" s="30"/>
      <c r="AB209" s="31"/>
      <c r="AD209" s="321" t="str">
        <f>+IF(AJ202="","",AJ202)</f>
        <v/>
      </c>
      <c r="AE209" s="324" t="str">
        <f>IF(Q202="","",IF($K$2="X - X",VLOOKUP(Q202,Espesor!$C$8:$E$41,2,0),VLOOKUP(Q202,Espesor!$C$8:$E$41,3,0)))</f>
        <v/>
      </c>
      <c r="AF209" s="319" t="str">
        <f>IF(AD209="","",IF(LOOKUP(AD209,Espesor!$C$8:$C$41,Espesor!$K$8:$K$41)="en voladizo","",IF(AD210="",0.75/AE209,1/AE209)))</f>
        <v/>
      </c>
      <c r="AG209" s="634"/>
      <c r="AH209" s="634" t="str">
        <f>IF(AF209="","",IF(AF210="","",ROUND(AF209/(AF209+AF210),3)))</f>
        <v/>
      </c>
      <c r="AI209" s="634"/>
      <c r="AJ209" s="634" t="str">
        <f>IF(AF209="","",IF(AF210="","",ROUND(AF210/(AF209+AF210),3)))</f>
        <v/>
      </c>
      <c r="AK209" s="317">
        <f>IF(G177="",0,IF($K$2="X - X",VLOOKUP(G177,'Moms de Empt'!$P$3:$T$36,3,0),VLOOKUP(G177,'Moms de Empt'!$P$3:$T$36,5,0)))</f>
        <v>0</v>
      </c>
      <c r="AL209" s="317">
        <f t="shared" si="340"/>
        <v>0</v>
      </c>
      <c r="AM209" s="629"/>
      <c r="AN209" s="629">
        <f>IF(AD210="",0,IF(LOOKUP(AD210,Espesor!$C$8:$C$41,Espesor!$K$8:$K$41)="en voladizo",MAX(ABS(AL209),ABS(AK210)),-(AK210+AL209)))</f>
        <v>0</v>
      </c>
      <c r="AO209" s="630"/>
      <c r="AP209" s="630" t="str">
        <f t="shared" ref="AP209" si="346">IF(AH209="","",AN209*AH209)</f>
        <v/>
      </c>
      <c r="AQ209" s="630"/>
      <c r="AR209" s="630" t="str">
        <f t="shared" ref="AR209" si="347">IF(AJ209="","",AN209*AJ209)</f>
        <v/>
      </c>
      <c r="AS209" s="632"/>
      <c r="AT209" s="631">
        <f t="shared" ref="AT209" si="348">-IF(AN209="","",IF(AL209="",IF(AP209="",0,AP209),IF(AP209="",AL209,AL209+AP209)))</f>
        <v>0</v>
      </c>
      <c r="AU209" s="341">
        <f>+AT209</f>
        <v>0</v>
      </c>
      <c r="AV209" s="332" t="str">
        <f>IF(Q202="","",IF(L177="X - X",VLOOKUP(Q202,'Moms de Empt'!$P$3:$T$36,2,0),VLOOKUP(Q202,'Moms de Empt'!$P$3:$T$36,4,0)))</f>
        <v/>
      </c>
      <c r="AW209" s="635"/>
      <c r="AX209" s="633" t="str">
        <f>IF(AV209="","",IF(AV210="","",ROUND(AV209/(AV209+AV210),3)))</f>
        <v/>
      </c>
      <c r="AY209" s="635"/>
      <c r="AZ209" s="633" t="str">
        <f>IF(AV209="","",IF(AV210="","",ROUND(AV210/(AV209+AV210),3)))</f>
        <v/>
      </c>
      <c r="BA209" s="331" t="str">
        <f t="shared" si="314"/>
        <v/>
      </c>
      <c r="BC209" s="401"/>
      <c r="BD209" s="398"/>
      <c r="BE209" s="391"/>
      <c r="BF209" s="30"/>
      <c r="BG209" s="30"/>
      <c r="BH209" s="30"/>
      <c r="BI209" s="30"/>
      <c r="BJ209" s="30"/>
      <c r="BK209" s="28"/>
    </row>
    <row r="210" spans="1:110" ht="21.75" customHeight="1" thickBot="1">
      <c r="A210" s="32"/>
      <c r="B210" s="29"/>
      <c r="C210" s="30"/>
      <c r="D210" s="255">
        <f>IF(D208="",0,IF(D207="",IF(D209="",0,D209),IF(D209="",D207,D207+D209)))</f>
        <v>-1.4655191999999999</v>
      </c>
      <c r="E210" s="256">
        <f>IF(D208="",0,IF(E207="",IF(E209="",0,E209),IF(E209="",E207,E207+E209)))</f>
        <v>1.4655191999999999</v>
      </c>
      <c r="F210" s="30"/>
      <c r="G210" s="276">
        <f>IF(G208="",0,IF(G207="",IF(G209="",0,G209),IF(G209="",G207,G207+G209)))</f>
        <v>-1.492</v>
      </c>
      <c r="H210" s="256">
        <f>IF(G208="",0,IF(H207="",IF(H209="",0,H209),IF(H209="",H207,H207+H209)))</f>
        <v>0</v>
      </c>
      <c r="I210" s="30"/>
      <c r="J210" s="276">
        <f>IF(J208="",0,IF(J207="",IF(J209="",0,J209),IF(J209="",J207,J207+J209)))</f>
        <v>0</v>
      </c>
      <c r="K210" s="256">
        <f>IF(J208="",0,IF(K207="",IF(K209="",0,K209),IF(K209="",K207,K207+K209)))</f>
        <v>0</v>
      </c>
      <c r="L210" s="30"/>
      <c r="M210" s="276">
        <f>IF(M208="",0,IF(M207="",IF(M209="",0,M209),IF(M209="",M207,M207+M209)))</f>
        <v>0</v>
      </c>
      <c r="N210" s="256">
        <f>IF(M208="",0,IF(N207="",IF(N209="",0,N209),IF(N209="",N207,N207+N209)))</f>
        <v>0</v>
      </c>
      <c r="O210" s="30"/>
      <c r="P210" s="276">
        <f>IF(P208="",0,IF(P207="",IF(P209="",0,P209),IF(P209="",P207,P207+P209)))</f>
        <v>0</v>
      </c>
      <c r="Q210" s="256">
        <f>IF(P208="",0,IF(Q207="",IF(Q209="",0,Q209),IF(Q209="",Q207,Q207+Q209)))</f>
        <v>0</v>
      </c>
      <c r="R210" s="30"/>
      <c r="S210" s="276">
        <f>IF(S208="",0,IF(S207="",IF(S209="",0,S209),IF(S209="",S207,S207+S209)))</f>
        <v>0</v>
      </c>
      <c r="T210" s="256">
        <f>IF(S208="",0,IF(T207="",IF(T209="",0,T209),IF(T209="",T207,T207+T209)))</f>
        <v>0</v>
      </c>
      <c r="U210" s="30"/>
      <c r="V210" s="276">
        <f>IF(V208="",0,IF(V207="",IF(V209="",0,V209),IF(V209="",V207,V207+V209)))</f>
        <v>0</v>
      </c>
      <c r="W210" s="256">
        <f>IF(V208="",0,IF(W207="",IF(W209="",0,W209),IF(W209="",W207,W207+W209)))</f>
        <v>0</v>
      </c>
      <c r="X210" s="30"/>
      <c r="Y210" s="276">
        <f>IF(Y208="",0,IF(Y207="",IF(Y209="",0,Y209),IF(Y209="",Y207,Y207+Y209)))</f>
        <v>0</v>
      </c>
      <c r="Z210" s="256">
        <f>IF(Y208="",0,IF(Z207="",IF(Z209="",0,Z209),IF(Z209="",Z207,Z207+Z209)))</f>
        <v>0</v>
      </c>
      <c r="AA210" s="30"/>
      <c r="AB210" s="276"/>
      <c r="AD210" s="321" t="str">
        <f>+IF(AK202="","",AK202)</f>
        <v/>
      </c>
      <c r="AE210" s="324" t="str">
        <f>IF(T202="","",IF($K$2="X - X",VLOOKUP(T202,Espesor!$C$8:$E$41,2,0),VLOOKUP(T202,Espesor!$C$8:$E$41,3,0)))</f>
        <v/>
      </c>
      <c r="AF210" s="319" t="str">
        <f>IF(AD210="","",IF(LOOKUP(AD210,Espesor!$C$8:$C$41,Espesor!$K$8:$K$41)="en voladizo","",IF(AD211="",0.75/AE210,1/AE210)))</f>
        <v/>
      </c>
      <c r="AG210" s="634" t="str">
        <f>IF(AF210="","",IF(AF211="","",ROUND(AF210/(AF210+AF211),3)))</f>
        <v/>
      </c>
      <c r="AH210" s="634"/>
      <c r="AI210" s="634" t="str">
        <f>IF(AF211="","",IF(AF210="","",ROUND(AF211/(AF211+AF210),3)))</f>
        <v/>
      </c>
      <c r="AJ210" s="634"/>
      <c r="AK210" s="317">
        <f>IF(H177="",0,IF($K$2="X - X",VLOOKUP(H177,'Moms de Empt'!$P$3:$T$36,3,0),VLOOKUP(H177,'Moms de Empt'!$P$3:$T$36,5,0)))</f>
        <v>0</v>
      </c>
      <c r="AL210" s="317">
        <f>+IF(AD211="",0,-AK210)</f>
        <v>0</v>
      </c>
      <c r="AM210" s="629">
        <f>IF(AD211="",0,IF(LOOKUP(AD211,Espesor!$C$8:$C$41,Espesor!$K$8:$K$41)="en voladizo",MAX(ABS(AL210),ABS(AK211)),-(AK211+AL210)))</f>
        <v>0</v>
      </c>
      <c r="AN210" s="629"/>
      <c r="AO210" s="630" t="str">
        <f>IF(AG210="","",AM210*AG210)</f>
        <v/>
      </c>
      <c r="AP210" s="630"/>
      <c r="AQ210" s="630" t="str">
        <f t="shared" ref="AQ210" si="349">IF(AI210="","",AM210*AI210)</f>
        <v/>
      </c>
      <c r="AR210" s="630"/>
      <c r="AS210" s="631">
        <f>-IF(AM210="","",IF(AL210="",IF(AO210="",0,AO210),IF(AO210="",AL210,AL210+AO210)))</f>
        <v>0</v>
      </c>
      <c r="AT210" s="632"/>
      <c r="AU210" s="341">
        <f>+AS210</f>
        <v>0</v>
      </c>
      <c r="AV210" s="332" t="str">
        <f>IF(T202="","",IF(L177="X - X",VLOOKUP(T202,'Moms de Empt'!$P$3:$T$36,2,0),VLOOKUP(T202,'Moms de Empt'!$P$3:$T$36,4,0)))</f>
        <v/>
      </c>
      <c r="AW210" s="635" t="str">
        <f>IF(AV210="","",IF(AV211="","",ROUND(AV210/(AV210+AV211),3)))</f>
        <v/>
      </c>
      <c r="AX210" s="633"/>
      <c r="AY210" s="635" t="str">
        <f>IF(AV211="","",IF(AV210="","",ROUND(AV211/(AV211+AV210),3)))</f>
        <v/>
      </c>
      <c r="AZ210" s="633"/>
      <c r="BA210" s="331" t="str">
        <f t="shared" si="314"/>
        <v/>
      </c>
      <c r="BC210" s="401"/>
      <c r="BD210" s="398"/>
      <c r="BE210" s="391"/>
      <c r="BF210" s="393"/>
      <c r="BG210" s="393"/>
      <c r="BH210" s="393"/>
      <c r="BI210" s="393"/>
      <c r="BJ210" s="393"/>
      <c r="BK210" s="28"/>
      <c r="BL210" s="395"/>
      <c r="BM210" s="395"/>
      <c r="BN210" s="395"/>
      <c r="BO210" s="395"/>
      <c r="BP210" s="395"/>
      <c r="BQ210" s="395"/>
      <c r="BR210" s="395"/>
      <c r="BS210" s="395"/>
      <c r="BT210" s="395"/>
      <c r="BU210" s="395"/>
      <c r="BV210" s="395"/>
      <c r="BW210" s="395"/>
      <c r="BX210" s="395"/>
      <c r="BY210" s="395"/>
      <c r="BZ210" s="395"/>
      <c r="CA210" s="395"/>
      <c r="CB210" s="395"/>
      <c r="CC210" s="395"/>
      <c r="CD210" s="395"/>
      <c r="CE210" s="395"/>
      <c r="CF210" s="395"/>
      <c r="CG210" s="395"/>
      <c r="CH210" s="395"/>
      <c r="CI210" s="395"/>
      <c r="CJ210" s="395"/>
      <c r="CK210" s="395"/>
      <c r="CL210" s="395"/>
    </row>
    <row r="211" spans="1:110" ht="21.75" customHeight="1" thickBot="1">
      <c r="A211" s="36" t="s">
        <v>66</v>
      </c>
      <c r="B211" s="273"/>
      <c r="C211" s="36"/>
      <c r="D211" s="672">
        <f>IF(E203="",0,IF(D210=0,IF(E210=0,MAX(ABS(D207),ABS(E207)),E210),MAX(ABS(D210),ABS(E210))))</f>
        <v>1.4655191999999999</v>
      </c>
      <c r="E211" s="674"/>
      <c r="F211" s="36"/>
      <c r="G211" s="672">
        <f>IF(H203="",0,IF(G210=0,IF(H210=0,MAX(ABS(G207),ABS(H207)),H210),MAX(ABS(G210),ABS(H210))))</f>
        <v>0</v>
      </c>
      <c r="H211" s="674"/>
      <c r="I211" s="36"/>
      <c r="J211" s="672">
        <f>IF(K203="",0,IF(J210=0,IF(K210=0,MAX(ABS(J207),ABS(K207)),K210),MAX(ABS(J210),ABS(K210))))</f>
        <v>0</v>
      </c>
      <c r="K211" s="674"/>
      <c r="L211" s="36"/>
      <c r="M211" s="672">
        <f>IF(N203="",0,IF(M210=0,IF(N210=0,MAX(ABS(M207),ABS(N207)),N210),MAX(ABS(M210),ABS(N210))))</f>
        <v>0</v>
      </c>
      <c r="N211" s="674"/>
      <c r="O211" s="36"/>
      <c r="P211" s="672">
        <f>IF(Q203="",0,IF(P210=0,IF(Q210=0,MAX(ABS(P207),ABS(Q207)),Q210),MAX(ABS(P210),ABS(Q210))))</f>
        <v>0</v>
      </c>
      <c r="Q211" s="674"/>
      <c r="R211" s="36"/>
      <c r="S211" s="672">
        <f>IF(T203="",0,IF(S210=0,IF(T210=0,MAX(ABS(S207),ABS(T207)),T210),MAX(ABS(S210),ABS(T210))))</f>
        <v>0</v>
      </c>
      <c r="T211" s="674"/>
      <c r="U211" s="265"/>
      <c r="V211" s="672">
        <f>IF(W203="",0,IF(V210=0,IF(W210=0,MAX(ABS(V207),ABS(W207)),W210),MAX(ABS(V210),ABS(W210))))</f>
        <v>0</v>
      </c>
      <c r="W211" s="674"/>
      <c r="X211" s="36"/>
      <c r="Y211" s="672">
        <f>IF(Z203="",0,IF(Y210=0,IF(Z210=0,MAX(ABS(Y207),ABS(Z207)),Z210),MAX(ABS(Y210),ABS(Z210))))</f>
        <v>0</v>
      </c>
      <c r="Z211" s="674"/>
      <c r="AA211" s="37"/>
      <c r="AB211" s="38"/>
      <c r="AD211" s="321" t="str">
        <f>+IF(AL202="","",AL202)</f>
        <v/>
      </c>
      <c r="AE211" s="324" t="str">
        <f>IF(W202="","",IF($K$2="X - X",VLOOKUP(W202,Espesor!$C$8:$E$41,2,0),VLOOKUP(W202,Espesor!$C$8:$E$41,3,0)))</f>
        <v/>
      </c>
      <c r="AF211" s="319" t="str">
        <f>IF(AD211="","",IF(LOOKUP(AD211,Espesor!$C$8:$C$41,Espesor!$K$8:$K$41)="en voladizo","",IF(AD212="",0.75/AE211,1/AE211)))</f>
        <v/>
      </c>
      <c r="AG211" s="634"/>
      <c r="AH211" s="634" t="str">
        <f>IF(AF211="","",IF(AF212="","",ROUND(AF211/(AF211+AF212),3)))</f>
        <v/>
      </c>
      <c r="AI211" s="634"/>
      <c r="AJ211" s="634" t="str">
        <f>IF(AF211="","",IF(AF212="","",ROUND(AF212/(AF211+AF212),3)))</f>
        <v/>
      </c>
      <c r="AK211" s="317">
        <f>IF(I177="",0,IF($K$2="X - X",VLOOKUP(I177,'Moms de Empt'!$P$3:$T$36,3,0),VLOOKUP(I177,'Moms de Empt'!$P$3:$T$36,5,0)))</f>
        <v>0</v>
      </c>
      <c r="AL211" s="317">
        <f t="shared" ref="AL211:AL212" si="350">+IF(AD212="",0,-AK211)</f>
        <v>0</v>
      </c>
      <c r="AM211" s="629"/>
      <c r="AN211" s="629">
        <f>IF(AD212="",0,IF(LOOKUP(AD212,Espesor!$C$8:$C$41,Espesor!$K$8:$K$41)="en voladizo",MAX(ABS(AL211),ABS(AK212)),-(AK212+AL211)))</f>
        <v>0</v>
      </c>
      <c r="AO211" s="630"/>
      <c r="AP211" s="630" t="str">
        <f t="shared" ref="AP211" si="351">IF(AH211="","",AN211*AH211)</f>
        <v/>
      </c>
      <c r="AQ211" s="630"/>
      <c r="AR211" s="630" t="str">
        <f t="shared" ref="AR211" si="352">IF(AJ211="","",AN211*AJ211)</f>
        <v/>
      </c>
      <c r="AS211" s="632"/>
      <c r="AT211" s="631">
        <f t="shared" ref="AT211" si="353">-IF(AN211="","",IF(AL211="",IF(AP211="",0,AP211),IF(AP211="",AL211,AL211+AP211)))</f>
        <v>0</v>
      </c>
      <c r="AU211" s="341">
        <f>+AT211</f>
        <v>0</v>
      </c>
      <c r="AV211" s="332" t="str">
        <f>IF(W202="","",IF(L177="X - X",VLOOKUP(W202,'Moms de Empt'!$P$3:$T$36,2,0),VLOOKUP(W202,'Moms de Empt'!$P$3:$T$36,4,0)))</f>
        <v/>
      </c>
      <c r="AW211" s="635"/>
      <c r="AX211" s="633" t="str">
        <f>IF(AV211="","",IF(AV212="","",ROUND(AV211/(AV211+AV212),3)))</f>
        <v/>
      </c>
      <c r="AY211" s="635"/>
      <c r="AZ211" s="633" t="str">
        <f>IF(AV211="","",IF(AV212="","",ROUND(AV212/(AV211+AV212),3)))</f>
        <v/>
      </c>
      <c r="BA211" s="331" t="str">
        <f t="shared" si="314"/>
        <v/>
      </c>
      <c r="BC211" s="401"/>
      <c r="BD211" s="398"/>
      <c r="BE211" s="391"/>
      <c r="BF211" s="393"/>
      <c r="BG211" s="393"/>
      <c r="BH211" s="393"/>
      <c r="BI211" s="393"/>
      <c r="BJ211" s="393"/>
      <c r="BK211" s="28"/>
    </row>
    <row r="212" spans="1:110" ht="21.75" customHeight="1" thickBot="1">
      <c r="A212" s="36"/>
      <c r="B212" s="274"/>
      <c r="C212" s="36"/>
      <c r="D212" s="690">
        <f>IF(D211="","",D211*100000)</f>
        <v>146551.91999999998</v>
      </c>
      <c r="E212" s="690"/>
      <c r="F212" s="36"/>
      <c r="G212" s="690">
        <f>IF(G211="","",G211*100000)</f>
        <v>0</v>
      </c>
      <c r="H212" s="690"/>
      <c r="I212" s="388"/>
      <c r="J212" s="690">
        <f>IF(J211="","",J211*100000)</f>
        <v>0</v>
      </c>
      <c r="K212" s="690"/>
      <c r="L212" s="388"/>
      <c r="M212" s="690">
        <f>IF(M211="","",M211*100000)</f>
        <v>0</v>
      </c>
      <c r="N212" s="690"/>
      <c r="O212" s="388"/>
      <c r="P212" s="690">
        <f>IF(P211="","",P211*100000)</f>
        <v>0</v>
      </c>
      <c r="Q212" s="690"/>
      <c r="R212" s="388"/>
      <c r="S212" s="690">
        <f>IF(S211="","",S211*100000)</f>
        <v>0</v>
      </c>
      <c r="T212" s="690"/>
      <c r="U212" s="387"/>
      <c r="V212" s="690">
        <f>IF(V211="","",V211*100000)</f>
        <v>0</v>
      </c>
      <c r="W212" s="690"/>
      <c r="X212" s="388"/>
      <c r="Y212" s="690">
        <f>IF(Y211="","",Y211*100000)</f>
        <v>0</v>
      </c>
      <c r="Z212" s="690"/>
      <c r="AA212" s="37"/>
      <c r="AB212" s="275"/>
      <c r="AD212" s="321" t="str">
        <f>+IF(AM202="","",AM202)</f>
        <v/>
      </c>
      <c r="AE212" s="324" t="str">
        <f>IF(Z202="","",IF($K$2="X - X",VLOOKUP(Z202,Espesor!$C$8:$E$41,2,0),VLOOKUP(Z202,Espesor!$C$8:$E$41,3,0)))</f>
        <v/>
      </c>
      <c r="AF212" s="319" t="str">
        <f>IF(AD212="","",IF(LOOKUP(AD212,Espesor!$C$8:$C$41,Espesor!$K$8:$K$41)="en voladizo","",IF(AD213="",0.75/AE212,1/AE212)))</f>
        <v/>
      </c>
      <c r="AG212" s="344" t="str">
        <f>IF(AF212="","",IF(AK186="","",ROUND(AF212/(AF212+AK186),3)))</f>
        <v/>
      </c>
      <c r="AH212" s="634"/>
      <c r="AI212" s="344" t="str">
        <f>IF(AK186="","",IF(AF212="","",ROUND(AK186/(AK186+AF212),3)))</f>
        <v/>
      </c>
      <c r="AJ212" s="634"/>
      <c r="AK212" s="317">
        <f>IF(J177="",0,IF($K$2="X - X",VLOOKUP(J177,'Moms de Empt'!$P$3:$T$36,3,0),VLOOKUP(J177,'Moms de Empt'!$P$3:$T$36,5,0)))</f>
        <v>0</v>
      </c>
      <c r="AL212" s="317">
        <f t="shared" si="350"/>
        <v>0</v>
      </c>
      <c r="AM212" s="307" t="str">
        <f>IF(AI186="","",IF(LOOKUP(AI186,[6]Espesor!$C$8:$C$41,[6]Espesor!$K$8:$K$41)="en voladizo",MAX(ABS(AL212),ABS(AQ186)),-(AQ186-AL212)))</f>
        <v/>
      </c>
      <c r="AN212" s="629"/>
      <c r="AO212" s="340" t="str">
        <f t="shared" ref="AO212" si="354">IF(AG212="","",AM212*AG212)</f>
        <v/>
      </c>
      <c r="AP212" s="630"/>
      <c r="AQ212" s="315" t="str">
        <f t="shared" ref="AQ212" si="355">IF(AI212="","",AM212*AI212)</f>
        <v/>
      </c>
      <c r="AR212" s="630"/>
      <c r="AS212" s="312" t="str">
        <f t="shared" ref="AS212" si="356">IF(AM212="","",IF(AL212="",IF(AO212="",0,AO212),IF(AO212="",AL212,AL212+AO212)))</f>
        <v/>
      </c>
      <c r="AT212" s="632"/>
      <c r="AU212" s="341"/>
      <c r="AV212" s="333" t="str">
        <f>IF(Z202="","",IF(L177="X - X",VLOOKUP(Z202,'Moms de Empt'!$P$3:$T$36,2,0),VLOOKUP(Z202,'Moms de Empt'!$P$3:$T$36,4,0)))</f>
        <v/>
      </c>
      <c r="AW212" s="337" t="str">
        <f>IF(AV212="","",IF(BA186="","",ROUND(AV212/(AV212+BA186),3)))</f>
        <v/>
      </c>
      <c r="AX212" s="633"/>
      <c r="AY212" s="337" t="str">
        <f>IF(BA186="","",IF(AV212="","",ROUND(BA186/(BA186+AV212),3)))</f>
        <v/>
      </c>
      <c r="AZ212" s="633"/>
      <c r="BA212" s="331"/>
      <c r="BC212" s="401"/>
      <c r="BD212" s="398"/>
      <c r="BE212" s="391"/>
      <c r="BF212" s="278"/>
      <c r="BG212" s="278"/>
      <c r="BH212" s="278"/>
      <c r="BI212" s="278"/>
      <c r="BJ212" s="278"/>
      <c r="BK212" s="28"/>
    </row>
    <row r="213" spans="1:110" ht="21.75" customHeight="1" thickBot="1">
      <c r="A213" s="304" t="s">
        <v>148</v>
      </c>
      <c r="B213" s="675">
        <f>+IF(B203="","",VLOOKUP(B203,'Moms de Empt'!$P$3:$T$36,4,0))</f>
        <v>0.27039999999999997</v>
      </c>
      <c r="C213" s="676"/>
      <c r="D213" s="677"/>
      <c r="E213" s="675">
        <f>+IF(E203="","",VLOOKUP(E203,'Moms de Empt'!$P$3:$T$36,4,0))</f>
        <v>1.1341000000000001</v>
      </c>
      <c r="F213" s="676"/>
      <c r="G213" s="677"/>
      <c r="H213" s="675" t="str">
        <f>+IF(H203="","",VLOOKUP(H203,'Moms de Empt'!$P$3:$T$36,4,0))</f>
        <v/>
      </c>
      <c r="I213" s="676"/>
      <c r="J213" s="677"/>
      <c r="K213" s="675" t="str">
        <f>+IF(K203="","",VLOOKUP(K203,'Moms de Empt'!$P$3:$T$36,4,0))</f>
        <v/>
      </c>
      <c r="L213" s="676"/>
      <c r="M213" s="677"/>
      <c r="N213" s="675" t="str">
        <f>+IF(N203="","",VLOOKUP(N203,'Moms de Empt'!$P$3:$T$36,4,0))</f>
        <v/>
      </c>
      <c r="O213" s="676"/>
      <c r="P213" s="677"/>
      <c r="Q213" s="675" t="str">
        <f>+IF(Q203="","",VLOOKUP(Q203,'Moms de Empt'!$P$3:$T$36,4,0))</f>
        <v/>
      </c>
      <c r="R213" s="676"/>
      <c r="S213" s="677"/>
      <c r="T213" s="675" t="str">
        <f>+IF(T203="","",VLOOKUP(T203,'Moms de Empt'!$P$3:$T$36,4,0))</f>
        <v/>
      </c>
      <c r="U213" s="676"/>
      <c r="V213" s="677"/>
      <c r="W213" s="675" t="str">
        <f>+IF(W203="","",VLOOKUP(W203,'Moms de Empt'!$P$3:$T$36,4,0))</f>
        <v/>
      </c>
      <c r="X213" s="676"/>
      <c r="Y213" s="677"/>
      <c r="Z213" s="675" t="str">
        <f>+IF(Z203="","",VLOOKUP(Z203,'Moms de Empt'!$P$3:$T$36,4,0))</f>
        <v/>
      </c>
      <c r="AA213" s="676"/>
      <c r="AB213" s="677"/>
      <c r="AD213" s="210"/>
      <c r="AE213" s="210"/>
      <c r="AF213" s="210"/>
      <c r="AG213" s="210"/>
      <c r="AH213" s="210"/>
      <c r="AI213" s="210"/>
      <c r="AJ213" s="210"/>
      <c r="AK213" s="40"/>
      <c r="AL213" s="210"/>
      <c r="AM213" s="40"/>
      <c r="AN213" s="40"/>
      <c r="AO213" s="40"/>
      <c r="AP213" s="40"/>
      <c r="AQ213" s="40"/>
      <c r="AR213" s="40"/>
      <c r="AS213" s="40"/>
      <c r="AT213" s="40"/>
      <c r="AU213" s="210"/>
      <c r="AV213" s="210"/>
      <c r="AW213" s="210"/>
      <c r="AX213" s="210"/>
      <c r="AY213" s="210"/>
      <c r="AZ213" s="210"/>
      <c r="BA213" s="210"/>
      <c r="BC213" s="401"/>
      <c r="BD213" s="398"/>
      <c r="BE213" s="391"/>
      <c r="BK213" s="28"/>
    </row>
    <row r="214" spans="1:110" ht="21.75" customHeight="1" thickBot="1">
      <c r="A214" s="258"/>
      <c r="B214" s="209"/>
      <c r="C214" s="209"/>
      <c r="D214" s="209">
        <f>IF(B205="","",IF(D207="","",IF(ABS(D211)&gt;ABS(D207),-0.5*ABS(D209),0.5*ABS(D209))))</f>
        <v>-2.8659600000000035E-2</v>
      </c>
      <c r="E214" s="209">
        <f>IF(E205="","",IF(E207="","",IF(ABS(D211)&gt;ABS(E207),-0.5*ABS(E209),0.5*ABS(E209))))</f>
        <v>1.3240400000000015E-2</v>
      </c>
      <c r="F214" s="209"/>
      <c r="G214" s="209">
        <f>IF(E205="","",IF(G207="","",IF(ABS(G211)&gt;ABS(G207),-0.5*ABS(G209),0.5*ABS(G209))))</f>
        <v>0</v>
      </c>
      <c r="H214" s="209" t="str">
        <f>IF(H205="","",IF(H207="","",IF(ABS(G211)&gt;ABS(H207),-0.5*ABS(H209),0.5*ABS(H209))))</f>
        <v/>
      </c>
      <c r="I214" s="209"/>
      <c r="J214" s="209" t="str">
        <f>IF(H205="","",IF(J207="","",IF(ABS(J211)&gt;ABS(J207),-0.5*ABS(J209),0.5*ABS(J209))))</f>
        <v/>
      </c>
      <c r="K214" s="209" t="str">
        <f>IF(K205="","",IF(K207="","",IF(ABS(J211)&gt;ABS(K207),-0.5*ABS(K209),0.5*ABS(K209))))</f>
        <v/>
      </c>
      <c r="L214" s="209"/>
      <c r="M214" s="209" t="str">
        <f>IF(K205="","",IF(M207="","",IF(ABS(M211)&gt;ABS(M207),-0.5*ABS(M209),0.5*ABS(M209))))</f>
        <v/>
      </c>
      <c r="N214" s="209" t="str">
        <f>IF(N205="","",IF(N207="","",IF(ABS(M211)&gt;ABS(N207),-0.5*ABS(N209),0.5*ABS(N209))))</f>
        <v/>
      </c>
      <c r="O214" s="209"/>
      <c r="P214" s="209" t="str">
        <f>IF(N205="","",IF(P207="","",IF(ABS(P211)&gt;ABS(P207),-0.5*ABS(P209),0.5*ABS(P209))))</f>
        <v/>
      </c>
      <c r="Q214" s="209" t="str">
        <f>IF(Q205="","",IF(Q207="","",IF(ABS(P211)&gt;ABS(Q207),-0.5*ABS(Q209),0.5*ABS(Q209))))</f>
        <v/>
      </c>
      <c r="R214" s="209"/>
      <c r="S214" s="209" t="str">
        <f>IF(Q205="","",IF(S207="","",IF(ABS(S211)&gt;ABS(S207),-0.5*ABS(S209),0.5*ABS(S209))))</f>
        <v/>
      </c>
      <c r="T214" s="209" t="str">
        <f>IF(T205="","",IF(T207="","",IF(ABS(S211)&gt;ABS(T207),-0.5*ABS(T209),0.5*ABS(T209))))</f>
        <v/>
      </c>
      <c r="U214" s="209"/>
      <c r="V214" s="209" t="str">
        <f>IF(T205="","",IF(V207="","",IF(ABS(V211)&gt;ABS(V207),-0.5*ABS(V209),0.5*ABS(V209))))</f>
        <v/>
      </c>
      <c r="W214" s="209" t="str">
        <f>IF(W205="","",IF(W207="","",IF(ABS(V211)&gt;ABS(W207),-0.5*ABS(W209),0.5*ABS(W209))))</f>
        <v/>
      </c>
      <c r="X214" s="209"/>
      <c r="Y214" s="209" t="str">
        <f>IF(W205="","",IF(Y207="","",IF(ABS(Y211)&gt;ABS(Y207),-0.5*ABS(Y209),0.5*ABS(Y209))))</f>
        <v/>
      </c>
      <c r="Z214" s="209" t="str">
        <f>IF(Z205="","",IF(Z207="","",IF(ABS(Y211)&gt;ABS(Z207),-0.5*ABS(Z209),0.5*ABS(Z209))))</f>
        <v/>
      </c>
      <c r="AA214" s="209"/>
      <c r="AB214" s="209" t="str">
        <f>IF(Z205="","",IF(AB207="","",IF(AB211&gt;-AB207,IF(AB209&lt;0,0.5*AB209,-0.5*AB209),0.5*AB209)))</f>
        <v/>
      </c>
      <c r="AD214" s="260"/>
      <c r="AE214" s="260"/>
      <c r="AF214" s="260"/>
      <c r="AG214" s="260"/>
      <c r="AH214" s="260"/>
      <c r="AI214" s="260"/>
      <c r="AJ214" s="260"/>
      <c r="AK214" s="39"/>
      <c r="AL214" s="39"/>
      <c r="AM214" s="260"/>
      <c r="AN214" s="260"/>
      <c r="AO214" s="39"/>
      <c r="AP214" s="39"/>
      <c r="AQ214" s="39"/>
      <c r="AR214" s="39"/>
      <c r="AS214" s="260"/>
      <c r="AT214" s="260"/>
      <c r="AU214" s="260"/>
      <c r="AV214" s="260"/>
      <c r="AW214" s="260"/>
      <c r="AX214" s="260"/>
      <c r="AY214" s="260"/>
      <c r="AZ214" s="260"/>
      <c r="BA214" s="260"/>
      <c r="BC214" s="401"/>
      <c r="BD214" s="398"/>
      <c r="BE214" s="391"/>
      <c r="BF214" s="395"/>
      <c r="BG214" s="395"/>
      <c r="BH214" s="395"/>
      <c r="BI214" s="395"/>
      <c r="BJ214" s="395"/>
      <c r="BK214" s="395"/>
      <c r="BL214" s="395"/>
      <c r="BM214" s="395"/>
      <c r="BN214" s="28"/>
    </row>
    <row r="215" spans="1:110" ht="21.75" customHeight="1" thickBot="1">
      <c r="A215" s="259" t="s">
        <v>128</v>
      </c>
      <c r="B215" s="672">
        <f>IF(B214="",IF(D214="",B213,B213+D214),IF(D214="",B213+B214,B213+B214+D214))</f>
        <v>0.24174039999999994</v>
      </c>
      <c r="C215" s="673"/>
      <c r="D215" s="674"/>
      <c r="E215" s="672">
        <f>IF(E214="",IF(G214="",E213,E213+G214),IF(G214="",E213+E214,E213+E214+G214))</f>
        <v>1.1473404</v>
      </c>
      <c r="F215" s="673"/>
      <c r="G215" s="674"/>
      <c r="H215" s="672" t="str">
        <f>IF(H214="",IF(J214="",H213,H213+J214),IF(J214="",H213+H214,H213+H214+J214))</f>
        <v/>
      </c>
      <c r="I215" s="673"/>
      <c r="J215" s="674"/>
      <c r="K215" s="672" t="str">
        <f>IF(K214="",IF(M214="",K213,K213+M214),IF(M214="",K213+K214,K213+K214+M214))</f>
        <v/>
      </c>
      <c r="L215" s="673"/>
      <c r="M215" s="674"/>
      <c r="N215" s="672" t="str">
        <f>IF(N214="",IF(P214="",N213,N213+P214),IF(P214="",N213+N214,N213+N214+P214))</f>
        <v/>
      </c>
      <c r="O215" s="673"/>
      <c r="P215" s="674"/>
      <c r="Q215" s="672" t="str">
        <f>IF(Q214="",IF(S214="",Q213,Q213+S214),IF(S214="",Q213+Q214,Q213+Q214+S214))</f>
        <v/>
      </c>
      <c r="R215" s="673"/>
      <c r="S215" s="674"/>
      <c r="T215" s="672" t="str">
        <f>IF(T214="",IF(V214="",T213,T213+V214),IF(V214="",T213+T214,T213+T214+V214))</f>
        <v/>
      </c>
      <c r="U215" s="673"/>
      <c r="V215" s="674"/>
      <c r="W215" s="672" t="str">
        <f>IF(W214="",IF(Y214="",W213,W213+Y214),IF(Y214="",W213+W214,W213+W214+Y214))</f>
        <v/>
      </c>
      <c r="X215" s="673"/>
      <c r="Y215" s="674"/>
      <c r="Z215" s="672" t="str">
        <f>IF(Z214="",IF(AB214="",Z213,Z213+AB214),IF(AB214="",Z213+Z214,Z213+Z214+AB214))</f>
        <v/>
      </c>
      <c r="AA215" s="673"/>
      <c r="AB215" s="674"/>
      <c r="BC215" s="401"/>
      <c r="BD215" s="398"/>
      <c r="BE215" s="391"/>
      <c r="BN215" s="28"/>
    </row>
    <row r="216" spans="1:110" ht="21.75" customHeight="1">
      <c r="L216" s="421"/>
      <c r="BC216" s="401"/>
      <c r="BD216" s="398"/>
      <c r="BE216" s="391"/>
      <c r="BN216" s="28"/>
    </row>
    <row r="217" spans="1:110" s="291" customFormat="1" ht="21.75" customHeight="1">
      <c r="AD217" s="263"/>
      <c r="AE217" s="263"/>
      <c r="AF217" s="263"/>
      <c r="AG217" s="263"/>
      <c r="AH217" s="263"/>
      <c r="AI217" s="263"/>
      <c r="AJ217" s="263"/>
      <c r="AK217" s="263"/>
      <c r="AL217" s="263"/>
      <c r="AM217" s="263"/>
      <c r="AN217" s="263"/>
      <c r="AO217" s="263"/>
      <c r="AP217" s="263"/>
      <c r="AQ217" s="263"/>
      <c r="AR217" s="263"/>
      <c r="AS217" s="263"/>
      <c r="AT217" s="263"/>
      <c r="AU217" s="263"/>
      <c r="AV217" s="263"/>
      <c r="AW217" s="263"/>
      <c r="AX217" s="263"/>
      <c r="AY217" s="263"/>
      <c r="AZ217" s="263"/>
      <c r="BA217" s="263"/>
      <c r="BB217" s="27"/>
      <c r="BC217" s="401"/>
      <c r="BD217" s="398"/>
      <c r="BE217" s="391"/>
      <c r="BF217" s="396"/>
      <c r="BG217" s="396"/>
      <c r="BH217" s="396"/>
      <c r="BI217" s="396"/>
      <c r="BJ217" s="396"/>
      <c r="BK217" s="396"/>
      <c r="BL217" s="396"/>
      <c r="BM217" s="396"/>
      <c r="BN217" s="28"/>
      <c r="BO217" s="396"/>
      <c r="BP217" s="396"/>
      <c r="BQ217" s="396"/>
      <c r="BR217" s="396"/>
      <c r="BS217" s="396"/>
      <c r="BT217" s="396"/>
      <c r="BU217" s="396"/>
      <c r="BV217" s="396"/>
      <c r="BW217" s="396"/>
      <c r="BX217" s="396"/>
      <c r="BY217" s="396"/>
      <c r="BZ217" s="396"/>
      <c r="CA217" s="396"/>
      <c r="CB217" s="396"/>
      <c r="CC217" s="396"/>
      <c r="CD217" s="396"/>
      <c r="CE217" s="396"/>
      <c r="CF217" s="396"/>
      <c r="CG217" s="396"/>
      <c r="CH217" s="396"/>
      <c r="CI217" s="396"/>
      <c r="CJ217" s="396"/>
      <c r="CK217" s="396"/>
      <c r="CL217" s="396"/>
      <c r="CM217" s="431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</row>
    <row r="218" spans="1:110" s="291" customFormat="1" ht="21.75" customHeight="1" thickBot="1">
      <c r="A218" s="626">
        <f>A14</f>
        <v>2</v>
      </c>
      <c r="B218" s="626"/>
      <c r="C218" s="626"/>
      <c r="D218" s="626"/>
      <c r="E218" s="626"/>
      <c r="J218" s="628" t="s">
        <v>134</v>
      </c>
      <c r="K218" s="628"/>
      <c r="L218" s="271" t="str">
        <f>+K14</f>
        <v>Y - Y</v>
      </c>
      <c r="M218" s="262"/>
      <c r="N218" s="404"/>
      <c r="O218" s="402"/>
      <c r="P218" s="262"/>
      <c r="Q218" s="263"/>
      <c r="R218" s="263"/>
      <c r="S218" s="263"/>
      <c r="T218" s="263"/>
      <c r="U218" s="263"/>
      <c r="V218" s="263"/>
      <c r="W218" s="263"/>
      <c r="X218" s="263"/>
      <c r="Y218" s="263"/>
      <c r="Z218" s="263"/>
      <c r="AA218" s="263"/>
      <c r="AB218" s="263"/>
      <c r="AD218" s="263"/>
      <c r="AE218" s="263"/>
      <c r="AF218" s="263"/>
      <c r="AG218" s="263"/>
      <c r="AH218" s="263"/>
      <c r="AI218" s="263"/>
      <c r="AJ218" s="263"/>
      <c r="AK218" s="263"/>
      <c r="AL218" s="263"/>
      <c r="AM218" s="263"/>
      <c r="AN218" s="263"/>
      <c r="AO218" s="263"/>
      <c r="AP218" s="263"/>
      <c r="AQ218" s="263"/>
      <c r="AR218" s="263"/>
      <c r="AS218" s="263"/>
      <c r="AT218" s="263"/>
      <c r="AU218" s="263"/>
      <c r="AV218" s="263"/>
      <c r="AW218" s="263"/>
      <c r="AX218" s="263"/>
      <c r="AY218" s="263"/>
      <c r="AZ218" s="263"/>
      <c r="BA218" s="263"/>
      <c r="BC218" s="401"/>
      <c r="BD218" s="398"/>
      <c r="BE218" s="391"/>
      <c r="BF218" s="396"/>
      <c r="BG218" s="396"/>
      <c r="BH218" s="396"/>
      <c r="BI218" s="396"/>
      <c r="BJ218" s="396"/>
      <c r="BK218" s="396"/>
      <c r="BL218" s="396"/>
      <c r="BM218" s="396"/>
      <c r="BN218" s="28"/>
      <c r="BO218" s="396"/>
      <c r="BP218" s="396"/>
      <c r="BQ218" s="396"/>
      <c r="BR218" s="396"/>
      <c r="BS218" s="396"/>
      <c r="BT218" s="396"/>
      <c r="BU218" s="396"/>
      <c r="BV218" s="396"/>
      <c r="BW218" s="396"/>
      <c r="BX218" s="396"/>
      <c r="BY218" s="396"/>
      <c r="BZ218" s="396"/>
      <c r="CA218" s="396"/>
      <c r="CB218" s="396"/>
      <c r="CC218" s="396"/>
      <c r="CD218" s="396"/>
      <c r="CE218" s="396"/>
      <c r="CF218" s="396"/>
      <c r="CG218" s="396"/>
      <c r="CH218" s="396"/>
      <c r="CI218" s="396"/>
      <c r="CJ218" s="396"/>
      <c r="CK218" s="396"/>
      <c r="CL218" s="396"/>
      <c r="CM218" s="431"/>
      <c r="CN218" s="27"/>
    </row>
    <row r="219" spans="1:110" s="291" customFormat="1" ht="21.75" customHeight="1" thickTop="1">
      <c r="A219" s="686" t="str">
        <f>+Espesor!$J$3</f>
        <v>Techo</v>
      </c>
      <c r="B219" s="686"/>
      <c r="C219" s="687" t="s">
        <v>136</v>
      </c>
      <c r="D219" s="687"/>
      <c r="E219" s="264">
        <f>IF(B14="","",B14)</f>
        <v>2</v>
      </c>
      <c r="F219" s="264">
        <f t="shared" ref="F219:L219" si="357">IF(C14="","",C14)</f>
        <v>4</v>
      </c>
      <c r="G219" s="264">
        <f>IF(D14="","",D14)</f>
        <v>6</v>
      </c>
      <c r="H219" s="264">
        <f t="shared" si="357"/>
        <v>7</v>
      </c>
      <c r="I219" s="264" t="str">
        <f t="shared" si="357"/>
        <v/>
      </c>
      <c r="J219" s="264" t="str">
        <f t="shared" si="357"/>
        <v/>
      </c>
      <c r="K219" s="264" t="str">
        <f t="shared" si="357"/>
        <v/>
      </c>
      <c r="L219" s="264" t="str">
        <f t="shared" si="357"/>
        <v/>
      </c>
      <c r="M219" s="264" t="str">
        <f>IF(J14="","",J14)</f>
        <v/>
      </c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  <c r="AA219" s="264"/>
      <c r="AB219" s="263"/>
      <c r="AD219" s="624" t="s">
        <v>64</v>
      </c>
      <c r="AE219" s="624"/>
      <c r="AF219" s="624"/>
      <c r="AG219" s="624"/>
      <c r="AH219" s="624"/>
      <c r="AI219" s="624"/>
      <c r="AJ219" s="624"/>
      <c r="AK219" s="624"/>
      <c r="AL219" s="624"/>
      <c r="BC219" s="401"/>
      <c r="BD219" s="398"/>
      <c r="BE219" s="391"/>
      <c r="BF219" s="396"/>
      <c r="BG219" s="396"/>
      <c r="BH219" s="396"/>
      <c r="BI219" s="396"/>
      <c r="BJ219" s="396"/>
      <c r="BK219" s="396"/>
      <c r="BL219" s="396"/>
      <c r="BM219" s="396"/>
      <c r="BN219" s="28"/>
      <c r="BO219" s="396"/>
      <c r="BP219" s="396"/>
      <c r="BQ219" s="396"/>
      <c r="BR219" s="396"/>
      <c r="BS219" s="396"/>
      <c r="BT219" s="396"/>
      <c r="BU219" s="396"/>
      <c r="BV219" s="396"/>
      <c r="BW219" s="396"/>
      <c r="BX219" s="396"/>
      <c r="BY219" s="396"/>
      <c r="BZ219" s="396"/>
      <c r="CA219" s="396"/>
      <c r="CB219" s="396"/>
      <c r="CC219" s="396"/>
      <c r="CD219" s="396"/>
      <c r="CE219" s="396"/>
      <c r="CF219" s="396"/>
      <c r="CG219" s="396"/>
      <c r="CH219" s="396"/>
      <c r="CI219" s="396"/>
      <c r="CJ219" s="396"/>
      <c r="CK219" s="396"/>
      <c r="CL219" s="396"/>
      <c r="CM219" s="431"/>
    </row>
    <row r="220" spans="1:110" s="291" customFormat="1" ht="21.75" customHeight="1" thickBot="1">
      <c r="A220" s="403"/>
      <c r="B220" s="403"/>
      <c r="C220" s="289"/>
      <c r="D220" s="289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  <c r="AA220" s="264"/>
      <c r="AB220" s="263"/>
      <c r="AD220" s="361" t="str">
        <f>+A195</f>
        <v>M+ =</v>
      </c>
      <c r="AE220" s="325" t="str">
        <f>+IF(B195="","",B195)</f>
        <v/>
      </c>
      <c r="AF220" s="325" t="str">
        <f>+IF(C195="","",C195)</f>
        <v/>
      </c>
      <c r="AG220" s="325" t="str">
        <f t="shared" ref="AG220" si="358">+IF(D195="","",D195)</f>
        <v/>
      </c>
      <c r="AH220" s="325" t="str">
        <f t="shared" ref="AH220" si="359">+IF(E195="","",E195)</f>
        <v/>
      </c>
      <c r="AI220" s="325" t="str">
        <f t="shared" ref="AI220" si="360">+IF(F195="","",F195)</f>
        <v/>
      </c>
      <c r="AJ220" s="325" t="str">
        <f t="shared" ref="AJ220" si="361">+IF(G195="","",G195)</f>
        <v/>
      </c>
      <c r="AK220" s="325" t="str">
        <f t="shared" ref="AK220" si="362">+IF(H195="","",H195)</f>
        <v/>
      </c>
      <c r="AL220" s="325" t="str">
        <f t="shared" ref="AL220" si="363">+IF(I195="","",I195)</f>
        <v/>
      </c>
      <c r="AM220" s="325" t="str">
        <f t="shared" ref="AM220" si="364">+IF(J195="","",J195)</f>
        <v/>
      </c>
      <c r="AN220" s="360"/>
      <c r="AO220" s="360"/>
      <c r="AP220" s="360"/>
      <c r="AQ220" s="360"/>
      <c r="AR220" s="360"/>
      <c r="AS220" s="360"/>
      <c r="AT220" s="360"/>
      <c r="AU220" s="360"/>
      <c r="AV220" s="360"/>
      <c r="AW220" s="360"/>
      <c r="AX220" s="360"/>
      <c r="AY220" s="360"/>
      <c r="AZ220" s="360"/>
      <c r="BA220" s="360"/>
      <c r="BC220" s="401"/>
      <c r="BD220" s="398"/>
      <c r="BE220" s="391"/>
      <c r="BF220" s="396"/>
      <c r="BG220" s="396"/>
      <c r="BH220" s="396"/>
      <c r="BI220" s="396"/>
      <c r="BJ220" s="396"/>
      <c r="BK220" s="396"/>
      <c r="BL220" s="396"/>
      <c r="BM220" s="396"/>
      <c r="BN220" s="28"/>
      <c r="BO220" s="396"/>
      <c r="BP220" s="396"/>
      <c r="BQ220" s="396"/>
      <c r="BR220" s="396"/>
      <c r="BS220" s="396"/>
      <c r="BT220" s="396"/>
      <c r="BU220" s="396"/>
      <c r="BV220" s="396"/>
      <c r="BW220" s="396"/>
      <c r="BX220" s="396"/>
      <c r="BY220" s="396"/>
      <c r="BZ220" s="396"/>
      <c r="CA220" s="396"/>
      <c r="CB220" s="396"/>
      <c r="CC220" s="396"/>
      <c r="CD220" s="396"/>
      <c r="CE220" s="396"/>
      <c r="CF220" s="396"/>
      <c r="CG220" s="396"/>
      <c r="CH220" s="396"/>
      <c r="CI220" s="396"/>
      <c r="CJ220" s="396"/>
      <c r="CK220" s="396"/>
      <c r="CL220" s="396"/>
      <c r="CM220" s="431"/>
    </row>
    <row r="221" spans="1:110" s="291" customFormat="1" ht="21.75" customHeight="1" thickBot="1">
      <c r="A221" s="360"/>
      <c r="B221" s="682">
        <f>IF($E219="","",$E219)</f>
        <v>2</v>
      </c>
      <c r="C221" s="682"/>
      <c r="D221" s="682"/>
      <c r="E221" s="682">
        <f>IF($F219="","",$F219)</f>
        <v>4</v>
      </c>
      <c r="F221" s="682"/>
      <c r="G221" s="682"/>
      <c r="H221" s="682">
        <f>IF($G219="","",$G219)</f>
        <v>6</v>
      </c>
      <c r="I221" s="682"/>
      <c r="J221" s="682"/>
      <c r="K221" s="682">
        <f>IF($H219="","",$H219)</f>
        <v>7</v>
      </c>
      <c r="L221" s="682"/>
      <c r="M221" s="682"/>
      <c r="N221" s="682" t="str">
        <f>IF($I219="","",$I219)</f>
        <v/>
      </c>
      <c r="O221" s="682"/>
      <c r="P221" s="682"/>
      <c r="Q221" s="682" t="str">
        <f>IF($J219="","",$J219)</f>
        <v/>
      </c>
      <c r="R221" s="682"/>
      <c r="S221" s="682"/>
      <c r="T221" s="682" t="str">
        <f>IF($K219="","",$K219)</f>
        <v/>
      </c>
      <c r="U221" s="682"/>
      <c r="V221" s="682"/>
      <c r="W221" s="682" t="str">
        <f>IF($L219="","",$L219)</f>
        <v/>
      </c>
      <c r="X221" s="682"/>
      <c r="Y221" s="682"/>
      <c r="Z221" s="682" t="str">
        <f>IF($M219="","",$M219)</f>
        <v/>
      </c>
      <c r="AA221" s="682"/>
      <c r="AB221" s="682"/>
      <c r="AD221" s="362" t="s">
        <v>4</v>
      </c>
      <c r="AE221" s="363" t="s">
        <v>3</v>
      </c>
      <c r="AF221" s="364" t="s">
        <v>138</v>
      </c>
      <c r="AG221" s="659" t="s">
        <v>139</v>
      </c>
      <c r="AH221" s="660"/>
      <c r="AI221" s="660"/>
      <c r="AJ221" s="661"/>
      <c r="AK221" s="662" t="s">
        <v>142</v>
      </c>
      <c r="AL221" s="663"/>
      <c r="AM221" s="659" t="s">
        <v>143</v>
      </c>
      <c r="AN221" s="661"/>
      <c r="AO221" s="659" t="s">
        <v>144</v>
      </c>
      <c r="AP221" s="660"/>
      <c r="AQ221" s="660"/>
      <c r="AR221" s="661"/>
      <c r="AS221" s="659" t="s">
        <v>145</v>
      </c>
      <c r="AT221" s="660"/>
      <c r="AU221" s="661"/>
      <c r="AV221" s="664" t="s">
        <v>157</v>
      </c>
      <c r="AW221" s="665"/>
      <c r="AX221" s="665"/>
      <c r="AY221" s="665"/>
      <c r="AZ221" s="665"/>
      <c r="BA221" s="666"/>
      <c r="BC221" s="401"/>
      <c r="BD221" s="398"/>
      <c r="BE221" s="428">
        <f>BE$27</f>
        <v>1</v>
      </c>
      <c r="BF221" s="428">
        <f t="shared" ref="BF221:CL221" si="365">BF$27</f>
        <v>2</v>
      </c>
      <c r="BG221" s="428">
        <f t="shared" si="365"/>
        <v>3</v>
      </c>
      <c r="BH221" s="428">
        <f t="shared" si="365"/>
        <v>4</v>
      </c>
      <c r="BI221" s="428">
        <f t="shared" si="365"/>
        <v>5</v>
      </c>
      <c r="BJ221" s="428">
        <f t="shared" si="365"/>
        <v>6</v>
      </c>
      <c r="BK221" s="428">
        <f t="shared" si="365"/>
        <v>7</v>
      </c>
      <c r="BL221" s="428">
        <f t="shared" si="365"/>
        <v>8</v>
      </c>
      <c r="BM221" s="428">
        <f t="shared" si="365"/>
        <v>9</v>
      </c>
      <c r="BN221" s="428">
        <f t="shared" si="365"/>
        <v>10</v>
      </c>
      <c r="BO221" s="428">
        <f t="shared" si="365"/>
        <v>11</v>
      </c>
      <c r="BP221" s="428">
        <f t="shared" si="365"/>
        <v>12</v>
      </c>
      <c r="BQ221" s="428">
        <f t="shared" si="365"/>
        <v>13</v>
      </c>
      <c r="BR221" s="428">
        <f t="shared" si="365"/>
        <v>14</v>
      </c>
      <c r="BS221" s="428">
        <f t="shared" si="365"/>
        <v>15</v>
      </c>
      <c r="BT221" s="428">
        <f t="shared" si="365"/>
        <v>16</v>
      </c>
      <c r="BU221" s="428">
        <f t="shared" si="365"/>
        <v>17</v>
      </c>
      <c r="BV221" s="428">
        <f t="shared" si="365"/>
        <v>18</v>
      </c>
      <c r="BW221" s="428">
        <f t="shared" si="365"/>
        <v>19</v>
      </c>
      <c r="BX221" s="428">
        <f t="shared" si="365"/>
        <v>20</v>
      </c>
      <c r="BY221" s="428">
        <f t="shared" si="365"/>
        <v>21</v>
      </c>
      <c r="BZ221" s="428">
        <f t="shared" si="365"/>
        <v>22</v>
      </c>
      <c r="CA221" s="428">
        <f t="shared" si="365"/>
        <v>23</v>
      </c>
      <c r="CB221" s="428">
        <f t="shared" si="365"/>
        <v>24</v>
      </c>
      <c r="CC221" s="428">
        <f t="shared" si="365"/>
        <v>25</v>
      </c>
      <c r="CD221" s="428">
        <f t="shared" si="365"/>
        <v>26</v>
      </c>
      <c r="CE221" s="428">
        <f t="shared" si="365"/>
        <v>27</v>
      </c>
      <c r="CF221" s="428">
        <f t="shared" si="365"/>
        <v>28</v>
      </c>
      <c r="CG221" s="428">
        <f t="shared" si="365"/>
        <v>29</v>
      </c>
      <c r="CH221" s="428">
        <f t="shared" si="365"/>
        <v>30</v>
      </c>
      <c r="CI221" s="428">
        <f t="shared" si="365"/>
        <v>31</v>
      </c>
      <c r="CJ221" s="428">
        <f t="shared" si="365"/>
        <v>32</v>
      </c>
      <c r="CK221" s="428">
        <f t="shared" si="365"/>
        <v>33</v>
      </c>
      <c r="CL221" s="428">
        <f t="shared" si="365"/>
        <v>34</v>
      </c>
      <c r="CM221" s="431"/>
    </row>
    <row r="222" spans="1:110" s="291" customFormat="1" ht="21.75" customHeight="1">
      <c r="A222" s="413" t="s">
        <v>3</v>
      </c>
      <c r="B222" s="683">
        <f>IF(B221="","",VLOOKUP(B221,Espesor!$C$8:$E$41,3,0))</f>
        <v>2.4</v>
      </c>
      <c r="C222" s="684"/>
      <c r="D222" s="685"/>
      <c r="E222" s="683">
        <f>IF(E221="","",VLOOKUP(E221,Espesor!$C$8:$E$41,3,0))</f>
        <v>4.05</v>
      </c>
      <c r="F222" s="684"/>
      <c r="G222" s="685"/>
      <c r="H222" s="683">
        <f>IF(H221="","",VLOOKUP(H221,Espesor!$C$8:$E$41,3,0))</f>
        <v>3.6</v>
      </c>
      <c r="I222" s="684"/>
      <c r="J222" s="685"/>
      <c r="K222" s="683">
        <f>IF(K221="","",VLOOKUP(K221,Espesor!$C$8:$E$41,3,0))</f>
        <v>6.75</v>
      </c>
      <c r="L222" s="684"/>
      <c r="M222" s="685"/>
      <c r="N222" s="683" t="str">
        <f>IF(N221="","",VLOOKUP(N221,Espesor!$C$8:$E$41,3,0))</f>
        <v/>
      </c>
      <c r="O222" s="684"/>
      <c r="P222" s="685"/>
      <c r="Q222" s="683" t="str">
        <f>IF(Q221="","",VLOOKUP(Q221,Espesor!$C$8:$E$41,3,0))</f>
        <v/>
      </c>
      <c r="R222" s="684"/>
      <c r="S222" s="685"/>
      <c r="T222" s="683" t="str">
        <f>IF(T221="","",VLOOKUP(T221,Espesor!$C$8:$E$41,3,0))</f>
        <v/>
      </c>
      <c r="U222" s="684"/>
      <c r="V222" s="685"/>
      <c r="W222" s="683" t="str">
        <f>IF(W221="","",VLOOKUP(W221,Espesor!$C$8:$E$41,3,0))</f>
        <v/>
      </c>
      <c r="X222" s="684"/>
      <c r="Y222" s="685"/>
      <c r="Z222" s="683" t="str">
        <f>IF(Z221="","",VLOOKUP(Z221,Espesor!$C$8:$E$41,3,0))</f>
        <v/>
      </c>
      <c r="AA222" s="684"/>
      <c r="AB222" s="685"/>
      <c r="AD222" s="365" t="str">
        <f>+IF(AE220="","",AE220)</f>
        <v/>
      </c>
      <c r="AE222" s="366" t="str">
        <f>IF(B196="","",IF($K$2="X - X",VLOOKUP(B196,Espesor!$C$8:$E$41,2,0),VLOOKUP(B196,Espesor!$C$8:$E$41,3,0)))</f>
        <v/>
      </c>
      <c r="AF222" s="367" t="str">
        <f>+IF(AD222="","",IF(LOOKUP(AD222,Espesor!$C$8:$C$41,Espesor!$K$8:$K$41)="en voladizo","",0.75/AE222))</f>
        <v/>
      </c>
      <c r="AG222" s="667" t="str">
        <f>IF(AF222="","",IF(AF223="","",ROUND(AF222/(AF222+AF223),3)))</f>
        <v/>
      </c>
      <c r="AH222" s="368"/>
      <c r="AI222" s="667" t="str">
        <f>IF(AF223="","",IF(AF222="","",ROUND(AF223/(AF223+AF222),3)))</f>
        <v/>
      </c>
      <c r="AJ222" s="368"/>
      <c r="AK222" s="368">
        <v>0</v>
      </c>
      <c r="AL222" s="369" t="e">
        <f>-IF(B195="","",IF($K$2="X - X",VLOOKUP(B195,'Moms de Empt'!$P$3:$T$36,3,0),VLOOKUP(B195,'Moms de Empt'!$P$3:$T$36,5,0)))</f>
        <v>#VALUE!</v>
      </c>
      <c r="AM222" s="668">
        <f>IF(AD223="",0,IF(LOOKUP(AD223,Espesor!$C$8:$C$41,Espesor!$K$8:$K$41)="en voladizo",MAX(ABS(AL222),ABS(AK223)),-(AK223+AL222)))</f>
        <v>0</v>
      </c>
      <c r="AN222" s="370"/>
      <c r="AO222" s="667" t="str">
        <f>IF(AG222="","",AM222*AG222)</f>
        <v/>
      </c>
      <c r="AP222" s="368"/>
      <c r="AQ222" s="667" t="str">
        <f>IF(AI222="","",AM222*AI222)</f>
        <v/>
      </c>
      <c r="AR222" s="368"/>
      <c r="AS222" s="669" t="e">
        <f>-IF(AM222="","",IF(AL222="",IF(AO222="",0,AO222),IF(AO222="",AL222,AL222+AO222)))</f>
        <v>#VALUE!</v>
      </c>
      <c r="AT222" s="371"/>
      <c r="AU222" s="371" t="e">
        <f>+AS222</f>
        <v>#VALUE!</v>
      </c>
      <c r="AV222" s="372" t="str">
        <f>IF(B195="","",IF(L195="X - X",VLOOKUP(B220,'Moms de Empt'!$P$3:$T$36,2,0),VLOOKUP(B220,'Moms de Empt'!$P$3:$T$36,4,0)))</f>
        <v/>
      </c>
      <c r="AW222" s="671">
        <f>IF(B222="","",IF(D224="","",IF(ABS(D228)&gt;ABS(D224),-0.5*ABS(D226),0.5*ABS(D226))))</f>
        <v>-0.30864999999999998</v>
      </c>
      <c r="AX222" s="373"/>
      <c r="AY222" s="671" t="str">
        <f>IF(AV223="","",IF(AV222="","",ROUND(AV223/(AV223+AV222),3)))</f>
        <v/>
      </c>
      <c r="AZ222" s="373"/>
      <c r="BA222" s="374" t="str">
        <f t="shared" ref="BA222:BA229" si="366">+AV222</f>
        <v/>
      </c>
      <c r="BC222" s="422">
        <f>+A218</f>
        <v>2</v>
      </c>
      <c r="BD222" s="433" t="s">
        <v>183</v>
      </c>
      <c r="BE222" s="429">
        <f>IF(BE221=$B$221,$B$233,IF(BE221=$E$221,$E$233,IF(BE221=$H$221,$H$233,IF(BE221=$K$221,$K$233,IF(BE221=$N$221,$N$233,IF(BE221=$Q$221,$Q$233,IF(BE221=$T$221,$T$233,IF(BE221=$W$221,$W$233,IF(BE221=$Z$221,$Z$233,0)))))))))</f>
        <v>0</v>
      </c>
      <c r="BF222" s="429">
        <f t="shared" ref="BF222:BM222" si="367">IF(BF221=$B$221,$B$233,IF(BF221=$E$221,$E$233,IF(BF221=$H$221,$H$233,IF(BF221=$K$221,$K$233,IF(BF221=$N$221,$N$233,IF(BF221=$Q$221,$Q$233,IF(BF221=$T$221,$T$233,IF(BF221=$W$221,$W$233,IF(BF221=$Z$221,$Z$233,0)))))))))</f>
        <v>0.43193535000000005</v>
      </c>
      <c r="BG222" s="429">
        <f t="shared" si="367"/>
        <v>0</v>
      </c>
      <c r="BH222" s="429">
        <f t="shared" si="367"/>
        <v>0.45586499999999996</v>
      </c>
      <c r="BI222" s="429">
        <f t="shared" si="367"/>
        <v>0</v>
      </c>
      <c r="BJ222" s="429">
        <f t="shared" si="367"/>
        <v>-0.27644414999999989</v>
      </c>
      <c r="BK222" s="429">
        <f t="shared" si="367"/>
        <v>2.1318261999999999</v>
      </c>
      <c r="BL222" s="429">
        <f t="shared" si="367"/>
        <v>0</v>
      </c>
      <c r="BM222" s="429">
        <f t="shared" si="367"/>
        <v>0</v>
      </c>
      <c r="BN222" s="429">
        <f t="shared" ref="BN222" si="368">IF(BN221=$B$221,$B$233,IF(BN221=$E$221,$E$233,IF(BN221=$H$221,$H$233,IF(BN221=$K$221,$K$233,IF(BN221=$N$221,$N$233,IF(BN221=$Q$221,$Q$233,IF(BN221=$T$221,$T$233,IF(BN221=$W$221,$W$233,IF(BN221=$Z$221,$Z$233,0)))))))))</f>
        <v>0</v>
      </c>
      <c r="BO222" s="429">
        <f t="shared" ref="BO222" si="369">IF(BO221=$B$221,$B$233,IF(BO221=$E$221,$E$233,IF(BO221=$H$221,$H$233,IF(BO221=$K$221,$K$233,IF(BO221=$N$221,$N$233,IF(BO221=$Q$221,$Q$233,IF(BO221=$T$221,$T$233,IF(BO221=$W$221,$W$233,IF(BO221=$Z$221,$Z$233,0)))))))))</f>
        <v>0</v>
      </c>
      <c r="BP222" s="429">
        <f t="shared" ref="BP222" si="370">IF(BP221=$B$221,$B$233,IF(BP221=$E$221,$E$233,IF(BP221=$H$221,$H$233,IF(BP221=$K$221,$K$233,IF(BP221=$N$221,$N$233,IF(BP221=$Q$221,$Q$233,IF(BP221=$T$221,$T$233,IF(BP221=$W$221,$W$233,IF(BP221=$Z$221,$Z$233,0)))))))))</f>
        <v>0</v>
      </c>
      <c r="BQ222" s="429">
        <f t="shared" ref="BQ222" si="371">IF(BQ221=$B$221,$B$233,IF(BQ221=$E$221,$E$233,IF(BQ221=$H$221,$H$233,IF(BQ221=$K$221,$K$233,IF(BQ221=$N$221,$N$233,IF(BQ221=$Q$221,$Q$233,IF(BQ221=$T$221,$T$233,IF(BQ221=$W$221,$W$233,IF(BQ221=$Z$221,$Z$233,0)))))))))</f>
        <v>0</v>
      </c>
      <c r="BR222" s="429">
        <f t="shared" ref="BR222" si="372">IF(BR221=$B$221,$B$233,IF(BR221=$E$221,$E$233,IF(BR221=$H$221,$H$233,IF(BR221=$K$221,$K$233,IF(BR221=$N$221,$N$233,IF(BR221=$Q$221,$Q$233,IF(BR221=$T$221,$T$233,IF(BR221=$W$221,$W$233,IF(BR221=$Z$221,$Z$233,0)))))))))</f>
        <v>0</v>
      </c>
      <c r="BS222" s="429">
        <f t="shared" ref="BS222" si="373">IF(BS221=$B$221,$B$233,IF(BS221=$E$221,$E$233,IF(BS221=$H$221,$H$233,IF(BS221=$K$221,$K$233,IF(BS221=$N$221,$N$233,IF(BS221=$Q$221,$Q$233,IF(BS221=$T$221,$T$233,IF(BS221=$W$221,$W$233,IF(BS221=$Z$221,$Z$233,0)))))))))</f>
        <v>0</v>
      </c>
      <c r="BT222" s="429">
        <f t="shared" ref="BT222:BU222" si="374">IF(BT221=$B$221,$B$233,IF(BT221=$E$221,$E$233,IF(BT221=$H$221,$H$233,IF(BT221=$K$221,$K$233,IF(BT221=$N$221,$N$233,IF(BT221=$Q$221,$Q$233,IF(BT221=$T$221,$T$233,IF(BT221=$W$221,$W$233,IF(BT221=$Z$221,$Z$233,0)))))))))</f>
        <v>0</v>
      </c>
      <c r="BU222" s="429">
        <f t="shared" si="374"/>
        <v>0</v>
      </c>
      <c r="BV222" s="429">
        <f t="shared" ref="BV222" si="375">IF(BV221=$B$221,$B$233,IF(BV221=$E$221,$E$233,IF(BV221=$H$221,$H$233,IF(BV221=$K$221,$K$233,IF(BV221=$N$221,$N$233,IF(BV221=$Q$221,$Q$233,IF(BV221=$T$221,$T$233,IF(BV221=$W$221,$W$233,IF(BV221=$Z$221,$Z$233,0)))))))))</f>
        <v>0</v>
      </c>
      <c r="BW222" s="429">
        <f t="shared" ref="BW222" si="376">IF(BW221=$B$221,$B$233,IF(BW221=$E$221,$E$233,IF(BW221=$H$221,$H$233,IF(BW221=$K$221,$K$233,IF(BW221=$N$221,$N$233,IF(BW221=$Q$221,$Q$233,IF(BW221=$T$221,$T$233,IF(BW221=$W$221,$W$233,IF(BW221=$Z$221,$Z$233,0)))))))))</f>
        <v>0</v>
      </c>
      <c r="BX222" s="429">
        <f t="shared" ref="BX222" si="377">IF(BX221=$B$221,$B$233,IF(BX221=$E$221,$E$233,IF(BX221=$H$221,$H$233,IF(BX221=$K$221,$K$233,IF(BX221=$N$221,$N$233,IF(BX221=$Q$221,$Q$233,IF(BX221=$T$221,$T$233,IF(BX221=$W$221,$W$233,IF(BX221=$Z$221,$Z$233,0)))))))))</f>
        <v>0</v>
      </c>
      <c r="BY222" s="429">
        <f t="shared" ref="BY222" si="378">IF(BY221=$B$221,$B$233,IF(BY221=$E$221,$E$233,IF(BY221=$H$221,$H$233,IF(BY221=$K$221,$K$233,IF(BY221=$N$221,$N$233,IF(BY221=$Q$221,$Q$233,IF(BY221=$T$221,$T$233,IF(BY221=$W$221,$W$233,IF(BY221=$Z$221,$Z$233,0)))))))))</f>
        <v>0</v>
      </c>
      <c r="BZ222" s="429">
        <f t="shared" ref="BZ222" si="379">IF(BZ221=$B$221,$B$233,IF(BZ221=$E$221,$E$233,IF(BZ221=$H$221,$H$233,IF(BZ221=$K$221,$K$233,IF(BZ221=$N$221,$N$233,IF(BZ221=$Q$221,$Q$233,IF(BZ221=$T$221,$T$233,IF(BZ221=$W$221,$W$233,IF(BZ221=$Z$221,$Z$233,0)))))))))</f>
        <v>0</v>
      </c>
      <c r="CA222" s="429">
        <f t="shared" ref="CA222" si="380">IF(CA221=$B$221,$B$233,IF(CA221=$E$221,$E$233,IF(CA221=$H$221,$H$233,IF(CA221=$K$221,$K$233,IF(CA221=$N$221,$N$233,IF(CA221=$Q$221,$Q$233,IF(CA221=$T$221,$T$233,IF(CA221=$W$221,$W$233,IF(CA221=$Z$221,$Z$233,0)))))))))</f>
        <v>0</v>
      </c>
      <c r="CB222" s="429">
        <f t="shared" ref="CB222:CC222" si="381">IF(CB221=$B$221,$B$233,IF(CB221=$E$221,$E$233,IF(CB221=$H$221,$H$233,IF(CB221=$K$221,$K$233,IF(CB221=$N$221,$N$233,IF(CB221=$Q$221,$Q$233,IF(CB221=$T$221,$T$233,IF(CB221=$W$221,$W$233,IF(CB221=$Z$221,$Z$233,0)))))))))</f>
        <v>0</v>
      </c>
      <c r="CC222" s="429">
        <f t="shared" si="381"/>
        <v>0</v>
      </c>
      <c r="CD222" s="429">
        <f t="shared" ref="CD222" si="382">IF(CD221=$B$221,$B$233,IF(CD221=$E$221,$E$233,IF(CD221=$H$221,$H$233,IF(CD221=$K$221,$K$233,IF(CD221=$N$221,$N$233,IF(CD221=$Q$221,$Q$233,IF(CD221=$T$221,$T$233,IF(CD221=$W$221,$W$233,IF(CD221=$Z$221,$Z$233,0)))))))))</f>
        <v>0</v>
      </c>
      <c r="CE222" s="429">
        <f t="shared" ref="CE222" si="383">IF(CE221=$B$221,$B$233,IF(CE221=$E$221,$E$233,IF(CE221=$H$221,$H$233,IF(CE221=$K$221,$K$233,IF(CE221=$N$221,$N$233,IF(CE221=$Q$221,$Q$233,IF(CE221=$T$221,$T$233,IF(CE221=$W$221,$W$233,IF(CE221=$Z$221,$Z$233,0)))))))))</f>
        <v>0</v>
      </c>
      <c r="CF222" s="429">
        <f t="shared" ref="CF222" si="384">IF(CF221=$B$221,$B$233,IF(CF221=$E$221,$E$233,IF(CF221=$H$221,$H$233,IF(CF221=$K$221,$K$233,IF(CF221=$N$221,$N$233,IF(CF221=$Q$221,$Q$233,IF(CF221=$T$221,$T$233,IF(CF221=$W$221,$W$233,IF(CF221=$Z$221,$Z$233,0)))))))))</f>
        <v>0</v>
      </c>
      <c r="CG222" s="429">
        <f t="shared" ref="CG222" si="385">IF(CG221=$B$221,$B$233,IF(CG221=$E$221,$E$233,IF(CG221=$H$221,$H$233,IF(CG221=$K$221,$K$233,IF(CG221=$N$221,$N$233,IF(CG221=$Q$221,$Q$233,IF(CG221=$T$221,$T$233,IF(CG221=$W$221,$W$233,IF(CG221=$Z$221,$Z$233,0)))))))))</f>
        <v>0</v>
      </c>
      <c r="CH222" s="429">
        <f t="shared" ref="CH222" si="386">IF(CH221=$B$221,$B$233,IF(CH221=$E$221,$E$233,IF(CH221=$H$221,$H$233,IF(CH221=$K$221,$K$233,IF(CH221=$N$221,$N$233,IF(CH221=$Q$221,$Q$233,IF(CH221=$T$221,$T$233,IF(CH221=$W$221,$W$233,IF(CH221=$Z$221,$Z$233,0)))))))))</f>
        <v>0</v>
      </c>
      <c r="CI222" s="429">
        <f t="shared" ref="CI222" si="387">IF(CI221=$B$221,$B$233,IF(CI221=$E$221,$E$233,IF(CI221=$H$221,$H$233,IF(CI221=$K$221,$K$233,IF(CI221=$N$221,$N$233,IF(CI221=$Q$221,$Q$233,IF(CI221=$T$221,$T$233,IF(CI221=$W$221,$W$233,IF(CI221=$Z$221,$Z$233,0)))))))))</f>
        <v>0</v>
      </c>
      <c r="CJ222" s="429">
        <f t="shared" ref="CJ222:CK222" si="388">IF(CJ221=$B$221,$B$233,IF(CJ221=$E$221,$E$233,IF(CJ221=$H$221,$H$233,IF(CJ221=$K$221,$K$233,IF(CJ221=$N$221,$N$233,IF(CJ221=$Q$221,$Q$233,IF(CJ221=$T$221,$T$233,IF(CJ221=$W$221,$W$233,IF(CJ221=$Z$221,$Z$233,0)))))))))</f>
        <v>0</v>
      </c>
      <c r="CK222" s="429">
        <f t="shared" si="388"/>
        <v>0</v>
      </c>
      <c r="CL222" s="429">
        <f t="shared" ref="CL222" si="389">IF(CL221=$B$221,$B$233,IF(CL221=$E$221,$E$233,IF(CL221=$H$221,$H$233,IF(CL221=$K$221,$K$233,IF(CL221=$N$221,$N$233,IF(CL221=$Q$221,$Q$233,IF(CL221=$T$221,$T$233,IF(CL221=$W$221,$W$233,IF(CL221=$Z$221,$Z$233,0)))))))))</f>
        <v>0</v>
      </c>
      <c r="CM222" s="429" t="str">
        <f t="shared" ref="CM222" si="390">IF(CM221=$B$221,$B$233,IF(CM221=$E$221,$E$233,IF(CM221=$H$221,$H$233,IF(CM221=$K$221,$K$233,IF(CM221=$N$221,$N$233,IF(CM221=$Q$221,$Q$233,IF(CM221=$T$221,$T$233,IF(CM221=$W$221,$W$233,IF(CM221=$Z$221,$Z$233,0)))))))))</f>
        <v/>
      </c>
    </row>
    <row r="223" spans="1:110" s="291" customFormat="1" ht="21.75" customHeight="1">
      <c r="A223" s="257" t="s">
        <v>65</v>
      </c>
      <c r="B223" s="679">
        <f>+IF(B221="","",IF(LOOKUP(B221,Espesor!$C$8:$C$41,Espesor!$K$8:$K$41)="en voladizo","",0.75/B222))</f>
        <v>0.3125</v>
      </c>
      <c r="C223" s="680"/>
      <c r="D223" s="681"/>
      <c r="E223" s="679">
        <f>IF(E221="","",IF(LOOKUP(E221,Espesor!$C$8:$C$41,Espesor!$K$8:$K$41)="en voladizo","",IF(H221="",0.75/E222,1/E222)))</f>
        <v>0.24691358024691359</v>
      </c>
      <c r="F223" s="680"/>
      <c r="G223" s="681"/>
      <c r="H223" s="679">
        <f>IF(H221="","",IF(LOOKUP(H221,Espesor!$C$8:$C$41,Espesor!$K$8:$K$41)="en voladizo","",IF(K221="",0.75/H222,1/H222)))</f>
        <v>0.27777777777777779</v>
      </c>
      <c r="I223" s="680"/>
      <c r="J223" s="681"/>
      <c r="K223" s="679">
        <f>IF(K221="","",IF(LOOKUP(K221,Espesor!$C$8:$C$41,Espesor!$K$8:$K$41)="en voladizo","",IF(N221="",0.75/K222,1/K222)))</f>
        <v>0.1111111111111111</v>
      </c>
      <c r="L223" s="680"/>
      <c r="M223" s="681"/>
      <c r="N223" s="679" t="str">
        <f>IF(N221="","",IF(LOOKUP(N221,Espesor!$C$8:$C$41,Espesor!$K$8:$K$41)="en voladizo","",IF(Q221="",0.75/N222,1/N222)))</f>
        <v/>
      </c>
      <c r="O223" s="680"/>
      <c r="P223" s="681"/>
      <c r="Q223" s="679" t="str">
        <f>IF(Q221="","",IF(LOOKUP(Q221,Espesor!$C$8:$C$41,Espesor!$K$8:$K$41)="en voladizo","",IF(T221="",0.75/Q222,1/Q222)))</f>
        <v/>
      </c>
      <c r="R223" s="680"/>
      <c r="S223" s="681"/>
      <c r="T223" s="679" t="str">
        <f>IF(T221="","",IF(LOOKUP(T221,Espesor!$C$8:$C$41,Espesor!$K$8:$K$41)="en voladizo","",IF(W221="",0.75/T222,1/T222)))</f>
        <v/>
      </c>
      <c r="U223" s="680"/>
      <c r="V223" s="681"/>
      <c r="W223" s="679" t="str">
        <f>IF(W221="","",IF(LOOKUP(W221,Espesor!$C$8:$C$41,Espesor!$K$8:$K$41)="en voladizo","",IF(Z221="",0.75/W222,1/W222)))</f>
        <v/>
      </c>
      <c r="X223" s="680"/>
      <c r="Y223" s="681"/>
      <c r="Z223" s="679" t="str">
        <f>IF(Z221="","",IF(LOOKUP(Z221,Espesor!$C$8:$C$41,Espesor!$K$8:$K$41)="en voladizo","",IF(AC221="",0.75/Z222,1/Z222)))</f>
        <v/>
      </c>
      <c r="AA223" s="680"/>
      <c r="AB223" s="681"/>
      <c r="AD223" s="375" t="str">
        <f>+IF(AF220="","",AF220)</f>
        <v/>
      </c>
      <c r="AE223" s="376" t="str">
        <f>IF(C195="","",IF($K$2="X - X",VLOOKUP(C195,Espesor!$C$8:$E$41,2,0),VLOOKUP(C195,Espesor!$C$8:$E$41,3,0)))</f>
        <v/>
      </c>
      <c r="AF223" s="377" t="str">
        <f>IF(AD223="","",IF(LOOKUP(AD223,Espesor!$C$8:$C$41,Espesor!$K$8:$K$41)="en voladizo","",IF(AD224="",0.75/AE223,1/AE223)))</f>
        <v/>
      </c>
      <c r="AG223" s="655"/>
      <c r="AH223" s="655" t="str">
        <f>IF(AF223="","",IF(AF224="","",ROUND(AF223/(AF223+AF224),3)))</f>
        <v/>
      </c>
      <c r="AI223" s="655"/>
      <c r="AJ223" s="655" t="str">
        <f>IF(AF223="","",IF(AF224="","",ROUND(AF224/(AF223+AF224),3)))</f>
        <v/>
      </c>
      <c r="AK223" s="378">
        <f>IF(C195="",0,IF($K$2="X - X",VLOOKUP(C195,'Moms de Empt'!$P$3:$T$36,3,0),VLOOKUP(C195,'Moms de Empt'!$P$3:$T$36,5,0)))</f>
        <v>0</v>
      </c>
      <c r="AL223" s="378">
        <f>+IF(AD224="",0,-AK223)</f>
        <v>0</v>
      </c>
      <c r="AM223" s="656"/>
      <c r="AN223" s="656">
        <f>IF(AD224="",0,IF(LOOKUP(AD224,Espesor!$C$8:$C$41,Espesor!$K$8:$K$41)="en voladizo",MAX(ABS(AL223),ABS(AK224)),-(AK224+AL223)))</f>
        <v>0</v>
      </c>
      <c r="AO223" s="655"/>
      <c r="AP223" s="655" t="str">
        <f>IF(AH223="","",AN223*AH223)</f>
        <v/>
      </c>
      <c r="AQ223" s="655"/>
      <c r="AR223" s="655" t="str">
        <f>IF(AJ223="","",AN223*AJ223)</f>
        <v/>
      </c>
      <c r="AS223" s="670"/>
      <c r="AT223" s="657">
        <f>-IF(AN223="","",IF(AL223="",IF(AP223="",0,AP223),IF(AP223="",AL223,AL223+AP223)))</f>
        <v>0</v>
      </c>
      <c r="AU223" s="371">
        <f>+AT223</f>
        <v>0</v>
      </c>
      <c r="AV223" s="379" t="str">
        <f>IF(E220="","",IF(L195="X - X",VLOOKUP(E220,'Moms de Empt'!$P$3:$T$36,2,0),VLOOKUP(E220,'Moms de Empt'!$P$3:$T$36,4,0)))</f>
        <v/>
      </c>
      <c r="AW223" s="654"/>
      <c r="AX223" s="654" t="str">
        <f>IF(AV223="","",IF(AV224="","",ROUND(AV223/(AV223+AV224),3)))</f>
        <v/>
      </c>
      <c r="AY223" s="654"/>
      <c r="AZ223" s="654" t="str">
        <f>IF(AV223="","",IF(AV224="","",ROUND(AV224/(AV223+AV224),3)))</f>
        <v/>
      </c>
      <c r="BA223" s="374" t="str">
        <f t="shared" si="366"/>
        <v/>
      </c>
      <c r="BC223" s="422"/>
      <c r="BD223" s="398"/>
      <c r="BE223" s="429"/>
      <c r="BF223" s="396"/>
      <c r="BG223" s="396"/>
      <c r="BH223" s="396"/>
      <c r="BI223" s="396"/>
      <c r="BJ223" s="396"/>
      <c r="BK223" s="396"/>
      <c r="BL223" s="396"/>
      <c r="BM223" s="396"/>
      <c r="BN223" s="396"/>
      <c r="BO223" s="396"/>
      <c r="BP223" s="396"/>
      <c r="BQ223" s="396"/>
      <c r="BR223" s="396"/>
      <c r="BS223" s="396"/>
      <c r="BT223" s="396"/>
      <c r="BU223" s="396"/>
      <c r="BV223" s="396"/>
      <c r="BW223" s="396"/>
      <c r="BX223" s="396"/>
      <c r="BY223" s="396"/>
      <c r="BZ223" s="396"/>
      <c r="CA223" s="396"/>
      <c r="CB223" s="396"/>
      <c r="CC223" s="396"/>
      <c r="CD223" s="396"/>
      <c r="CE223" s="396"/>
      <c r="CF223" s="396"/>
      <c r="CG223" s="396"/>
      <c r="CH223" s="396"/>
      <c r="CI223" s="396"/>
      <c r="CJ223" s="396"/>
      <c r="CK223" s="396"/>
      <c r="CL223" s="396"/>
      <c r="CM223" s="431"/>
    </row>
    <row r="224" spans="1:110" s="291" customFormat="1" ht="21.75" customHeight="1">
      <c r="A224" s="247" t="s">
        <v>123</v>
      </c>
      <c r="B224" s="29"/>
      <c r="C224" s="30"/>
      <c r="D224" s="31">
        <f>IF(B223="",0,IF(E223="",0,ROUND(B223/(B223+E223),3)))</f>
        <v>0.55900000000000005</v>
      </c>
      <c r="E224" s="29">
        <f>IF(E223="",0,IF(B223="",0,ROUND(E223/(E223+B223),3)))</f>
        <v>0.441</v>
      </c>
      <c r="F224" s="30"/>
      <c r="G224" s="31">
        <f>IF(E223="",0,IF(H223="",0,ROUND(E223/(E223+H223),3)))</f>
        <v>0.47099999999999997</v>
      </c>
      <c r="H224" s="29">
        <f>IF(H223="",0,IF(E223="",0,ROUND(H223/(H223+E223),3)))</f>
        <v>0.52900000000000003</v>
      </c>
      <c r="I224" s="30"/>
      <c r="J224" s="31">
        <f>IF(H223="",0,IF(K223="",0,ROUND(H223/(H223+K223),3)))</f>
        <v>0.71399999999999997</v>
      </c>
      <c r="K224" s="29">
        <f>IF(K223="",0,IF(H223="",0,ROUND(K223/(K223+H223),3)))</f>
        <v>0.28599999999999998</v>
      </c>
      <c r="L224" s="30"/>
      <c r="M224" s="31">
        <f>IF(K223="",0,IF(N223="",0,ROUND(K223/(K223+N223),3)))</f>
        <v>0</v>
      </c>
      <c r="N224" s="29">
        <f>IF(N223="",0,IF(K223="",0,ROUND(N223/(N223+K223),3)))</f>
        <v>0</v>
      </c>
      <c r="O224" s="30"/>
      <c r="P224" s="31">
        <f>IF(N223="",0,IF(Q223="",0,ROUND(N223/(N223+Q223),3)))</f>
        <v>0</v>
      </c>
      <c r="Q224" s="29">
        <f>IF(Q223="",0,IF(N223="",0,ROUND(Q223/(Q223+N223),3)))</f>
        <v>0</v>
      </c>
      <c r="R224" s="30"/>
      <c r="S224" s="31">
        <f>IF(Q223="",0,IF(T223="",0,ROUND(Q223/(Q223+T223),3)))</f>
        <v>0</v>
      </c>
      <c r="T224" s="29">
        <f>IF(T223="",0,IF(Q223="",0,ROUND(T223/(T223+Q223),3)))</f>
        <v>0</v>
      </c>
      <c r="U224" s="30"/>
      <c r="V224" s="31">
        <f>IF(T223="",0,IF(W223="",0,ROUND(T223/(T223+W223),3)))</f>
        <v>0</v>
      </c>
      <c r="W224" s="29">
        <f>IF(W223="",0,IF(T223="",0,ROUND(W223/(W223+T223),3)))</f>
        <v>0</v>
      </c>
      <c r="X224" s="30"/>
      <c r="Y224" s="31">
        <f>IF(W223="",0,IF(Z223="",0,ROUND(W223/(W223+Z223),3)))</f>
        <v>0</v>
      </c>
      <c r="Z224" s="29">
        <f>IF(Z223="",0,IF(W223="",0,ROUND(Z223/(Z223+W223),3)))</f>
        <v>0</v>
      </c>
      <c r="AA224" s="30"/>
      <c r="AB224" s="31">
        <f>IF(Z223="",0,IF(AC223="",0,ROUND(Z223/(Z223+AC223),3)))</f>
        <v>0</v>
      </c>
      <c r="AD224" s="375" t="str">
        <f>+IF(AG220="","",AG220)</f>
        <v/>
      </c>
      <c r="AE224" s="376" t="str">
        <f>IF(C196="","",IF($K$2="X - X",VLOOKUP(C196,Espesor!$C$8:$E$41,2,0),VLOOKUP(C196,Espesor!$C$8:$E$41,3,0)))</f>
        <v/>
      </c>
      <c r="AF224" s="377" t="str">
        <f>IF(AD224="","",IF(LOOKUP(AD224,Espesor!$C$8:$C$41,Espesor!$K$8:$K$41)="en voladizo","",IF(AD225="",0.75/AE224,1/AE224)))</f>
        <v/>
      </c>
      <c r="AG224" s="655" t="str">
        <f>IF(AF224="","",IF(AF225="","",ROUND(AF224/(AF224+AF225),3)))</f>
        <v/>
      </c>
      <c r="AH224" s="655"/>
      <c r="AI224" s="655" t="str">
        <f>IF(AF225="","",IF(AF224="","",ROUND(AF225/(AF225+AF224),3)))</f>
        <v/>
      </c>
      <c r="AJ224" s="655"/>
      <c r="AK224" s="378">
        <f>IF(D195="",0,IF($K$2="X - X",VLOOKUP(D195,'Moms de Empt'!$P$3:$T$36,3,0),VLOOKUP(D195,'Moms de Empt'!$P$3:$T$36,5,0)))</f>
        <v>0</v>
      </c>
      <c r="AL224" s="378">
        <f>+IF(AD225="",0,-AK224)</f>
        <v>0</v>
      </c>
      <c r="AM224" s="656">
        <f>IF(AD225="",0,IF(LOOKUP(AD225,Espesor!$C$8:$C$41,Espesor!$K$8:$K$41)="en voladizo",MAX(ABS(AL224),ABS(AK225)),-(AK225+AL224)))</f>
        <v>0</v>
      </c>
      <c r="AN224" s="656"/>
      <c r="AO224" s="655" t="str">
        <f>IF(AG224="","",AM224*AG224)</f>
        <v/>
      </c>
      <c r="AP224" s="655"/>
      <c r="AQ224" s="655" t="str">
        <f>IF(AI224="","",AM224*AI224)</f>
        <v/>
      </c>
      <c r="AR224" s="655"/>
      <c r="AS224" s="657">
        <f>-IF(AM224="","",IF(AL224="",IF(AO224="",0,AO224),IF(AO224="",AL224,AL224+AO224)))</f>
        <v>0</v>
      </c>
      <c r="AT224" s="658"/>
      <c r="AU224" s="371">
        <f>+AS224</f>
        <v>0</v>
      </c>
      <c r="AV224" s="379" t="str">
        <f>IF(H220="","",IF(L195="X - X",VLOOKUP(H220,'Moms de Empt'!$P$3:$T$36,2,0),VLOOKUP(H220,'Moms de Empt'!$P$3:$T$36,4,0)))</f>
        <v/>
      </c>
      <c r="AW224" s="654" t="str">
        <f>IF(AV224="","",IF(AV225="","",ROUND(AV224/(AV224+AV225),3)))</f>
        <v/>
      </c>
      <c r="AX224" s="654"/>
      <c r="AY224" s="654" t="str">
        <f>IF(AV225="","",IF(AV224="","",ROUND(AV225/(AV225+AV224),3)))</f>
        <v/>
      </c>
      <c r="AZ224" s="654"/>
      <c r="BA224" s="374" t="str">
        <f t="shared" si="366"/>
        <v/>
      </c>
      <c r="BC224" s="422"/>
      <c r="BD224" s="398"/>
      <c r="BE224" s="429"/>
      <c r="BF224" s="396"/>
      <c r="BG224" s="396"/>
      <c r="BH224" s="396"/>
      <c r="BI224" s="396"/>
      <c r="BJ224" s="396"/>
      <c r="BK224" s="396"/>
      <c r="BL224" s="396"/>
      <c r="BM224" s="396"/>
      <c r="BN224" s="396"/>
      <c r="BO224" s="396"/>
      <c r="BP224" s="396"/>
      <c r="BQ224" s="396"/>
      <c r="BR224" s="396"/>
      <c r="BS224" s="396"/>
      <c r="BT224" s="396"/>
      <c r="BU224" s="396"/>
      <c r="BV224" s="396"/>
      <c r="BW224" s="396"/>
      <c r="BX224" s="396"/>
      <c r="BY224" s="396"/>
      <c r="BZ224" s="396"/>
      <c r="CA224" s="396"/>
      <c r="CB224" s="396"/>
      <c r="CC224" s="396"/>
      <c r="CD224" s="396"/>
      <c r="CE224" s="396"/>
      <c r="CF224" s="396"/>
      <c r="CG224" s="396"/>
      <c r="CH224" s="396"/>
      <c r="CI224" s="396"/>
      <c r="CJ224" s="396"/>
      <c r="CK224" s="396"/>
      <c r="CL224" s="396"/>
      <c r="CM224" s="431"/>
    </row>
    <row r="225" spans="1:110" s="291" customFormat="1" ht="21.75" customHeight="1">
      <c r="A225" s="248" t="s">
        <v>124</v>
      </c>
      <c r="B225" s="249"/>
      <c r="C225" s="34"/>
      <c r="D225" s="33">
        <f>IF(B221="","",-VLOOKUP(B221,'Moms de Empt'!$P$3:$T$36,5,0))</f>
        <v>-1.3512999999999999</v>
      </c>
      <c r="E225" s="33">
        <f>IF(E221="","",VLOOKUP(E221,'Moms de Empt'!$P$3:$T$36,5,0))</f>
        <v>0.73399999999999999</v>
      </c>
      <c r="F225" s="34"/>
      <c r="G225" s="33">
        <f>IF(E221="","",-VLOOKUP(E221,'Moms de Empt'!$P$3:$T$36,5,0))</f>
        <v>-0.73399999999999999</v>
      </c>
      <c r="H225" s="33">
        <f>IF(H221="","",VLOOKUP(H221,'Moms de Empt'!$P$3:$T$36,5,0))</f>
        <v>0.57569999999999999</v>
      </c>
      <c r="I225" s="34"/>
      <c r="J225" s="33">
        <f>IF(H221="","",-VLOOKUP(H221,'Moms de Empt'!$P$3:$T$36,5,0))</f>
        <v>-0.57569999999999999</v>
      </c>
      <c r="K225" s="33">
        <f>IF(K221="","",VLOOKUP(K221,'Moms de Empt'!$P$3:$T$36,5,0))</f>
        <v>2.4590999999999998</v>
      </c>
      <c r="L225" s="34"/>
      <c r="M225" s="33">
        <f>IF(K221="","",-VLOOKUP(K221,'Moms de Empt'!$P$3:$T$36,5,0))</f>
        <v>-2.4590999999999998</v>
      </c>
      <c r="N225" s="33" t="str">
        <f>IF(N221="","",VLOOKUP(N221,'Moms de Empt'!$P$3:$T$36,5,0))</f>
        <v/>
      </c>
      <c r="O225" s="34"/>
      <c r="P225" s="33" t="str">
        <f>IF(N221="","",-VLOOKUP(N221,'Moms de Empt'!$P$3:$T$36,5,0))</f>
        <v/>
      </c>
      <c r="Q225" s="33" t="str">
        <f>IF(Q221="","",VLOOKUP(Q221,'Moms de Empt'!$P$3:$T$36,5,0))</f>
        <v/>
      </c>
      <c r="R225" s="34"/>
      <c r="S225" s="33" t="str">
        <f>IF(Q221="","",-VLOOKUP(Q221,'Moms de Empt'!$P$3:$T$36,5,0))</f>
        <v/>
      </c>
      <c r="T225" s="33" t="str">
        <f>IF(T221="","",VLOOKUP(T221,'Moms de Empt'!$P$3:$T$36,5,0))</f>
        <v/>
      </c>
      <c r="U225" s="34"/>
      <c r="V225" s="33" t="str">
        <f>IF(T221="","",-VLOOKUP(T221,'Moms de Empt'!$P$3:$T$36,5,0))</f>
        <v/>
      </c>
      <c r="W225" s="33" t="str">
        <f>IF(W221="","",VLOOKUP(W221,'Moms de Empt'!$P$3:$T$36,5,0))</f>
        <v/>
      </c>
      <c r="X225" s="34"/>
      <c r="Y225" s="33" t="str">
        <f>IF(W221="","",-VLOOKUP(W221,'Moms de Empt'!$P$3:$T$36,5,0))</f>
        <v/>
      </c>
      <c r="Z225" s="33" t="str">
        <f>IF(Z221="","",VLOOKUP(Z221,'Moms de Empt'!$P$3:$T$36,5,0))</f>
        <v/>
      </c>
      <c r="AA225" s="34"/>
      <c r="AB225" s="33"/>
      <c r="AD225" s="375" t="str">
        <f>+IF(AH220="","",AH220)</f>
        <v/>
      </c>
      <c r="AE225" s="376" t="str">
        <f>IF(K220="","",IF($K$2="X - X",VLOOKUP(K220,Espesor!$C$8:$E$41,2,0),VLOOKUP(K220,Espesor!$C$8:$E$41,3,0)))</f>
        <v/>
      </c>
      <c r="AF225" s="377" t="str">
        <f>IF(AD225="","",IF(LOOKUP(AD225,Espesor!$C$8:$C$41,Espesor!$K$8:$K$41)="en voladizo","",IF(AD226="",0.75/AE225,1/AE225)))</f>
        <v/>
      </c>
      <c r="AG225" s="655"/>
      <c r="AH225" s="655" t="str">
        <f>IF(AF225="","",IF(AF226="","",ROUND(AF225/(AF225+AF226),3)))</f>
        <v/>
      </c>
      <c r="AI225" s="655"/>
      <c r="AJ225" s="655" t="str">
        <f>IF(AF225="","",IF(AF226="","",ROUND(AF226/(AF225+AF226),3)))</f>
        <v/>
      </c>
      <c r="AK225" s="378">
        <f>IF(E195="",0,IF($K$2="X - X",VLOOKUP(E195,'Moms de Empt'!$P$3:$T$36,3,0),VLOOKUP(E195,'Moms de Empt'!$P$3:$T$36,5,0)))</f>
        <v>0</v>
      </c>
      <c r="AL225" s="378">
        <f t="shared" ref="AL225:AL227" si="391">+IF(AD226="",0,-AK225)</f>
        <v>0</v>
      </c>
      <c r="AM225" s="656"/>
      <c r="AN225" s="656">
        <f>IF(AD226="",0,IF(LOOKUP(AD226,Espesor!$C$8:$C$41,Espesor!$K$8:$K$41)="en voladizo",MAX(ABS(AL225),ABS(AK226)),-(AK226+AL225)))</f>
        <v>0</v>
      </c>
      <c r="AO225" s="655"/>
      <c r="AP225" s="655" t="str">
        <f t="shared" ref="AP225" si="392">IF(AH225="","",AN225*AH225)</f>
        <v/>
      </c>
      <c r="AQ225" s="655"/>
      <c r="AR225" s="655" t="str">
        <f t="shared" ref="AR225" si="393">IF(AJ225="","",AN225*AJ225)</f>
        <v/>
      </c>
      <c r="AS225" s="658"/>
      <c r="AT225" s="657">
        <f t="shared" ref="AT225" si="394">-IF(AN225="","",IF(AL225="",IF(AP225="",0,AP225),IF(AP225="",AL225,AL225+AP225)))</f>
        <v>0</v>
      </c>
      <c r="AU225" s="371">
        <f>+AT225</f>
        <v>0</v>
      </c>
      <c r="AV225" s="379" t="str">
        <f>IF(K220="","",IF(L195="X - X",VLOOKUP(K220,'Moms de Empt'!$P$3:$T$36,2,0),VLOOKUP(K220,'Moms de Empt'!$P$3:$T$36,4,0)))</f>
        <v/>
      </c>
      <c r="AW225" s="654"/>
      <c r="AX225" s="654" t="str">
        <f>IF(AV225="","",IF(AV226="","",ROUND(AV225/(AV225+AV226),3)))</f>
        <v/>
      </c>
      <c r="AY225" s="654"/>
      <c r="AZ225" s="654" t="str">
        <f>IF(AV225="","",IF(AV226="","",ROUND(AV226/(AV225+AV226),3)))</f>
        <v/>
      </c>
      <c r="BA225" s="374" t="str">
        <f t="shared" si="366"/>
        <v/>
      </c>
      <c r="BC225" s="422"/>
      <c r="BD225" s="398"/>
      <c r="BE225" s="429"/>
      <c r="BF225" s="396"/>
      <c r="BG225" s="396"/>
      <c r="BH225" s="396"/>
      <c r="BI225" s="396"/>
      <c r="BJ225" s="396"/>
      <c r="BK225" s="396"/>
      <c r="BL225" s="396"/>
      <c r="BM225" s="396"/>
      <c r="BN225" s="396"/>
      <c r="BO225" s="396"/>
      <c r="BP225" s="396"/>
      <c r="BQ225" s="396"/>
      <c r="BR225" s="396"/>
      <c r="BS225" s="396"/>
      <c r="BT225" s="396"/>
      <c r="BU225" s="396"/>
      <c r="BV225" s="396"/>
      <c r="BW225" s="396"/>
      <c r="BX225" s="396"/>
      <c r="BY225" s="396"/>
      <c r="BZ225" s="396"/>
      <c r="CA225" s="396"/>
      <c r="CB225" s="396"/>
      <c r="CC225" s="396"/>
      <c r="CD225" s="396"/>
      <c r="CE225" s="396"/>
      <c r="CF225" s="396"/>
      <c r="CG225" s="396"/>
      <c r="CH225" s="396"/>
      <c r="CI225" s="396"/>
      <c r="CJ225" s="396"/>
      <c r="CK225" s="396"/>
      <c r="CL225" s="396"/>
      <c r="CM225" s="431"/>
    </row>
    <row r="226" spans="1:110" s="291" customFormat="1" ht="21.75" customHeight="1">
      <c r="A226" s="250" t="s">
        <v>125</v>
      </c>
      <c r="B226" s="272"/>
      <c r="C226" s="406"/>
      <c r="D226" s="678">
        <f>+IF(E221="",0,IF(LOOKUP(E221,Espesor!$C$8:$C$41,Espesor!$K$8:$K$41)="en voladizo",IF(LOOKUP(B221,Espesor!$C$8:$C$41,Espesor!$K$8:$K$41)="en voladizo","Inestable",MAX(ABS(D225),ABS(E225))),IF(LOOKUP(B221,Espesor!$C$8:$C$41,Espesor!$K$8:$K$41)="en voladizo",MAX(ABS(D225),ABS(E225)),-(E225+D225))))</f>
        <v>0.61729999999999996</v>
      </c>
      <c r="E226" s="678"/>
      <c r="F226" s="406"/>
      <c r="G226" s="678">
        <f>+IF(H221="",0,IF(LOOKUP(H221,Espesor!$C$8:$C$41,Espesor!$K$8:$K$41)="en voladizo",IF(LOOKUP(E221,Espesor!$C$8:$C$41,Espesor!$K$8:$K$41)="en voladizo","Inestable",MAX(ABS(G225),ABS(H225))),IF(LOOKUP(E221,Espesor!$C$8:$C$41,Espesor!$K$8:$K$41)="en voladizo",MAX(ABS(G225),ABS(H225)),-(H225+G225))))</f>
        <v>0.1583</v>
      </c>
      <c r="H226" s="678"/>
      <c r="I226" s="406"/>
      <c r="J226" s="678">
        <f>+IF(K221="",0,IF(LOOKUP(K221,Espesor!$C$8:$C$41,Espesor!$K$8:$K$41)="en voladizo",IF(LOOKUP(H221,Espesor!$C$8:$C$41,Espesor!$K$8:$K$41)="en voladizo","Inestable",MAX(ABS(J225),ABS(K225))),IF(LOOKUP(H221,Espesor!$C$8:$C$41,Espesor!$K$8:$K$41)="en voladizo",MAX(ABS(J225),ABS(K225)),-(K225+J225))))</f>
        <v>-1.8834</v>
      </c>
      <c r="K226" s="678"/>
      <c r="L226" s="406"/>
      <c r="M226" s="678">
        <f>+IF(N221="",0,IF(LOOKUP(N221,Espesor!$C$8:$C$41,Espesor!$K$8:$K$41)="en voladizo",IF(LOOKUP(K221,Espesor!$C$8:$C$41,Espesor!$K$8:$K$41)="en voladizo","Inestable",MAX(ABS(M225),ABS(N225))),IF(LOOKUP(K221,Espesor!$C$8:$C$41,Espesor!$K$8:$K$41)="en voladizo",MAX(ABS(M225),ABS(N225)),-(N225+M225))))</f>
        <v>0</v>
      </c>
      <c r="N226" s="678"/>
      <c r="O226" s="406"/>
      <c r="P226" s="678">
        <f>+IF(Q221="",0,IF(LOOKUP(Q221,Espesor!$C$8:$C$41,Espesor!$K$8:$K$41)="en voladizo",IF(LOOKUP(N221,Espesor!$C$8:$C$41,Espesor!$K$8:$K$41)="en voladizo","Inestable",MAX(ABS(P225),ABS(Q225))),IF(LOOKUP(N221,Espesor!$C$8:$C$41,Espesor!$K$8:$K$41)="en voladizo",MAX(ABS(P225),ABS(Q225)),-(Q225+P225))))</f>
        <v>0</v>
      </c>
      <c r="Q226" s="678"/>
      <c r="R226" s="406"/>
      <c r="S226" s="678">
        <f>+IF(T221="",0,IF(LOOKUP(T221,Espesor!$C$8:$C$41,Espesor!$K$8:$K$41)="en voladizo",IF(LOOKUP(Q221,Espesor!$C$8:$C$41,Espesor!$K$8:$K$41)="en voladizo","Inestable",MAX(ABS(S225),ABS(T225))),IF(LOOKUP(Q221,Espesor!$C$8:$C$41,Espesor!$K$8:$K$41)="en voladizo",MAX(ABS(S225),ABS(T225)),-(T225+S225))))</f>
        <v>0</v>
      </c>
      <c r="T226" s="678"/>
      <c r="U226" s="406"/>
      <c r="V226" s="678">
        <f>+IF(W221="",0,IF(LOOKUP(W221,Espesor!$C$8:$C$41,Espesor!$K$8:$K$41)="en voladizo",IF(LOOKUP(T221,Espesor!$C$8:$C$41,Espesor!$K$8:$K$41)="en voladizo","Inestable",MAX(ABS(V225),ABS(W225))),IF(LOOKUP(T221,Espesor!$C$8:$C$41,Espesor!$K$8:$K$41)="en voladizo",MAX(ABS(V225),ABS(W225)),-(W225+V225))))</f>
        <v>0</v>
      </c>
      <c r="W226" s="678"/>
      <c r="X226" s="406"/>
      <c r="Y226" s="678">
        <f>+IF(Z221="",0,IF(LOOKUP(Z221,Espesor!$C$8:$C$41,Espesor!$K$8:$K$41)="en voladizo",IF(LOOKUP(W221,Espesor!$C$8:$C$41,Espesor!$K$8:$K$41)="en voladizo","Inestable",MAX(ABS(Y225),ABS(Z225))),IF(LOOKUP(W221,Espesor!$C$8:$C$41,Espesor!$K$8:$K$41)="en voladizo",MAX(ABS(Y225),ABS(Z225)),-(Z225+Y225))))</f>
        <v>0</v>
      </c>
      <c r="Z226" s="678"/>
      <c r="AA226" s="406"/>
      <c r="AB226" s="252"/>
      <c r="AD226" s="375" t="str">
        <f>+IF(AI220="","",AI220)</f>
        <v/>
      </c>
      <c r="AE226" s="376" t="str">
        <f>IF(N220="","",IF($K$2="X - X",VLOOKUP(N220,Espesor!$C$8:$E$41,2,0),VLOOKUP(N220,Espesor!$C$8:$E$41,3,0)))</f>
        <v/>
      </c>
      <c r="AF226" s="377" t="str">
        <f>IF(AD226="","",IF(LOOKUP(AD226,Espesor!$C$8:$C$41,Espesor!$K$8:$K$41)="en voladizo","",IF(AD227="",0.75/AE226,1/AE226)))</f>
        <v/>
      </c>
      <c r="AG226" s="655" t="str">
        <f>IF(AF226="","",IF(AF227="","",ROUND(AF226/(AF226+AF227),3)))</f>
        <v/>
      </c>
      <c r="AH226" s="655"/>
      <c r="AI226" s="655" t="str">
        <f>IF(AF227="","",IF(AF226="","",ROUND(AF227/(AF227+AF226),3)))</f>
        <v/>
      </c>
      <c r="AJ226" s="655"/>
      <c r="AK226" s="378">
        <f>IF(F195="",0,IF($K$2="X - X",VLOOKUP(F195,'Moms de Empt'!$P$3:$T$36,3,0),VLOOKUP(F195,'Moms de Empt'!$P$3:$T$36,5,0)))</f>
        <v>0</v>
      </c>
      <c r="AL226" s="378">
        <f t="shared" si="391"/>
        <v>0</v>
      </c>
      <c r="AM226" s="656">
        <f>IF(AD227="",0,IF(LOOKUP(AD227,Espesor!$C$8:$C$41,Espesor!$K$8:$K$41)="en voladizo",MAX(ABS(AL226),ABS(AK227)),-(AK227+AL226)))</f>
        <v>0</v>
      </c>
      <c r="AN226" s="656"/>
      <c r="AO226" s="655" t="str">
        <f t="shared" ref="AO226" si="395">IF(AG226="","",AM226*AG226)</f>
        <v/>
      </c>
      <c r="AP226" s="655"/>
      <c r="AQ226" s="655" t="str">
        <f t="shared" ref="AQ226" si="396">IF(AI226="","",AM226*AI226)</f>
        <v/>
      </c>
      <c r="AR226" s="655"/>
      <c r="AS226" s="657">
        <f>-IF(AM226="","",IF(AL226="",IF(AO226="",0,AO226),IF(AO226="",AL226,AL226+AO226)))</f>
        <v>0</v>
      </c>
      <c r="AT226" s="658"/>
      <c r="AU226" s="371">
        <f>+AS226</f>
        <v>0</v>
      </c>
      <c r="AV226" s="379" t="str">
        <f>IF(N220="","",IF(L195="X - X",VLOOKUP(N220,'Moms de Empt'!$P$3:$T$36,2,0),VLOOKUP(N220,'Moms de Empt'!$P$3:$T$36,4,0)))</f>
        <v/>
      </c>
      <c r="AW226" s="654" t="str">
        <f>IF(AV226="","",IF(AV227="","",ROUND(AV226/(AV226+AV227),3)))</f>
        <v/>
      </c>
      <c r="AX226" s="654"/>
      <c r="AY226" s="654" t="str">
        <f>IF(AV227="","",IF(AV226="","",ROUND(AV227/(AV227+AV226),3)))</f>
        <v/>
      </c>
      <c r="AZ226" s="654"/>
      <c r="BA226" s="374" t="str">
        <f t="shared" si="366"/>
        <v/>
      </c>
      <c r="BC226" s="401"/>
      <c r="BD226" s="398"/>
      <c r="BE226" s="391"/>
      <c r="BF226" s="396"/>
      <c r="BG226" s="396"/>
      <c r="BH226" s="396"/>
      <c r="BI226" s="396"/>
      <c r="BJ226" s="396"/>
      <c r="BK226" s="396"/>
      <c r="BL226" s="396"/>
      <c r="BM226" s="396"/>
      <c r="BN226" s="396"/>
      <c r="BO226" s="396"/>
      <c r="BP226" s="396"/>
      <c r="BQ226" s="396"/>
      <c r="BR226" s="396"/>
      <c r="BS226" s="396"/>
      <c r="BT226" s="396"/>
      <c r="BU226" s="396"/>
      <c r="BV226" s="396"/>
      <c r="BW226" s="396"/>
      <c r="BX226" s="396"/>
      <c r="BY226" s="396"/>
      <c r="BZ226" s="396"/>
      <c r="CA226" s="396"/>
      <c r="CB226" s="396"/>
      <c r="CC226" s="396"/>
      <c r="CD226" s="396"/>
      <c r="CE226" s="396"/>
      <c r="CF226" s="396"/>
      <c r="CG226" s="396"/>
      <c r="CH226" s="396"/>
      <c r="CI226" s="396"/>
      <c r="CJ226" s="396"/>
      <c r="CK226" s="396"/>
      <c r="CL226" s="396"/>
      <c r="CM226" s="431"/>
    </row>
    <row r="227" spans="1:110" s="291" customFormat="1" ht="21.75" customHeight="1">
      <c r="A227" s="253" t="s">
        <v>126</v>
      </c>
      <c r="B227" s="29"/>
      <c r="C227" s="30"/>
      <c r="D227" s="254">
        <f>IF(D224="","",D226*D224)</f>
        <v>0.34507070000000001</v>
      </c>
      <c r="E227" s="30">
        <f>IF(E224="","",D226*E224)</f>
        <v>0.27222930000000001</v>
      </c>
      <c r="F227" s="30"/>
      <c r="G227" s="277">
        <f>IF(G224="","",G226*G224)</f>
        <v>7.4559299999999995E-2</v>
      </c>
      <c r="H227" s="278">
        <f>IF(H224="","",G226*H224)</f>
        <v>8.3740700000000001E-2</v>
      </c>
      <c r="I227" s="30"/>
      <c r="J227" s="254">
        <f>IF(J224="","",J226*J224)</f>
        <v>-1.3447475999999998</v>
      </c>
      <c r="K227" s="30">
        <f>IF(K224="","",J226*K224)</f>
        <v>-0.53865239999999992</v>
      </c>
      <c r="L227" s="30"/>
      <c r="M227" s="254">
        <f>IF(M224="","",M226*M224)</f>
        <v>0</v>
      </c>
      <c r="N227" s="30">
        <f>IF(N224="","",M226*N224)</f>
        <v>0</v>
      </c>
      <c r="O227" s="30"/>
      <c r="P227" s="254">
        <f>IF(P224="","",P226*P224)</f>
        <v>0</v>
      </c>
      <c r="Q227" s="30">
        <f>IF(Q224="","",P226*Q224)</f>
        <v>0</v>
      </c>
      <c r="R227" s="30"/>
      <c r="S227" s="254">
        <f>IF(S224="","",S226*S224)</f>
        <v>0</v>
      </c>
      <c r="T227" s="30">
        <f>IF(T224="","",S226*T224)</f>
        <v>0</v>
      </c>
      <c r="U227" s="30"/>
      <c r="V227" s="254">
        <f>IF(V224="","",V226*V224)</f>
        <v>0</v>
      </c>
      <c r="W227" s="30">
        <f>IF(W224="","",V226*W224)</f>
        <v>0</v>
      </c>
      <c r="X227" s="30"/>
      <c r="Y227" s="254">
        <f>IF(Y224="","",Y226*Y224)</f>
        <v>0</v>
      </c>
      <c r="Z227" s="30">
        <f>IF(Z224="","",Y226*Z224)</f>
        <v>0</v>
      </c>
      <c r="AA227" s="30"/>
      <c r="AB227" s="31"/>
      <c r="AD227" s="375" t="str">
        <f>+IF(AJ220="","",AJ220)</f>
        <v/>
      </c>
      <c r="AE227" s="376" t="str">
        <f>IF(Q220="","",IF($K$2="X - X",VLOOKUP(Q220,Espesor!$C$8:$E$41,2,0),VLOOKUP(Q220,Espesor!$C$8:$E$41,3,0)))</f>
        <v/>
      </c>
      <c r="AF227" s="377" t="str">
        <f>IF(AD227="","",IF(LOOKUP(AD227,Espesor!$C$8:$C$41,Espesor!$K$8:$K$41)="en voladizo","",IF(AD228="",0.75/AE227,1/AE227)))</f>
        <v/>
      </c>
      <c r="AG227" s="655"/>
      <c r="AH227" s="655" t="str">
        <f>IF(AF227="","",IF(AF228="","",ROUND(AF227/(AF227+AF228),3)))</f>
        <v/>
      </c>
      <c r="AI227" s="655"/>
      <c r="AJ227" s="655" t="str">
        <f>IF(AF227="","",IF(AF228="","",ROUND(AF228/(AF227+AF228),3)))</f>
        <v/>
      </c>
      <c r="AK227" s="378">
        <f>IF(G195="",0,IF($K$2="X - X",VLOOKUP(G195,'Moms de Empt'!$P$3:$T$36,3,0),VLOOKUP(G195,'Moms de Empt'!$P$3:$T$36,5,0)))</f>
        <v>0</v>
      </c>
      <c r="AL227" s="378">
        <f t="shared" si="391"/>
        <v>0</v>
      </c>
      <c r="AM227" s="656"/>
      <c r="AN227" s="656">
        <f>IF(AD228="",0,IF(LOOKUP(AD228,Espesor!$C$8:$C$41,Espesor!$K$8:$K$41)="en voladizo",MAX(ABS(AL227),ABS(AK228)),-(AK228+AL227)))</f>
        <v>0</v>
      </c>
      <c r="AO227" s="655"/>
      <c r="AP227" s="655" t="str">
        <f t="shared" ref="AP227" si="397">IF(AH227="","",AN227*AH227)</f>
        <v/>
      </c>
      <c r="AQ227" s="655"/>
      <c r="AR227" s="655" t="str">
        <f t="shared" ref="AR227" si="398">IF(AJ227="","",AN227*AJ227)</f>
        <v/>
      </c>
      <c r="AS227" s="658"/>
      <c r="AT227" s="657">
        <f t="shared" ref="AT227" si="399">-IF(AN227="","",IF(AL227="",IF(AP227="",0,AP227),IF(AP227="",AL227,AL227+AP227)))</f>
        <v>0</v>
      </c>
      <c r="AU227" s="371">
        <f>+AT227</f>
        <v>0</v>
      </c>
      <c r="AV227" s="379" t="str">
        <f>IF(Q220="","",IF(L195="X - X",VLOOKUP(Q220,'Moms de Empt'!$P$3:$T$36,2,0),VLOOKUP(Q220,'Moms de Empt'!$P$3:$T$36,4,0)))</f>
        <v/>
      </c>
      <c r="AW227" s="654"/>
      <c r="AX227" s="654" t="str">
        <f>IF(AV227="","",IF(AV228="","",ROUND(AV227/(AV227+AV228),3)))</f>
        <v/>
      </c>
      <c r="AY227" s="654"/>
      <c r="AZ227" s="654" t="str">
        <f>IF(AV227="","",IF(AV228="","",ROUND(AV228/(AV227+AV228),3)))</f>
        <v/>
      </c>
      <c r="BA227" s="374" t="str">
        <f t="shared" si="366"/>
        <v/>
      </c>
      <c r="BC227" s="401"/>
      <c r="BD227" s="398"/>
      <c r="BE227" s="391"/>
      <c r="BF227" s="396"/>
      <c r="BG227" s="396"/>
      <c r="BH227" s="396"/>
      <c r="BI227" s="396"/>
      <c r="BJ227" s="396"/>
      <c r="BK227" s="396"/>
      <c r="BL227" s="396"/>
      <c r="BM227" s="396"/>
      <c r="BN227" s="396"/>
      <c r="BO227" s="396"/>
      <c r="BP227" s="396"/>
      <c r="BQ227" s="396"/>
      <c r="BR227" s="396"/>
      <c r="BS227" s="396"/>
      <c r="BT227" s="396"/>
      <c r="BU227" s="396"/>
      <c r="BV227" s="396"/>
      <c r="BW227" s="396"/>
      <c r="BX227" s="396"/>
      <c r="BY227" s="396"/>
      <c r="BZ227" s="396"/>
      <c r="CA227" s="396"/>
      <c r="CB227" s="396"/>
      <c r="CC227" s="396"/>
      <c r="CD227" s="396"/>
      <c r="CE227" s="396"/>
      <c r="CF227" s="396"/>
      <c r="CG227" s="396"/>
      <c r="CH227" s="396"/>
      <c r="CI227" s="396"/>
      <c r="CJ227" s="396"/>
      <c r="CK227" s="396"/>
      <c r="CL227" s="396"/>
      <c r="CM227" s="431"/>
    </row>
    <row r="228" spans="1:110" s="291" customFormat="1" ht="21.75" customHeight="1" thickBot="1">
      <c r="A228" s="32"/>
      <c r="B228" s="29"/>
      <c r="C228" s="30"/>
      <c r="D228" s="255">
        <f>IF(D226="",0,IF(D225="",IF(D227="",0,D227),IF(D227="",D225,D225+D227)))</f>
        <v>-1.0062293</v>
      </c>
      <c r="E228" s="256">
        <f>IF(D226="",0,IF(E225="",IF(E227="",0,E227),IF(E227="",E225,E225+E227)))</f>
        <v>1.0062293</v>
      </c>
      <c r="F228" s="30"/>
      <c r="G228" s="276">
        <f>IF(G226="",0,IF(G225="",IF(G227="",0,G227),IF(G227="",G225,G225+G227)))</f>
        <v>-0.65944069999999999</v>
      </c>
      <c r="H228" s="256">
        <f>IF(G226="",0,IF(H225="",IF(H227="",0,H227),IF(H227="",H225,H225+H227)))</f>
        <v>0.65944069999999999</v>
      </c>
      <c r="I228" s="30"/>
      <c r="J228" s="276">
        <f>IF(J226="",0,IF(J225="",IF(J227="",0,J227),IF(J227="",J225,J225+J227)))</f>
        <v>-1.9204475999999997</v>
      </c>
      <c r="K228" s="256">
        <f>IF(J226="",0,IF(K225="",IF(K227="",0,K227),IF(K227="",K225,K225+K227)))</f>
        <v>1.9204475999999999</v>
      </c>
      <c r="L228" s="30"/>
      <c r="M228" s="276">
        <f>IF(M226="",0,IF(M225="",IF(M227="",0,M227),IF(M227="",M225,M225+M227)))</f>
        <v>-2.4590999999999998</v>
      </c>
      <c r="N228" s="256">
        <f>IF(M226="",0,IF(N225="",IF(N227="",0,N227),IF(N227="",N225,N225+N227)))</f>
        <v>0</v>
      </c>
      <c r="O228" s="30"/>
      <c r="P228" s="276">
        <f>IF(P226="",0,IF(P225="",IF(P227="",0,P227),IF(P227="",P225,P225+P227)))</f>
        <v>0</v>
      </c>
      <c r="Q228" s="256">
        <f>IF(P226="",0,IF(Q225="",IF(Q227="",0,Q227),IF(Q227="",Q225,Q225+Q227)))</f>
        <v>0</v>
      </c>
      <c r="R228" s="30"/>
      <c r="S228" s="276">
        <f>IF(S226="",0,IF(S225="",IF(S227="",0,S227),IF(S227="",S225,S225+S227)))</f>
        <v>0</v>
      </c>
      <c r="T228" s="256">
        <f>IF(S226="",0,IF(T225="",IF(T227="",0,T227),IF(T227="",T225,T225+T227)))</f>
        <v>0</v>
      </c>
      <c r="U228" s="30"/>
      <c r="V228" s="276">
        <f>IF(V226="",0,IF(V225="",IF(V227="",0,V227),IF(V227="",V225,V225+V227)))</f>
        <v>0</v>
      </c>
      <c r="W228" s="256">
        <f>IF(V226="",0,IF(W225="",IF(W227="",0,W227),IF(W227="",W225,W225+W227)))</f>
        <v>0</v>
      </c>
      <c r="X228" s="30"/>
      <c r="Y228" s="276">
        <f>IF(Y226="",0,IF(Y225="",IF(Y227="",0,Y227),IF(Y227="",Y225,Y225+Y227)))</f>
        <v>0</v>
      </c>
      <c r="Z228" s="256">
        <f>IF(Y226="",0,IF(Z225="",IF(Z227="",0,Z227),IF(Z227="",Z225,Z225+Z227)))</f>
        <v>0</v>
      </c>
      <c r="AA228" s="30"/>
      <c r="AB228" s="31"/>
      <c r="AD228" s="375" t="str">
        <f>+IF(AK220="","",AK220)</f>
        <v/>
      </c>
      <c r="AE228" s="376" t="str">
        <f>IF(T220="","",IF($K$2="X - X",VLOOKUP(T220,Espesor!$C$8:$E$41,2,0),VLOOKUP(T220,Espesor!$C$8:$E$41,3,0)))</f>
        <v/>
      </c>
      <c r="AF228" s="377" t="str">
        <f>IF(AD228="","",IF(LOOKUP(AD228,Espesor!$C$8:$C$41,Espesor!$K$8:$K$41)="en voladizo","",IF(AD229="",0.75/AE228,1/AE228)))</f>
        <v/>
      </c>
      <c r="AG228" s="655" t="str">
        <f>IF(AF228="","",IF(AF229="","",ROUND(AF228/(AF228+AF229),3)))</f>
        <v/>
      </c>
      <c r="AH228" s="655"/>
      <c r="AI228" s="655" t="str">
        <f>IF(AF229="","",IF(AF228="","",ROUND(AF229/(AF229+AF228),3)))</f>
        <v/>
      </c>
      <c r="AJ228" s="655"/>
      <c r="AK228" s="378">
        <f>IF(H195="",0,IF($K$2="X - X",VLOOKUP(H195,'Moms de Empt'!$P$3:$T$36,3,0),VLOOKUP(H195,'Moms de Empt'!$P$3:$T$36,5,0)))</f>
        <v>0</v>
      </c>
      <c r="AL228" s="378">
        <f>+IF(AD229="",0,-AK228)</f>
        <v>0</v>
      </c>
      <c r="AM228" s="656">
        <f>IF(AD229="",0,IF(LOOKUP(AD229,Espesor!$C$8:$C$41,Espesor!$K$8:$K$41)="en voladizo",MAX(ABS(AL228),ABS(AK229)),-(AK229+AL228)))</f>
        <v>0</v>
      </c>
      <c r="AN228" s="656"/>
      <c r="AO228" s="655" t="str">
        <f>IF(AG228="","",AM228*AG228)</f>
        <v/>
      </c>
      <c r="AP228" s="655"/>
      <c r="AQ228" s="655" t="str">
        <f t="shared" ref="AQ228" si="400">IF(AI228="","",AM228*AI228)</f>
        <v/>
      </c>
      <c r="AR228" s="655"/>
      <c r="AS228" s="657">
        <f>-IF(AM228="","",IF(AL228="",IF(AO228="",0,AO228),IF(AO228="",AL228,AL228+AO228)))</f>
        <v>0</v>
      </c>
      <c r="AT228" s="658"/>
      <c r="AU228" s="371">
        <f>+AS228</f>
        <v>0</v>
      </c>
      <c r="AV228" s="379" t="str">
        <f>IF(T220="","",IF(L195="X - X",VLOOKUP(T220,'Moms de Empt'!$P$3:$T$36,2,0),VLOOKUP(T220,'Moms de Empt'!$P$3:$T$36,4,0)))</f>
        <v/>
      </c>
      <c r="AW228" s="654" t="str">
        <f>IF(AV228="","",IF(AV229="","",ROUND(AV228/(AV228+AV229),3)))</f>
        <v/>
      </c>
      <c r="AX228" s="654"/>
      <c r="AY228" s="654" t="str">
        <f>IF(AV229="","",IF(AV228="","",ROUND(AV229/(AV229+AV228),3)))</f>
        <v/>
      </c>
      <c r="AZ228" s="654"/>
      <c r="BA228" s="374" t="str">
        <f t="shared" si="366"/>
        <v/>
      </c>
      <c r="BC228" s="401"/>
      <c r="BD228" s="398"/>
      <c r="BE228" s="391"/>
      <c r="BF228" s="396"/>
      <c r="BG228" s="396"/>
      <c r="BH228" s="396"/>
      <c r="BI228" s="396"/>
      <c r="BJ228" s="396"/>
      <c r="BK228" s="396"/>
      <c r="BL228" s="396"/>
      <c r="BM228" s="396"/>
      <c r="BN228" s="396"/>
      <c r="BO228" s="396"/>
      <c r="BP228" s="396"/>
      <c r="BQ228" s="396"/>
      <c r="BR228" s="396"/>
      <c r="BS228" s="396"/>
      <c r="BT228" s="396"/>
      <c r="BU228" s="396"/>
      <c r="BV228" s="396"/>
      <c r="BW228" s="396"/>
      <c r="BX228" s="396"/>
      <c r="BY228" s="396"/>
      <c r="BZ228" s="396"/>
      <c r="CA228" s="396"/>
      <c r="CB228" s="396"/>
      <c r="CC228" s="396"/>
      <c r="CD228" s="396"/>
      <c r="CE228" s="396"/>
      <c r="CF228" s="396"/>
      <c r="CG228" s="396"/>
      <c r="CH228" s="396"/>
      <c r="CI228" s="396"/>
      <c r="CJ228" s="396"/>
      <c r="CK228" s="396"/>
      <c r="CL228" s="396"/>
      <c r="CM228" s="431"/>
    </row>
    <row r="229" spans="1:110" s="291" customFormat="1" ht="21.75" customHeight="1" thickBot="1">
      <c r="A229" s="36" t="s">
        <v>66</v>
      </c>
      <c r="B229" s="273"/>
      <c r="C229" s="36"/>
      <c r="D229" s="672">
        <f>IF(E221="",0,IF(D228=0,IF(E228=0,MAX(ABS(D225),ABS(E225)),E228),MAX(ABS(D228),ABS(E228))))</f>
        <v>1.0062293</v>
      </c>
      <c r="E229" s="674"/>
      <c r="F229" s="36"/>
      <c r="G229" s="672">
        <f>IF(H221="",0,IF(G228=0,IF(H228=0,MAX(ABS(G225),ABS(H225)),H228),MAX(ABS(G228),ABS(H228))))</f>
        <v>0.65944069999999999</v>
      </c>
      <c r="H229" s="674"/>
      <c r="I229" s="36"/>
      <c r="J229" s="672">
        <f>IF(K221="",0,IF(J228=0,IF(K228=0,MAX(ABS(J225),ABS(K225)),K228),MAX(ABS(J228),ABS(K228))))</f>
        <v>1.9204475999999999</v>
      </c>
      <c r="K229" s="674"/>
      <c r="L229" s="36"/>
      <c r="M229" s="672">
        <f>IF(N221="",0,IF(M228=0,IF(N228=0,MAX(ABS(M225),ABS(N225)),N228),MAX(ABS(M228),ABS(N228))))</f>
        <v>0</v>
      </c>
      <c r="N229" s="674"/>
      <c r="O229" s="36"/>
      <c r="P229" s="672">
        <f>IF(Q221="",0,IF(P228=0,IF(Q228=0,MAX(ABS(P225),ABS(Q225)),Q228),MAX(ABS(P228),ABS(Q228))))</f>
        <v>0</v>
      </c>
      <c r="Q229" s="674"/>
      <c r="R229" s="36"/>
      <c r="S229" s="672">
        <f>IF(T221="",0,IF(S228=0,IF(T228=0,MAX(ABS(S225),ABS(T225)),T228),MAX(ABS(S228),ABS(T228))))</f>
        <v>0</v>
      </c>
      <c r="T229" s="674"/>
      <c r="U229" s="265"/>
      <c r="V229" s="672">
        <f>IF(W221="",0,IF(V228=0,IF(W228=0,MAX(ABS(V225),ABS(W225)),W228),MAX(ABS(V228),ABS(W228))))</f>
        <v>0</v>
      </c>
      <c r="W229" s="674"/>
      <c r="X229" s="36"/>
      <c r="Y229" s="672">
        <f>IF(Z221="",0,IF(Y228=0,IF(Z228=0,MAX(ABS(Y225),ABS(Z225)),Z228),MAX(ABS(Y228),ABS(Z228))))</f>
        <v>0</v>
      </c>
      <c r="Z229" s="674"/>
      <c r="AA229" s="37"/>
      <c r="AB229" s="38"/>
      <c r="AD229" s="375" t="str">
        <f>+IF(AL220="","",AL220)</f>
        <v/>
      </c>
      <c r="AE229" s="376" t="str">
        <f>IF(W220="","",IF($K$2="X - X",VLOOKUP(W220,Espesor!$C$8:$E$41,2,0),VLOOKUP(W220,Espesor!$C$8:$E$41,3,0)))</f>
        <v/>
      </c>
      <c r="AF229" s="377" t="str">
        <f>IF(AD229="","",IF(LOOKUP(AD229,Espesor!$C$8:$C$41,Espesor!$K$8:$K$41)="en voladizo","",IF(AD230="",0.75/AE229,1/AE229)))</f>
        <v/>
      </c>
      <c r="AG229" s="655"/>
      <c r="AH229" s="655" t="str">
        <f>IF(AF229="","",IF(AF230="","",ROUND(AF229/(AF229+AF230),3)))</f>
        <v/>
      </c>
      <c r="AI229" s="655"/>
      <c r="AJ229" s="655" t="str">
        <f>IF(AF229="","",IF(AF230="","",ROUND(AF230/(AF229+AF230),3)))</f>
        <v/>
      </c>
      <c r="AK229" s="378">
        <f>IF(I195="",0,IF($K$2="X - X",VLOOKUP(I195,'Moms de Empt'!$P$3:$T$36,3,0),VLOOKUP(I195,'Moms de Empt'!$P$3:$T$36,5,0)))</f>
        <v>0</v>
      </c>
      <c r="AL229" s="378">
        <f t="shared" ref="AL229:AL230" si="401">+IF(AD230="",0,-AK229)</f>
        <v>0</v>
      </c>
      <c r="AM229" s="656"/>
      <c r="AN229" s="656">
        <f>IF(AD230="",0,IF(LOOKUP(AD230,Espesor!$C$8:$C$41,Espesor!$K$8:$K$41)="en voladizo",MAX(ABS(AL229),ABS(AK230)),-(AK230+AL229)))</f>
        <v>0</v>
      </c>
      <c r="AO229" s="655"/>
      <c r="AP229" s="655" t="str">
        <f t="shared" ref="AP229" si="402">IF(AH229="","",AN229*AH229)</f>
        <v/>
      </c>
      <c r="AQ229" s="655"/>
      <c r="AR229" s="655" t="str">
        <f t="shared" ref="AR229" si="403">IF(AJ229="","",AN229*AJ229)</f>
        <v/>
      </c>
      <c r="AS229" s="658"/>
      <c r="AT229" s="657">
        <f t="shared" ref="AT229" si="404">-IF(AN229="","",IF(AL229="",IF(AP229="",0,AP229),IF(AP229="",AL229,AL229+AP229)))</f>
        <v>0</v>
      </c>
      <c r="AU229" s="371">
        <f>+AT229</f>
        <v>0</v>
      </c>
      <c r="AV229" s="379" t="str">
        <f>IF(W220="","",IF(L195="X - X",VLOOKUP(W220,'Moms de Empt'!$P$3:$T$36,2,0),VLOOKUP(W220,'Moms de Empt'!$P$3:$T$36,4,0)))</f>
        <v/>
      </c>
      <c r="AW229" s="654"/>
      <c r="AX229" s="654" t="str">
        <f>IF(AV229="","",IF(AV230="","",ROUND(AV229/(AV229+AV230),3)))</f>
        <v/>
      </c>
      <c r="AY229" s="654"/>
      <c r="AZ229" s="654" t="str">
        <f>IF(AV229="","",IF(AV230="","",ROUND(AV230/(AV229+AV230),3)))</f>
        <v/>
      </c>
      <c r="BA229" s="374" t="str">
        <f t="shared" si="366"/>
        <v/>
      </c>
      <c r="BC229" s="401"/>
      <c r="BD229" s="398"/>
      <c r="BE229" s="391"/>
      <c r="BF229" s="396"/>
      <c r="BG229" s="396"/>
      <c r="BH229" s="396"/>
      <c r="BI229" s="396"/>
      <c r="BJ229" s="396"/>
      <c r="BK229" s="396"/>
      <c r="BL229" s="396"/>
      <c r="BM229" s="396"/>
      <c r="BN229" s="396"/>
      <c r="BO229" s="396"/>
      <c r="BP229" s="396"/>
      <c r="BQ229" s="396"/>
      <c r="BR229" s="396"/>
      <c r="BS229" s="396"/>
      <c r="BT229" s="396"/>
      <c r="BU229" s="396"/>
      <c r="BV229" s="396"/>
      <c r="BW229" s="396"/>
      <c r="BX229" s="396"/>
      <c r="BY229" s="396"/>
      <c r="BZ229" s="396"/>
      <c r="CA229" s="396"/>
      <c r="CB229" s="396"/>
      <c r="CC229" s="396"/>
      <c r="CD229" s="396"/>
      <c r="CE229" s="396"/>
      <c r="CF229" s="396"/>
      <c r="CG229" s="396"/>
      <c r="CH229" s="396"/>
      <c r="CI229" s="396"/>
      <c r="CJ229" s="396"/>
      <c r="CK229" s="396"/>
      <c r="CL229" s="396"/>
      <c r="CM229" s="431"/>
    </row>
    <row r="230" spans="1:110" s="291" customFormat="1" ht="21.75" customHeight="1" thickBot="1">
      <c r="A230" s="36"/>
      <c r="B230" s="274"/>
      <c r="C230" s="36"/>
      <c r="D230" s="690">
        <f>IF(D229="","",D229*100000)</f>
        <v>100622.93</v>
      </c>
      <c r="E230" s="690"/>
      <c r="F230" s="36"/>
      <c r="G230" s="690">
        <f>IF(G229="","",G229*100000)</f>
        <v>65944.069999999992</v>
      </c>
      <c r="H230" s="690"/>
      <c r="I230" s="388"/>
      <c r="J230" s="690">
        <f>IF(J229="","",J229*100000)</f>
        <v>192044.75999999998</v>
      </c>
      <c r="K230" s="690"/>
      <c r="L230" s="388"/>
      <c r="M230" s="690">
        <f>IF(M229="","",M229*100000)</f>
        <v>0</v>
      </c>
      <c r="N230" s="690"/>
      <c r="O230" s="388"/>
      <c r="P230" s="690">
        <f>IF(P229="","",P229*100000)</f>
        <v>0</v>
      </c>
      <c r="Q230" s="690"/>
      <c r="R230" s="388"/>
      <c r="S230" s="690">
        <f>IF(S229="","",S229*100000)</f>
        <v>0</v>
      </c>
      <c r="T230" s="690"/>
      <c r="U230" s="387"/>
      <c r="V230" s="690">
        <f>IF(V229="","",V229*100000)</f>
        <v>0</v>
      </c>
      <c r="W230" s="690"/>
      <c r="X230" s="388"/>
      <c r="Y230" s="690">
        <f>IF(Y229="","",Y229*100000)</f>
        <v>0</v>
      </c>
      <c r="Z230" s="690"/>
      <c r="AA230" s="37"/>
      <c r="AB230" s="275"/>
      <c r="AD230" s="375" t="str">
        <f>+IF(AM220="","",AM220)</f>
        <v/>
      </c>
      <c r="AE230" s="376" t="str">
        <f>IF(Z220="","",IF($K$2="X - X",VLOOKUP(Z220,Espesor!$C$8:$E$41,2,0),VLOOKUP(Z220,Espesor!$C$8:$E$41,3,0)))</f>
        <v/>
      </c>
      <c r="AF230" s="377" t="str">
        <f>IF(AD230="","",IF(LOOKUP(AD230,Espesor!$C$8:$C$41,Espesor!$K$8:$K$41)="en voladizo","",IF(AD231="",0.75/AE230,1/AE230)))</f>
        <v/>
      </c>
      <c r="AG230" s="381" t="str">
        <f>IF(AF230="","",IF(AK204="","",ROUND(AF230/(AF230+AK204),3)))</f>
        <v/>
      </c>
      <c r="AH230" s="655"/>
      <c r="AI230" s="381" t="str">
        <f>IF(AK204="","",IF(AF230="","",ROUND(AK204/(AK204+AF230),3)))</f>
        <v/>
      </c>
      <c r="AJ230" s="655"/>
      <c r="AK230" s="378">
        <f>IF(J195="",0,IF($K$2="X - X",VLOOKUP(J195,'Moms de Empt'!$P$3:$T$36,3,0),VLOOKUP(J195,'Moms de Empt'!$P$3:$T$36,5,0)))</f>
        <v>0</v>
      </c>
      <c r="AL230" s="378">
        <f t="shared" si="401"/>
        <v>0</v>
      </c>
      <c r="AM230" s="382" t="str">
        <f>IF(AI204="","",IF(LOOKUP(AI204,[6]Espesor!$C$8:$C$41,[6]Espesor!$K$8:$K$41)="en voladizo",MAX(ABS(AL230),ABS(AQ204)),-(AQ204-AL230)))</f>
        <v/>
      </c>
      <c r="AN230" s="656"/>
      <c r="AO230" s="381" t="str">
        <f t="shared" ref="AO230" si="405">IF(AG230="","",AM230*AG230)</f>
        <v/>
      </c>
      <c r="AP230" s="655"/>
      <c r="AQ230" s="383" t="str">
        <f t="shared" ref="AQ230" si="406">IF(AI230="","",AM230*AI230)</f>
        <v/>
      </c>
      <c r="AR230" s="655"/>
      <c r="AS230" s="384" t="str">
        <f t="shared" ref="AS230" si="407">IF(AM230="","",IF(AL230="",IF(AO230="",0,AO230),IF(AO230="",AL230,AL230+AO230)))</f>
        <v/>
      </c>
      <c r="AT230" s="658"/>
      <c r="AU230" s="371"/>
      <c r="AV230" s="385" t="str">
        <f>IF(Z220="","",IF(L195="X - X",VLOOKUP(Z220,'Moms de Empt'!$P$3:$T$36,2,0),VLOOKUP(Z220,'Moms de Empt'!$P$3:$T$36,4,0)))</f>
        <v/>
      </c>
      <c r="AW230" s="386" t="str">
        <f>IF(AV230="","",IF(BA204="","",ROUND(AV230/(AV230+BA204),3)))</f>
        <v/>
      </c>
      <c r="AX230" s="654"/>
      <c r="AY230" s="386" t="str">
        <f>IF(BA204="","",IF(AV230="","",ROUND(BA204/(BA204+AV230),3)))</f>
        <v/>
      </c>
      <c r="AZ230" s="654"/>
      <c r="BA230" s="374"/>
      <c r="BC230" s="401"/>
      <c r="BD230" s="398"/>
      <c r="BE230" s="391"/>
      <c r="BF230" s="396"/>
      <c r="BG230" s="396"/>
      <c r="BH230" s="396"/>
      <c r="BI230" s="396"/>
      <c r="BJ230" s="396"/>
      <c r="BK230" s="396"/>
      <c r="BL230" s="396"/>
      <c r="BM230" s="396"/>
      <c r="BN230" s="396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431"/>
    </row>
    <row r="231" spans="1:110" s="291" customFormat="1" ht="21.75" customHeight="1" thickBot="1">
      <c r="A231" s="257" t="s">
        <v>127</v>
      </c>
      <c r="B231" s="675">
        <f>+IF(B221="","",VLOOKUP(B221,'Moms de Empt'!$P$3:$T$36,4,0))</f>
        <v>0.25940000000000002</v>
      </c>
      <c r="C231" s="676"/>
      <c r="D231" s="677"/>
      <c r="E231" s="675">
        <f>+IF(E221="","",VLOOKUP(E221,'Moms de Empt'!$P$3:$T$36,4,0))</f>
        <v>0.55469999999999997</v>
      </c>
      <c r="F231" s="676"/>
      <c r="G231" s="677"/>
      <c r="H231" s="675">
        <f>+IF(H221="","",VLOOKUP(H221,'Moms de Empt'!$P$3:$T$36,4,0))</f>
        <v>0.43780000000000002</v>
      </c>
      <c r="I231" s="676"/>
      <c r="J231" s="677"/>
      <c r="K231" s="675">
        <f>+IF(K221="","",VLOOKUP(K221,'Moms de Empt'!$P$3:$T$36,4,0))</f>
        <v>1.8625</v>
      </c>
      <c r="L231" s="676"/>
      <c r="M231" s="677"/>
      <c r="N231" s="675" t="str">
        <f>+IF(N221="","",VLOOKUP(N221,'Moms de Empt'!$P$3:$T$36,4,0))</f>
        <v/>
      </c>
      <c r="O231" s="676"/>
      <c r="P231" s="677"/>
      <c r="Q231" s="675" t="str">
        <f>+IF(Q221="","",VLOOKUP(Q221,'Moms de Empt'!$P$3:$T$36,4,0))</f>
        <v/>
      </c>
      <c r="R231" s="676"/>
      <c r="S231" s="677"/>
      <c r="T231" s="675" t="str">
        <f>+IF(T221="","",VLOOKUP(T221,'Moms de Empt'!$P$3:$T$36,4,0))</f>
        <v/>
      </c>
      <c r="U231" s="676"/>
      <c r="V231" s="677"/>
      <c r="W231" s="675" t="str">
        <f>+IF(W221="","",VLOOKUP(W221,'Moms de Empt'!$P$3:$T$36,4,0))</f>
        <v/>
      </c>
      <c r="X231" s="676"/>
      <c r="Y231" s="677"/>
      <c r="Z231" s="675" t="str">
        <f>+IF(Z221="","",VLOOKUP(Z221,'Moms de Empt'!$P$3:$T$36,4,0))</f>
        <v/>
      </c>
      <c r="AA231" s="676"/>
      <c r="AB231" s="677"/>
      <c r="AD231" s="39"/>
      <c r="AE231" s="260"/>
      <c r="AF231" s="39"/>
      <c r="AG231" s="39"/>
      <c r="AH231" s="39"/>
      <c r="AI231" s="260"/>
      <c r="AJ231" s="260"/>
      <c r="AK231" s="39"/>
      <c r="AL231" s="39"/>
      <c r="AM231" s="260"/>
      <c r="AN231" s="260"/>
      <c r="AO231" s="39"/>
      <c r="AP231" s="39"/>
      <c r="AQ231" s="39"/>
      <c r="AR231" s="39"/>
      <c r="AS231" s="260"/>
      <c r="AT231" s="260"/>
      <c r="AU231" s="260"/>
      <c r="AV231" s="260"/>
      <c r="AW231" s="260"/>
      <c r="AX231" s="260"/>
      <c r="AY231" s="260"/>
      <c r="AZ231" s="260"/>
      <c r="BA231" s="260"/>
      <c r="BC231" s="401"/>
      <c r="BD231" s="398"/>
      <c r="BE231" s="391"/>
      <c r="BF231" s="396"/>
      <c r="BG231" s="396"/>
      <c r="BH231" s="396"/>
      <c r="BI231" s="396"/>
      <c r="BJ231" s="396"/>
      <c r="BK231" s="396"/>
      <c r="BL231" s="396"/>
      <c r="BM231" s="396"/>
      <c r="BN231" s="396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431"/>
    </row>
    <row r="232" spans="1:110" s="291" customFormat="1" ht="21.75" customHeight="1" thickBot="1">
      <c r="A232" s="258"/>
      <c r="B232" s="209"/>
      <c r="C232" s="209"/>
      <c r="D232" s="209">
        <f>IF(B223="","",IF(D225="","",IF(ABS(D229)&gt;ABS(D225),-0.5*ABS(D227),0.5*ABS(D227))))</f>
        <v>0.17253535</v>
      </c>
      <c r="E232" s="209">
        <f>IF(E223="","",IF(E225="","",IF(ABS(D229)&gt;ABS(E225),-0.5*ABS(E227),0.5*ABS(E227))))</f>
        <v>-0.13611465</v>
      </c>
      <c r="F232" s="209"/>
      <c r="G232" s="209">
        <f>IF(E223="","",IF(G225="","",IF(ABS(G229)&gt;ABS(G225),-0.5*ABS(G227),0.5*ABS(G227))))</f>
        <v>3.7279649999999998E-2</v>
      </c>
      <c r="H232" s="209">
        <f>IF(H223="","",IF(H225="","",IF(ABS(G229)&gt;ABS(H225),-0.5*ABS(H227),0.5*ABS(H227))))</f>
        <v>-4.1870350000000001E-2</v>
      </c>
      <c r="I232" s="209"/>
      <c r="J232" s="209">
        <f>IF(H223="","",IF(J225="","",IF(ABS(J229)&gt;ABS(J225),-0.5*ABS(J227),0.5*ABS(J227))))</f>
        <v>-0.67237379999999991</v>
      </c>
      <c r="K232" s="209">
        <f>IF(K223="","",IF(K225="","",IF(ABS(J229)&gt;ABS(K225),-0.5*ABS(K227),0.5*ABS(K227))))</f>
        <v>0.26932619999999996</v>
      </c>
      <c r="L232" s="209"/>
      <c r="M232" s="209">
        <f>IF(K223="","",IF(M225="","",IF(ABS(M229)&gt;ABS(M225),-0.5*ABS(M227),0.5*ABS(M227))))</f>
        <v>0</v>
      </c>
      <c r="N232" s="209" t="str">
        <f>IF(N223="","",IF(N225="","",IF(ABS(M229)&gt;ABS(N225),-0.5*ABS(N227),0.5*ABS(N227))))</f>
        <v/>
      </c>
      <c r="O232" s="209"/>
      <c r="P232" s="209" t="str">
        <f>IF(N223="","",IF(P225="","",IF(ABS(P229)&gt;ABS(P225),-0.5*ABS(P227),0.5*ABS(P227))))</f>
        <v/>
      </c>
      <c r="Q232" s="209" t="str">
        <f>IF(Q223="","",IF(Q225="","",IF(ABS(P229)&gt;ABS(Q225),-0.5*ABS(Q227),0.5*ABS(Q227))))</f>
        <v/>
      </c>
      <c r="R232" s="209"/>
      <c r="S232" s="209" t="str">
        <f>IF(Q223="","",IF(S225="","",IF(ABS(S229)&gt;ABS(S225),-0.5*ABS(S227),0.5*ABS(S227))))</f>
        <v/>
      </c>
      <c r="T232" s="209" t="str">
        <f>IF(T223="","",IF(T225="","",IF(ABS(S229)&gt;ABS(T225),-0.5*ABS(T227),0.5*ABS(T227))))</f>
        <v/>
      </c>
      <c r="U232" s="209"/>
      <c r="V232" s="209" t="str">
        <f>IF(T223="","",IF(V225="","",IF(ABS(V229)&gt;ABS(V225),-0.5*ABS(V227),0.5*ABS(V227))))</f>
        <v/>
      </c>
      <c r="W232" s="209" t="str">
        <f>IF(W223="","",IF(W225="","",IF(ABS(V229)&gt;ABS(W225),-0.5*ABS(W227),0.5*ABS(W227))))</f>
        <v/>
      </c>
      <c r="X232" s="209"/>
      <c r="Y232" s="209" t="str">
        <f>IF(W223="","",IF(Y225="","",IF(ABS(Y229)&gt;ABS(Y225),-0.5*ABS(Y227),0.5*ABS(Y227))))</f>
        <v/>
      </c>
      <c r="Z232" s="209" t="str">
        <f>IF(Z223="","",IF(Z225="","",IF(ABS(Y229)&gt;ABS(Z225),-0.5*ABS(Z227),0.5*ABS(Z227))))</f>
        <v/>
      </c>
      <c r="AA232" s="209"/>
      <c r="AB232" s="209" t="str">
        <f>IF(Z223="","",IF(AB225="","",IF(AB229&gt;-AB225,IF(AB227&lt;0,0.5*AB227,-0.5*AB227),0.5*AB227)))</f>
        <v/>
      </c>
      <c r="BC232" s="401"/>
      <c r="BD232" s="398"/>
      <c r="BE232" s="391"/>
      <c r="BF232" s="396"/>
      <c r="BG232" s="396"/>
      <c r="BH232" s="396"/>
      <c r="BI232" s="396"/>
      <c r="BJ232" s="396"/>
      <c r="BK232" s="396"/>
      <c r="BL232" s="396"/>
      <c r="BM232" s="396"/>
      <c r="BN232" s="396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431"/>
    </row>
    <row r="233" spans="1:110" s="291" customFormat="1" ht="21.75" customHeight="1" thickBot="1">
      <c r="A233" s="259" t="s">
        <v>128</v>
      </c>
      <c r="B233" s="672">
        <f>IF(B232="",IF(D232="",B231,B231+D232),IF(D232="",B231+B232,B231+B232+D232))</f>
        <v>0.43193535000000005</v>
      </c>
      <c r="C233" s="673"/>
      <c r="D233" s="674"/>
      <c r="E233" s="672">
        <f>IF(E232="",IF(G232="",E231,E231+G232),IF(G232="",E231+E232,E231+E232+G232))</f>
        <v>0.45586499999999996</v>
      </c>
      <c r="F233" s="673"/>
      <c r="G233" s="674"/>
      <c r="H233" s="672">
        <f>IF(H232="",IF(J232="",H231,H231+J232),IF(J232="",H231+H232,H231+H232+J232))</f>
        <v>-0.27644414999999989</v>
      </c>
      <c r="I233" s="673"/>
      <c r="J233" s="674"/>
      <c r="K233" s="672">
        <f>IF(K232="",IF(M232="",K231,K231+M232),IF(M232="",K231+K232,K231+K232+M232))</f>
        <v>2.1318261999999999</v>
      </c>
      <c r="L233" s="673"/>
      <c r="M233" s="674"/>
      <c r="N233" s="672" t="str">
        <f>IF(N232="",IF(P232="",N231,N231+P232),IF(P232="",N231+N232,N231+N232+P232))</f>
        <v/>
      </c>
      <c r="O233" s="673"/>
      <c r="P233" s="674"/>
      <c r="Q233" s="672" t="str">
        <f>IF(Q232="",IF(S232="",Q231,Q231+S232),IF(S232="",Q231+Q232,Q231+Q232+S232))</f>
        <v/>
      </c>
      <c r="R233" s="673"/>
      <c r="S233" s="674"/>
      <c r="T233" s="672" t="str">
        <f>IF(T232="",IF(V232="",T231,T231+V232),IF(V232="",T231+T232,T231+T232+V232))</f>
        <v/>
      </c>
      <c r="U233" s="673"/>
      <c r="V233" s="674"/>
      <c r="W233" s="672" t="str">
        <f>IF(W232="",IF(Y232="",W231,W231+Y232),IF(Y232="",W231+W232,W231+W232+Y232))</f>
        <v/>
      </c>
      <c r="X233" s="673"/>
      <c r="Y233" s="674"/>
      <c r="Z233" s="672" t="str">
        <f>IF(Z232="",IF(AB232="",Z231,Z231+AB232),IF(AB232="",Z231+Z232,Z231+Z232+AB232))</f>
        <v/>
      </c>
      <c r="AA233" s="673"/>
      <c r="AB233" s="674"/>
      <c r="BC233" s="401"/>
      <c r="BD233" s="398"/>
      <c r="BE233" s="391"/>
      <c r="BF233" s="396"/>
      <c r="BG233" s="396"/>
      <c r="BH233" s="396"/>
      <c r="BI233" s="396"/>
      <c r="BJ233" s="396"/>
      <c r="BK233" s="396"/>
      <c r="BL233" s="396"/>
      <c r="BM233" s="396"/>
      <c r="BN233" s="396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431"/>
    </row>
    <row r="234" spans="1:110" ht="21.75" customHeight="1">
      <c r="A234" s="405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7"/>
      <c r="P234" s="407"/>
      <c r="Q234" s="407"/>
      <c r="R234" s="407"/>
      <c r="S234" s="407"/>
      <c r="T234" s="407"/>
      <c r="U234" s="407"/>
      <c r="V234" s="407"/>
      <c r="W234" s="407"/>
      <c r="X234" s="407"/>
      <c r="Y234" s="407"/>
      <c r="Z234" s="407"/>
      <c r="AA234" s="407"/>
      <c r="AB234" s="407"/>
      <c r="AD234" s="263"/>
      <c r="AE234" s="263"/>
      <c r="AF234" s="263"/>
      <c r="AG234" s="263"/>
      <c r="AH234" s="263"/>
      <c r="AI234" s="263"/>
      <c r="AJ234" s="263"/>
      <c r="AK234" s="263"/>
      <c r="AL234" s="263"/>
      <c r="AM234" s="263"/>
      <c r="AN234" s="263"/>
      <c r="AO234" s="263"/>
      <c r="AP234" s="263"/>
      <c r="AQ234" s="263"/>
      <c r="AR234" s="263"/>
      <c r="AS234" s="263"/>
      <c r="AT234" s="263"/>
      <c r="AU234" s="263"/>
      <c r="AV234" s="263"/>
      <c r="AW234" s="263"/>
      <c r="AX234" s="263"/>
      <c r="AY234" s="263"/>
      <c r="AZ234" s="263"/>
      <c r="BA234" s="263"/>
      <c r="BB234" s="291"/>
      <c r="BC234" s="401"/>
      <c r="BD234" s="398"/>
      <c r="BE234" s="391"/>
      <c r="BF234" s="28"/>
      <c r="BG234" s="28"/>
      <c r="BH234" s="28"/>
      <c r="BI234" s="28"/>
      <c r="BJ234" s="28"/>
      <c r="BK234" s="28"/>
      <c r="BL234" s="28"/>
      <c r="BM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N234" s="291"/>
      <c r="CO234" s="291"/>
      <c r="CP234" s="291"/>
      <c r="CQ234" s="291"/>
      <c r="CR234" s="291"/>
      <c r="CS234" s="291"/>
      <c r="CT234" s="291"/>
      <c r="CU234" s="291"/>
      <c r="CV234" s="291"/>
      <c r="CW234" s="291"/>
      <c r="CX234" s="291"/>
      <c r="CY234" s="291"/>
      <c r="CZ234" s="291"/>
      <c r="DA234" s="291"/>
      <c r="DB234" s="291"/>
      <c r="DC234" s="291"/>
      <c r="DD234" s="291"/>
      <c r="DE234" s="291"/>
      <c r="DF234" s="291"/>
    </row>
    <row r="235" spans="1:110" ht="21.75" customHeight="1" thickBot="1">
      <c r="A235" s="626">
        <f>A15</f>
        <v>3</v>
      </c>
      <c r="B235" s="626"/>
      <c r="C235" s="626"/>
      <c r="D235" s="626"/>
      <c r="E235" s="626"/>
      <c r="F235" s="290"/>
      <c r="G235" s="290"/>
      <c r="H235" s="290"/>
      <c r="I235" s="290"/>
      <c r="J235" s="628" t="s">
        <v>134</v>
      </c>
      <c r="K235" s="628"/>
      <c r="L235" s="271" t="str">
        <f>K15</f>
        <v>Y - Y</v>
      </c>
      <c r="M235" s="262"/>
      <c r="N235" s="404"/>
      <c r="O235" s="402"/>
      <c r="P235" s="262"/>
      <c r="Q235" s="263"/>
      <c r="R235" s="263"/>
      <c r="S235" s="263"/>
      <c r="T235" s="263"/>
      <c r="U235" s="263"/>
      <c r="V235" s="263"/>
      <c r="W235" s="263"/>
      <c r="X235" s="263"/>
      <c r="Y235" s="263"/>
      <c r="Z235" s="263"/>
      <c r="AA235" s="263"/>
      <c r="AB235" s="263"/>
      <c r="AD235" s="263"/>
      <c r="AE235" s="263"/>
      <c r="AF235" s="263"/>
      <c r="AG235" s="263"/>
      <c r="AH235" s="263"/>
      <c r="AI235" s="263"/>
      <c r="AJ235" s="263"/>
      <c r="AK235" s="263"/>
      <c r="AL235" s="263"/>
      <c r="AM235" s="263"/>
      <c r="AN235" s="263"/>
      <c r="AO235" s="263"/>
      <c r="AP235" s="263"/>
      <c r="AQ235" s="263"/>
      <c r="AR235" s="263"/>
      <c r="AS235" s="263"/>
      <c r="AT235" s="263"/>
      <c r="AU235" s="263"/>
      <c r="AV235" s="263"/>
      <c r="AW235" s="263"/>
      <c r="AX235" s="263"/>
      <c r="AY235" s="263"/>
      <c r="AZ235" s="263"/>
      <c r="BA235" s="263"/>
      <c r="BC235" s="401"/>
      <c r="BD235" s="398"/>
      <c r="BE235" s="391"/>
      <c r="BF235" s="28"/>
      <c r="BG235" s="28"/>
      <c r="BH235" s="28"/>
      <c r="BI235" s="28"/>
      <c r="BJ235" s="28"/>
      <c r="BK235" s="28"/>
      <c r="BL235" s="28"/>
      <c r="BM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N235" s="291"/>
    </row>
    <row r="236" spans="1:110" ht="21.75" customHeight="1" thickTop="1">
      <c r="A236" s="686" t="str">
        <f>+Espesor!$J$3</f>
        <v>Techo</v>
      </c>
      <c r="B236" s="686"/>
      <c r="C236" s="688" t="s">
        <v>136</v>
      </c>
      <c r="D236" s="688"/>
      <c r="E236" s="264" t="str">
        <f>IF(B15="","",B15)</f>
        <v/>
      </c>
      <c r="F236" s="264" t="str">
        <f t="shared" ref="F236:L236" si="408">IF(C15="","",C15)</f>
        <v/>
      </c>
      <c r="G236" s="264" t="str">
        <f t="shared" si="408"/>
        <v/>
      </c>
      <c r="H236" s="264" t="str">
        <f t="shared" si="408"/>
        <v/>
      </c>
      <c r="I236" s="264" t="str">
        <f t="shared" si="408"/>
        <v/>
      </c>
      <c r="J236" s="264" t="str">
        <f t="shared" si="408"/>
        <v/>
      </c>
      <c r="K236" s="264" t="str">
        <f t="shared" si="408"/>
        <v/>
      </c>
      <c r="L236" s="264" t="str">
        <f t="shared" si="408"/>
        <v/>
      </c>
      <c r="M236" s="264" t="str">
        <f>IF(J15="","",J15)</f>
        <v/>
      </c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  <c r="AA236" s="264"/>
      <c r="AB236" s="263"/>
      <c r="AD236" s="624" t="s">
        <v>64</v>
      </c>
      <c r="AE236" s="624"/>
      <c r="AF236" s="624"/>
      <c r="AG236" s="624"/>
      <c r="AH236" s="624"/>
      <c r="AI236" s="624"/>
      <c r="AJ236" s="624"/>
      <c r="AK236" s="624"/>
      <c r="AL236" s="624"/>
      <c r="BC236" s="401"/>
      <c r="BD236" s="398"/>
      <c r="BE236" s="391"/>
      <c r="BF236" s="28"/>
      <c r="BG236" s="28"/>
      <c r="BH236" s="28"/>
      <c r="BI236" s="28"/>
      <c r="BJ236" s="28"/>
      <c r="BK236" s="28"/>
      <c r="BL236" s="28"/>
      <c r="BM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</row>
    <row r="237" spans="1:110" ht="21.75" customHeight="1" thickBot="1">
      <c r="A237" s="627"/>
      <c r="B237" s="627"/>
      <c r="C237" s="627"/>
      <c r="D237" s="627"/>
      <c r="E237" s="627"/>
      <c r="F237" s="627"/>
      <c r="G237" s="627"/>
      <c r="H237" s="627"/>
      <c r="I237" s="627"/>
      <c r="J237" s="627"/>
      <c r="K237" s="627"/>
      <c r="L237" s="627"/>
      <c r="M237" s="627"/>
      <c r="N237" s="627"/>
      <c r="O237" s="627"/>
      <c r="P237" s="627"/>
      <c r="Q237" s="627"/>
      <c r="R237" s="627"/>
      <c r="S237" s="627"/>
      <c r="T237" s="627"/>
      <c r="U237" s="627"/>
      <c r="V237" s="627"/>
      <c r="W237" s="627"/>
      <c r="X237" s="627"/>
      <c r="Y237" s="627"/>
      <c r="Z237" s="627"/>
      <c r="AA237" s="627"/>
      <c r="AB237" s="627"/>
      <c r="AD237" s="287">
        <f>+A212</f>
        <v>0</v>
      </c>
      <c r="AE237" s="325" t="str">
        <f>+IF(B212="","",B212)</f>
        <v/>
      </c>
      <c r="AF237" s="325" t="str">
        <f>+IF(C212="","",C212)</f>
        <v/>
      </c>
      <c r="AG237" s="325">
        <f t="shared" ref="AG237" si="409">+IF(D212="","",D212)</f>
        <v>146551.91999999998</v>
      </c>
      <c r="AH237" s="325" t="str">
        <f t="shared" ref="AH237" si="410">+IF(E212="","",E212)</f>
        <v/>
      </c>
      <c r="AI237" s="325" t="str">
        <f t="shared" ref="AI237" si="411">+IF(F212="","",F212)</f>
        <v/>
      </c>
      <c r="AJ237" s="325">
        <f t="shared" ref="AJ237" si="412">+IF(G212="","",G212)</f>
        <v>0</v>
      </c>
      <c r="AK237" s="325" t="str">
        <f t="shared" ref="AK237" si="413">+IF(H212="","",H212)</f>
        <v/>
      </c>
      <c r="AL237" s="325" t="str">
        <f t="shared" ref="AL237" si="414">+IF(I212="","",I212)</f>
        <v/>
      </c>
      <c r="AM237" s="325">
        <f t="shared" ref="AM237" si="415">+IF(J212="","",J212)</f>
        <v>0</v>
      </c>
      <c r="AN237" s="242"/>
      <c r="AO237" s="242"/>
      <c r="AP237" s="242"/>
      <c r="AQ237" s="242"/>
      <c r="AR237" s="242"/>
      <c r="AS237" s="242"/>
      <c r="AT237" s="242"/>
      <c r="AU237" s="242"/>
      <c r="AV237" s="242"/>
      <c r="AW237" s="242"/>
      <c r="AX237" s="242"/>
      <c r="AY237" s="242"/>
      <c r="AZ237" s="242"/>
      <c r="BA237" s="242"/>
      <c r="BC237" s="401"/>
      <c r="BD237" s="398"/>
      <c r="BE237" s="391"/>
      <c r="BF237" s="28"/>
      <c r="BG237" s="28"/>
      <c r="BH237" s="28"/>
      <c r="BI237" s="28"/>
      <c r="BJ237" s="28"/>
      <c r="BK237" s="28"/>
      <c r="BL237" s="28"/>
      <c r="BM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</row>
    <row r="238" spans="1:110" ht="21.75" customHeight="1" thickBot="1">
      <c r="A238" s="360"/>
      <c r="B238" s="682" t="str">
        <f>IF($E236="","",$E236)</f>
        <v/>
      </c>
      <c r="C238" s="682"/>
      <c r="D238" s="682"/>
      <c r="E238" s="682" t="str">
        <f>IF($F236="","",$F236)</f>
        <v/>
      </c>
      <c r="F238" s="682"/>
      <c r="G238" s="682"/>
      <c r="H238" s="682" t="str">
        <f>IF($G236="","",$G236)</f>
        <v/>
      </c>
      <c r="I238" s="682"/>
      <c r="J238" s="682"/>
      <c r="K238" s="682" t="str">
        <f>IF($H236="","",$H236)</f>
        <v/>
      </c>
      <c r="L238" s="682"/>
      <c r="M238" s="682"/>
      <c r="N238" s="682" t="str">
        <f>IF($I236="","",$I236)</f>
        <v/>
      </c>
      <c r="O238" s="682"/>
      <c r="P238" s="682"/>
      <c r="Q238" s="682" t="str">
        <f>IF($J236="","",$J236)</f>
        <v/>
      </c>
      <c r="R238" s="682"/>
      <c r="S238" s="682"/>
      <c r="T238" s="682" t="str">
        <f>IF($K236="","",$K236)</f>
        <v/>
      </c>
      <c r="U238" s="682"/>
      <c r="V238" s="682"/>
      <c r="W238" s="682" t="str">
        <f>IF($L236="","",$L236)</f>
        <v/>
      </c>
      <c r="X238" s="682"/>
      <c r="Y238" s="682"/>
      <c r="Z238" s="682" t="str">
        <f>IF($M236="","",$M236)</f>
        <v/>
      </c>
      <c r="AA238" s="682"/>
      <c r="AB238" s="682"/>
      <c r="AD238" s="338" t="s">
        <v>4</v>
      </c>
      <c r="AE238" s="322" t="s">
        <v>3</v>
      </c>
      <c r="AF238" s="339" t="s">
        <v>138</v>
      </c>
      <c r="AG238" s="637" t="s">
        <v>139</v>
      </c>
      <c r="AH238" s="638"/>
      <c r="AI238" s="638"/>
      <c r="AJ238" s="639"/>
      <c r="AK238" s="640" t="s">
        <v>142</v>
      </c>
      <c r="AL238" s="641"/>
      <c r="AM238" s="637" t="s">
        <v>143</v>
      </c>
      <c r="AN238" s="639"/>
      <c r="AO238" s="642" t="s">
        <v>144</v>
      </c>
      <c r="AP238" s="643"/>
      <c r="AQ238" s="643"/>
      <c r="AR238" s="644"/>
      <c r="AS238" s="642" t="s">
        <v>145</v>
      </c>
      <c r="AT238" s="643"/>
      <c r="AU238" s="644"/>
      <c r="AV238" s="645" t="s">
        <v>157</v>
      </c>
      <c r="AW238" s="646"/>
      <c r="AX238" s="646"/>
      <c r="AY238" s="646"/>
      <c r="AZ238" s="646"/>
      <c r="BA238" s="647"/>
      <c r="BC238" s="401"/>
      <c r="BD238" s="398"/>
      <c r="BE238" s="428">
        <f>BE$27</f>
        <v>1</v>
      </c>
      <c r="BF238" s="428">
        <f t="shared" ref="BF238:CL238" si="416">BF$27</f>
        <v>2</v>
      </c>
      <c r="BG238" s="428">
        <f t="shared" si="416"/>
        <v>3</v>
      </c>
      <c r="BH238" s="428">
        <f t="shared" si="416"/>
        <v>4</v>
      </c>
      <c r="BI238" s="428">
        <f t="shared" si="416"/>
        <v>5</v>
      </c>
      <c r="BJ238" s="428">
        <f t="shared" si="416"/>
        <v>6</v>
      </c>
      <c r="BK238" s="428">
        <f t="shared" si="416"/>
        <v>7</v>
      </c>
      <c r="BL238" s="428">
        <f t="shared" si="416"/>
        <v>8</v>
      </c>
      <c r="BM238" s="428">
        <f t="shared" si="416"/>
        <v>9</v>
      </c>
      <c r="BN238" s="428">
        <f t="shared" si="416"/>
        <v>10</v>
      </c>
      <c r="BO238" s="428">
        <f t="shared" si="416"/>
        <v>11</v>
      </c>
      <c r="BP238" s="428">
        <f t="shared" si="416"/>
        <v>12</v>
      </c>
      <c r="BQ238" s="428">
        <f t="shared" si="416"/>
        <v>13</v>
      </c>
      <c r="BR238" s="428">
        <f t="shared" si="416"/>
        <v>14</v>
      </c>
      <c r="BS238" s="428">
        <f t="shared" si="416"/>
        <v>15</v>
      </c>
      <c r="BT238" s="428">
        <f t="shared" si="416"/>
        <v>16</v>
      </c>
      <c r="BU238" s="428">
        <f t="shared" si="416"/>
        <v>17</v>
      </c>
      <c r="BV238" s="428">
        <f t="shared" si="416"/>
        <v>18</v>
      </c>
      <c r="BW238" s="428">
        <f t="shared" si="416"/>
        <v>19</v>
      </c>
      <c r="BX238" s="428">
        <f t="shared" si="416"/>
        <v>20</v>
      </c>
      <c r="BY238" s="428">
        <f t="shared" si="416"/>
        <v>21</v>
      </c>
      <c r="BZ238" s="428">
        <f t="shared" si="416"/>
        <v>22</v>
      </c>
      <c r="CA238" s="428">
        <f t="shared" si="416"/>
        <v>23</v>
      </c>
      <c r="CB238" s="428">
        <f t="shared" si="416"/>
        <v>24</v>
      </c>
      <c r="CC238" s="428">
        <f t="shared" si="416"/>
        <v>25</v>
      </c>
      <c r="CD238" s="428">
        <f t="shared" si="416"/>
        <v>26</v>
      </c>
      <c r="CE238" s="428">
        <f t="shared" si="416"/>
        <v>27</v>
      </c>
      <c r="CF238" s="428">
        <f t="shared" si="416"/>
        <v>28</v>
      </c>
      <c r="CG238" s="428">
        <f t="shared" si="416"/>
        <v>29</v>
      </c>
      <c r="CH238" s="428">
        <f t="shared" si="416"/>
        <v>30</v>
      </c>
      <c r="CI238" s="428">
        <f t="shared" si="416"/>
        <v>31</v>
      </c>
      <c r="CJ238" s="428">
        <f t="shared" si="416"/>
        <v>32</v>
      </c>
      <c r="CK238" s="428">
        <f t="shared" si="416"/>
        <v>33</v>
      </c>
      <c r="CL238" s="428">
        <f t="shared" si="416"/>
        <v>34</v>
      </c>
    </row>
    <row r="239" spans="1:110" ht="21.75" customHeight="1">
      <c r="A239" s="413" t="s">
        <v>3</v>
      </c>
      <c r="B239" s="683" t="str">
        <f>IF(B238="","",VLOOKUP(B238,Espesor!$C$8:$E$41,3,0))</f>
        <v/>
      </c>
      <c r="C239" s="684"/>
      <c r="D239" s="685"/>
      <c r="E239" s="683" t="str">
        <f>IF(E238="","",VLOOKUP(E238,Espesor!$C$8:$E$41,3,0))</f>
        <v/>
      </c>
      <c r="F239" s="684"/>
      <c r="G239" s="685"/>
      <c r="H239" s="683" t="str">
        <f>IF(H238="","",VLOOKUP(H238,Espesor!$C$8:$E$41,3,0))</f>
        <v/>
      </c>
      <c r="I239" s="684"/>
      <c r="J239" s="685"/>
      <c r="K239" s="683" t="str">
        <f>IF(K238="","",VLOOKUP(K238,Espesor!$C$8:$E$41,3,0))</f>
        <v/>
      </c>
      <c r="L239" s="684"/>
      <c r="M239" s="685"/>
      <c r="N239" s="683" t="str">
        <f>IF(N238="","",VLOOKUP(N238,Espesor!$C$8:$E$41,3,0))</f>
        <v/>
      </c>
      <c r="O239" s="684"/>
      <c r="P239" s="685"/>
      <c r="Q239" s="683" t="str">
        <f>IF(Q238="","",VLOOKUP(Q238,Espesor!$C$8:$E$41,3,0))</f>
        <v/>
      </c>
      <c r="R239" s="684"/>
      <c r="S239" s="685"/>
      <c r="T239" s="683" t="str">
        <f>IF(T238="","",VLOOKUP(T238,Espesor!$C$8:$E$41,3,0))</f>
        <v/>
      </c>
      <c r="U239" s="684"/>
      <c r="V239" s="685"/>
      <c r="W239" s="683" t="str">
        <f>IF(W238="","",VLOOKUP(W238,Espesor!$C$8:$E$41,3,0))</f>
        <v/>
      </c>
      <c r="X239" s="684"/>
      <c r="Y239" s="685"/>
      <c r="Z239" s="683" t="str">
        <f>IF(Z238="","",VLOOKUP(Z238,Espesor!$C$8:$E$41,3,0))</f>
        <v/>
      </c>
      <c r="AA239" s="684"/>
      <c r="AB239" s="685"/>
      <c r="AD239" s="320" t="str">
        <f>+IF(AE237="","",AE237)</f>
        <v/>
      </c>
      <c r="AE239" s="323" t="e">
        <f>IF(B213="","",IF($K$2="X - X",VLOOKUP(B213,Espesor!$C$8:$E$41,2,0),VLOOKUP(B213,Espesor!$C$8:$E$41,3,0)))</f>
        <v>#N/A</v>
      </c>
      <c r="AF239" s="318" t="str">
        <f>+IF(AD239="","",IF(LOOKUP(AD239,Espesor!$C$8:$C$41,Espesor!$K$8:$K$41)="en voladizo","",0.75/AE239))</f>
        <v/>
      </c>
      <c r="AG239" s="648" t="str">
        <f>IF(AF239="","",IF(AF240="","",ROUND(AF239/(AF239+AF240),3)))</f>
        <v/>
      </c>
      <c r="AH239" s="343"/>
      <c r="AI239" s="648" t="str">
        <f>IF(AF240="","",IF(AF239="","",ROUND(AF240/(AF240+AF239),3)))</f>
        <v/>
      </c>
      <c r="AJ239" s="343"/>
      <c r="AK239" s="342">
        <v>0</v>
      </c>
      <c r="AL239" s="316" t="e">
        <f>-IF(B212="","",IF($K$2="X - X",VLOOKUP(B212,'Moms de Empt'!$P$3:$T$36,3,0),VLOOKUP(B212,'Moms de Empt'!$P$3:$T$36,5,0)))</f>
        <v>#VALUE!</v>
      </c>
      <c r="AM239" s="649">
        <f>IF(AD240="",0,IF(LOOKUP(AD240,Espesor!$C$8:$C$41,Espesor!$K$8:$K$41)="en voladizo",MAX(ABS(AL239),ABS(AK240)),-(AK240+AL239)))</f>
        <v>0</v>
      </c>
      <c r="AN239" s="345"/>
      <c r="AO239" s="650" t="str">
        <f>IF(AG239="","",AM239*AG239)</f>
        <v/>
      </c>
      <c r="AP239" s="342"/>
      <c r="AQ239" s="650" t="str">
        <f>IF(AI239="","",AM239*AI239)</f>
        <v/>
      </c>
      <c r="AR239" s="342"/>
      <c r="AS239" s="651" t="e">
        <f>-IF(AM239="","",IF(AL239="",IF(AO239="",0,AO239),IF(AO239="",AL239,AL239+AO239)))</f>
        <v>#VALUE!</v>
      </c>
      <c r="AT239" s="341"/>
      <c r="AU239" s="341" t="e">
        <f>+AS239</f>
        <v>#VALUE!</v>
      </c>
      <c r="AV239" s="329" t="str">
        <f>IF(B212="","",IF(L212="X - X",VLOOKUP(B237,'Moms de Empt'!$P$3:$T$36,2,0),VLOOKUP(B237,'Moms de Empt'!$P$3:$T$36,4,0)))</f>
        <v/>
      </c>
      <c r="AW239" s="653" t="str">
        <f>IF(B239="","",IF(D241="","",IF(ABS(D245)&gt;ABS(D241),-0.5*ABS(D243),0.5*ABS(D243))))</f>
        <v/>
      </c>
      <c r="AX239" s="330"/>
      <c r="AY239" s="653" t="str">
        <f>IF(AV240="","",IF(AV239="","",ROUND(AV240/(AV240+AV239),3)))</f>
        <v/>
      </c>
      <c r="AZ239" s="330"/>
      <c r="BA239" s="331" t="str">
        <f t="shared" ref="BA239:BA246" si="417">+AV239</f>
        <v/>
      </c>
      <c r="BC239" s="422">
        <f>+A235</f>
        <v>3</v>
      </c>
      <c r="BD239" s="433" t="s">
        <v>183</v>
      </c>
      <c r="BE239" s="429">
        <f>IF(BE238=$B$238,$B$250,IF(BE238=$E$238,$E$250,IF(BE238=$H$238,$H$250,IF(BE238=$K$238,$K$250,IF(BE238=$N$238,$N$250,IF(BE238=$Q$238,$Q$250,IF(BE238=$T$238,$T$250,IF(BE238=$W$238,$W$250,IF(BE238=$Z$238,$Z$250,0)))))))))</f>
        <v>0</v>
      </c>
      <c r="BF239" s="429">
        <f t="shared" ref="BF239:CL239" si="418">IF(BF238=$B$238,$B$250,IF(BF238=$E$238,$E$250,IF(BF238=$H$238,$H$250,IF(BF238=$K$238,$K$250,IF(BF238=$N$238,$N$250,IF(BF238=$Q$238,$Q$250,IF(BF238=$T$238,$T$250,IF(BF238=$W$238,$W$250,IF(BF238=$Z$238,$Z$250,0)))))))))</f>
        <v>0</v>
      </c>
      <c r="BG239" s="429">
        <f t="shared" si="418"/>
        <v>0</v>
      </c>
      <c r="BH239" s="429">
        <f t="shared" si="418"/>
        <v>0</v>
      </c>
      <c r="BI239" s="429">
        <f t="shared" si="418"/>
        <v>0</v>
      </c>
      <c r="BJ239" s="429">
        <f t="shared" si="418"/>
        <v>0</v>
      </c>
      <c r="BK239" s="429">
        <f t="shared" si="418"/>
        <v>0</v>
      </c>
      <c r="BL239" s="429">
        <f t="shared" si="418"/>
        <v>0</v>
      </c>
      <c r="BM239" s="429">
        <f t="shared" si="418"/>
        <v>0</v>
      </c>
      <c r="BN239" s="429">
        <f t="shared" si="418"/>
        <v>0</v>
      </c>
      <c r="BO239" s="429">
        <f t="shared" si="418"/>
        <v>0</v>
      </c>
      <c r="BP239" s="429">
        <f t="shared" si="418"/>
        <v>0</v>
      </c>
      <c r="BQ239" s="429">
        <f t="shared" si="418"/>
        <v>0</v>
      </c>
      <c r="BR239" s="429">
        <f t="shared" si="418"/>
        <v>0</v>
      </c>
      <c r="BS239" s="429">
        <f t="shared" si="418"/>
        <v>0</v>
      </c>
      <c r="BT239" s="429">
        <f t="shared" si="418"/>
        <v>0</v>
      </c>
      <c r="BU239" s="429">
        <f t="shared" si="418"/>
        <v>0</v>
      </c>
      <c r="BV239" s="429">
        <f t="shared" si="418"/>
        <v>0</v>
      </c>
      <c r="BW239" s="429">
        <f t="shared" si="418"/>
        <v>0</v>
      </c>
      <c r="BX239" s="429">
        <f t="shared" si="418"/>
        <v>0</v>
      </c>
      <c r="BY239" s="429">
        <f t="shared" si="418"/>
        <v>0</v>
      </c>
      <c r="BZ239" s="429">
        <f t="shared" si="418"/>
        <v>0</v>
      </c>
      <c r="CA239" s="429">
        <f t="shared" si="418"/>
        <v>0</v>
      </c>
      <c r="CB239" s="429">
        <f t="shared" si="418"/>
        <v>0</v>
      </c>
      <c r="CC239" s="429">
        <f t="shared" si="418"/>
        <v>0</v>
      </c>
      <c r="CD239" s="429">
        <f t="shared" si="418"/>
        <v>0</v>
      </c>
      <c r="CE239" s="429">
        <f t="shared" si="418"/>
        <v>0</v>
      </c>
      <c r="CF239" s="429">
        <f t="shared" si="418"/>
        <v>0</v>
      </c>
      <c r="CG239" s="429">
        <f t="shared" si="418"/>
        <v>0</v>
      </c>
      <c r="CH239" s="429">
        <f t="shared" si="418"/>
        <v>0</v>
      </c>
      <c r="CI239" s="429">
        <f t="shared" si="418"/>
        <v>0</v>
      </c>
      <c r="CJ239" s="429">
        <f t="shared" si="418"/>
        <v>0</v>
      </c>
      <c r="CK239" s="429">
        <f t="shared" si="418"/>
        <v>0</v>
      </c>
      <c r="CL239" s="429">
        <f t="shared" si="418"/>
        <v>0</v>
      </c>
    </row>
    <row r="240" spans="1:110" ht="21.75" customHeight="1">
      <c r="A240" s="257" t="s">
        <v>65</v>
      </c>
      <c r="B240" s="679" t="str">
        <f>+IF(B238="","",IF(LOOKUP(B238,Espesor!$C$8:$C$41,Espesor!$K$8:$K$41)="en voladizo","",0.75/B239))</f>
        <v/>
      </c>
      <c r="C240" s="680"/>
      <c r="D240" s="681"/>
      <c r="E240" s="679" t="str">
        <f>IF(E238="","",IF(LOOKUP(E238,Espesor!$C$8:$C$41,Espesor!$K$8:$K$41)="en voladizo","",IF(H238="",0.75/E239,1/E239)))</f>
        <v/>
      </c>
      <c r="F240" s="680"/>
      <c r="G240" s="681"/>
      <c r="H240" s="679" t="str">
        <f>IF(H238="","",IF(LOOKUP(H238,Espesor!$C$8:$C$41,Espesor!$K$8:$K$41)="en voladizo","",IF(K238="",0.75/H239,1/H239)))</f>
        <v/>
      </c>
      <c r="I240" s="680"/>
      <c r="J240" s="681"/>
      <c r="K240" s="679" t="str">
        <f>IF(K238="","",IF(LOOKUP(K238,Espesor!$C$8:$C$41,Espesor!$K$8:$K$41)="en voladizo","",IF(N238="",0.75/K239,1/K239)))</f>
        <v/>
      </c>
      <c r="L240" s="680"/>
      <c r="M240" s="681"/>
      <c r="N240" s="679" t="str">
        <f>IF(N238="","",IF(LOOKUP(N238,Espesor!$C$8:$C$41,Espesor!$K$8:$K$41)="en voladizo","",IF(Q238="",0.75/N239,1/N239)))</f>
        <v/>
      </c>
      <c r="O240" s="680"/>
      <c r="P240" s="681"/>
      <c r="Q240" s="679" t="str">
        <f>IF(Q238="","",IF(LOOKUP(Q238,Espesor!$C$8:$C$41,Espesor!$K$8:$K$41)="en voladizo","",IF(T238="",0.75/Q239,1/Q239)))</f>
        <v/>
      </c>
      <c r="R240" s="680"/>
      <c r="S240" s="681"/>
      <c r="T240" s="679" t="str">
        <f>IF(T238="","",IF(LOOKUP(T238,Espesor!$C$8:$C$41,Espesor!$K$8:$K$41)="en voladizo","",IF(W238="",0.75/T239,1/T239)))</f>
        <v/>
      </c>
      <c r="U240" s="680"/>
      <c r="V240" s="681"/>
      <c r="W240" s="679" t="str">
        <f>IF(W238="","",IF(LOOKUP(W238,Espesor!$C$8:$C$41,Espesor!$K$8:$K$41)="en voladizo","",IF(Z238="",0.75/W239,1/W239)))</f>
        <v/>
      </c>
      <c r="X240" s="680"/>
      <c r="Y240" s="681"/>
      <c r="Z240" s="679" t="str">
        <f>IF(Z238="","",IF(LOOKUP(Z238,Espesor!$C$8:$C$41,Espesor!$K$8:$K$41)="en voladizo","",IF(AC238="",0.75/Z239,1/Z239)))</f>
        <v/>
      </c>
      <c r="AA240" s="680"/>
      <c r="AB240" s="681"/>
      <c r="AD240" s="321" t="str">
        <f>+IF(AF237="","",AF237)</f>
        <v/>
      </c>
      <c r="AE240" s="324" t="str">
        <f>IF(C212="","",IF($K$2="X - X",VLOOKUP(C212,Espesor!$C$8:$E$41,2,0),VLOOKUP(C212,Espesor!$C$8:$E$41,3,0)))</f>
        <v/>
      </c>
      <c r="AF240" s="319" t="str">
        <f>IF(AD240="","",IF(LOOKUP(AD240,Espesor!$C$8:$C$41,Espesor!$K$8:$K$41)="en voladizo","",IF(AD241="",0.75/AE240,1/AE240)))</f>
        <v/>
      </c>
      <c r="AG240" s="634"/>
      <c r="AH240" s="634" t="str">
        <f>IF(AF240="","",IF(AF241="","",ROUND(AF240/(AF240+AF241),3)))</f>
        <v/>
      </c>
      <c r="AI240" s="634"/>
      <c r="AJ240" s="634" t="str">
        <f>IF(AF240="","",IF(AF241="","",ROUND(AF241/(AF240+AF241),3)))</f>
        <v/>
      </c>
      <c r="AK240" s="317">
        <f>IF(C212="",0,IF($K$2="X - X",VLOOKUP(C212,'Moms de Empt'!$P$3:$T$36,3,0),VLOOKUP(C212,'Moms de Empt'!$P$3:$T$36,5,0)))</f>
        <v>0</v>
      </c>
      <c r="AL240" s="317">
        <f>+IF(AD241="",0,-AK240)</f>
        <v>0</v>
      </c>
      <c r="AM240" s="629"/>
      <c r="AN240" s="629" t="e">
        <f>IF(AD241="",0,IF(LOOKUP(AD241,Espesor!$C$8:$C$41,Espesor!$K$8:$K$41)="en voladizo",MAX(ABS(AL240),ABS(AK241)),-(AK241+AL240)))</f>
        <v>#N/A</v>
      </c>
      <c r="AO240" s="630"/>
      <c r="AP240" s="630" t="str">
        <f>IF(AH240="","",AN240*AH240)</f>
        <v/>
      </c>
      <c r="AQ240" s="630"/>
      <c r="AR240" s="630" t="str">
        <f>IF(AJ240="","",AN240*AJ240)</f>
        <v/>
      </c>
      <c r="AS240" s="652"/>
      <c r="AT240" s="631" t="e">
        <f>-IF(AN240="","",IF(AL240="",IF(AP240="",0,AP240),IF(AP240="",AL240,AL240+AP240)))</f>
        <v>#N/A</v>
      </c>
      <c r="AU240" s="341" t="e">
        <f>+AT240</f>
        <v>#N/A</v>
      </c>
      <c r="AV240" s="332" t="str">
        <f>IF(E237="","",IF(L212="X - X",VLOOKUP(E237,'Moms de Empt'!$P$3:$T$36,2,0),VLOOKUP(E237,'Moms de Empt'!$P$3:$T$36,4,0)))</f>
        <v/>
      </c>
      <c r="AW240" s="635"/>
      <c r="AX240" s="633" t="str">
        <f>IF(AV240="","",IF(AV241="","",ROUND(AV240/(AV240+AV241),3)))</f>
        <v/>
      </c>
      <c r="AY240" s="635"/>
      <c r="AZ240" s="633" t="str">
        <f>IF(AV240="","",IF(AV241="","",ROUND(AV241/(AV240+AV241),3)))</f>
        <v/>
      </c>
      <c r="BA240" s="331" t="str">
        <f t="shared" si="417"/>
        <v/>
      </c>
      <c r="BC240" s="422"/>
      <c r="BD240" s="398"/>
      <c r="BE240" s="429"/>
      <c r="BF240" s="28"/>
      <c r="BG240" s="28"/>
      <c r="BH240" s="28"/>
      <c r="BI240" s="28"/>
      <c r="BJ240" s="28"/>
      <c r="BK240" s="28"/>
      <c r="BL240" s="28"/>
      <c r="BM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</row>
    <row r="241" spans="1:91" ht="21.75" customHeight="1">
      <c r="A241" s="247" t="s">
        <v>123</v>
      </c>
      <c r="B241" s="29"/>
      <c r="C241" s="30"/>
      <c r="D241" s="31">
        <f>IF(B240="",0,IF(E240="",0,ROUND(B240/(B240+E240),3)))</f>
        <v>0</v>
      </c>
      <c r="E241" s="29">
        <f>IF(E240="",0,IF(B240="",0,ROUND(E240/(E240+B240),3)))</f>
        <v>0</v>
      </c>
      <c r="F241" s="30"/>
      <c r="G241" s="31">
        <f>IF(E240="",0,IF(H240="",0,ROUND(E240/(E240+H240),3)))</f>
        <v>0</v>
      </c>
      <c r="H241" s="29">
        <f>IF(H240="",0,IF(E240="",0,ROUND(H240/(H240+E240),3)))</f>
        <v>0</v>
      </c>
      <c r="I241" s="30"/>
      <c r="J241" s="31">
        <f>IF(H240="",0,IF(K240="",0,ROUND(H240/(H240+K240),3)))</f>
        <v>0</v>
      </c>
      <c r="K241" s="29">
        <f>IF(K240="",0,IF(H240="",0,ROUND(K240/(K240+H240),3)))</f>
        <v>0</v>
      </c>
      <c r="L241" s="30"/>
      <c r="M241" s="31">
        <f>IF(K240="",0,IF(N240="",0,ROUND(K240/(K240+N240),3)))</f>
        <v>0</v>
      </c>
      <c r="N241" s="29">
        <f>IF(N240="",0,IF(K240="",0,ROUND(N240/(N240+K240),3)))</f>
        <v>0</v>
      </c>
      <c r="O241" s="30"/>
      <c r="P241" s="31">
        <f>IF(N240="",0,IF(Q240="",0,ROUND(N240/(N240+Q240),3)))</f>
        <v>0</v>
      </c>
      <c r="Q241" s="29">
        <f>IF(Q240="",0,IF(N240="",0,ROUND(Q240/(Q240+N240),3)))</f>
        <v>0</v>
      </c>
      <c r="R241" s="30"/>
      <c r="S241" s="31">
        <f>IF(Q240="",0,IF(T240="",0,ROUND(Q240/(Q240+T240),3)))</f>
        <v>0</v>
      </c>
      <c r="T241" s="29">
        <f>IF(T240="",0,IF(Q240="",0,ROUND(T240/(T240+Q240),3)))</f>
        <v>0</v>
      </c>
      <c r="U241" s="30"/>
      <c r="V241" s="31">
        <f>IF(T240="",0,IF(W240="",0,ROUND(T240/(T240+W240),3)))</f>
        <v>0</v>
      </c>
      <c r="W241" s="29">
        <f>IF(W240="",0,IF(T240="",0,ROUND(W240/(W240+T240),3)))</f>
        <v>0</v>
      </c>
      <c r="X241" s="30"/>
      <c r="Y241" s="31">
        <f>IF(W240="",0,IF(Z240="",0,ROUND(W240/(W240+Z240),3)))</f>
        <v>0</v>
      </c>
      <c r="Z241" s="29">
        <f>IF(Z240="",0,IF(W240="",0,ROUND(Z240/(Z240+W240),3)))</f>
        <v>0</v>
      </c>
      <c r="AA241" s="30"/>
      <c r="AB241" s="31">
        <f>IF(Z240="",0,IF(AC240="",0,ROUND(Z240/(Z240+AC240),3)))</f>
        <v>0</v>
      </c>
      <c r="AD241" s="321">
        <f>+IF(AG237="","",AG237)</f>
        <v>146551.91999999998</v>
      </c>
      <c r="AE241" s="324" t="str">
        <f>IF(C213="","",IF($K$2="X - X",VLOOKUP(C213,Espesor!$C$8:$E$41,2,0),VLOOKUP(C213,Espesor!$C$8:$E$41,3,0)))</f>
        <v/>
      </c>
      <c r="AF241" s="319" t="e">
        <f>IF(AD241="","",IF(LOOKUP(AD241,Espesor!$C$8:$C$41,Espesor!$K$8:$K$41)="en voladizo","",IF(AD242="",0.75/AE241,1/AE241)))</f>
        <v>#VALUE!</v>
      </c>
      <c r="AG241" s="634" t="e">
        <f>IF(AF241="","",IF(AF242="","",ROUND(AF241/(AF241+AF242),3)))</f>
        <v>#VALUE!</v>
      </c>
      <c r="AH241" s="634"/>
      <c r="AI241" s="634" t="str">
        <f>IF(AF242="","",IF(AF241="","",ROUND(AF242/(AF242+AF241),3)))</f>
        <v/>
      </c>
      <c r="AJ241" s="634"/>
      <c r="AK241" s="317" t="e">
        <f>IF(D212="",0,IF($K$2="X - X",VLOOKUP(D212,'Moms de Empt'!$P$3:$T$36,3,0),VLOOKUP(D212,'Moms de Empt'!$P$3:$T$36,5,0)))</f>
        <v>#N/A</v>
      </c>
      <c r="AL241" s="317">
        <f>+IF(AD242="",0,-AK241)</f>
        <v>0</v>
      </c>
      <c r="AM241" s="629">
        <f>IF(AD242="",0,IF(LOOKUP(AD242,Espesor!$C$8:$C$41,Espesor!$K$8:$K$41)="en voladizo",MAX(ABS(AL241),ABS(AK242)),-(AK242+AL241)))</f>
        <v>0</v>
      </c>
      <c r="AN241" s="629"/>
      <c r="AO241" s="630" t="e">
        <f>IF(AG241="","",AM241*AG241)</f>
        <v>#VALUE!</v>
      </c>
      <c r="AP241" s="630"/>
      <c r="AQ241" s="630" t="str">
        <f>IF(AI241="","",AM241*AI241)</f>
        <v/>
      </c>
      <c r="AR241" s="630"/>
      <c r="AS241" s="631" t="e">
        <f>-IF(AM241="","",IF(AL241="",IF(AO241="",0,AO241),IF(AO241="",AL241,AL241+AO241)))</f>
        <v>#VALUE!</v>
      </c>
      <c r="AT241" s="632"/>
      <c r="AU241" s="341" t="e">
        <f>+AS241</f>
        <v>#VALUE!</v>
      </c>
      <c r="AV241" s="332" t="str">
        <f>IF(H237="","",IF(L212="X - X",VLOOKUP(H237,'Moms de Empt'!$P$3:$T$36,2,0),VLOOKUP(H237,'Moms de Empt'!$P$3:$T$36,4,0)))</f>
        <v/>
      </c>
      <c r="AW241" s="635" t="str">
        <f>IF(AV241="","",IF(AV242="","",ROUND(AV241/(AV241+AV242),3)))</f>
        <v/>
      </c>
      <c r="AX241" s="633"/>
      <c r="AY241" s="635" t="str">
        <f>IF(AV242="","",IF(AV241="","",ROUND(AV242/(AV242+AV241),3)))</f>
        <v/>
      </c>
      <c r="AZ241" s="633"/>
      <c r="BA241" s="331" t="str">
        <f t="shared" si="417"/>
        <v/>
      </c>
      <c r="BC241" s="422"/>
      <c r="BD241" s="398"/>
      <c r="BE241" s="429"/>
      <c r="BF241" s="28"/>
      <c r="BG241" s="28"/>
      <c r="BH241" s="28"/>
      <c r="BI241" s="28"/>
      <c r="BJ241" s="28"/>
      <c r="BK241" s="28"/>
      <c r="BL241" s="28"/>
      <c r="BM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</row>
    <row r="242" spans="1:91" ht="21.75" customHeight="1">
      <c r="A242" s="303" t="s">
        <v>142</v>
      </c>
      <c r="B242" s="249"/>
      <c r="C242" s="34"/>
      <c r="D242" s="33" t="str">
        <f>IF(B238="","",-VLOOKUP(B238,'Moms de Empt'!$P$3:$T$36,5,0))</f>
        <v/>
      </c>
      <c r="E242" s="33" t="str">
        <f>IF(E238="","",VLOOKUP(E238,'Moms de Empt'!$P$3:$T$36,5,0))</f>
        <v/>
      </c>
      <c r="F242" s="34"/>
      <c r="G242" s="33" t="str">
        <f>IF(E238="","",-VLOOKUP(E238,'Moms de Empt'!$P$3:$T$36,5,0))</f>
        <v/>
      </c>
      <c r="H242" s="33" t="str">
        <f>IF(H238="","",VLOOKUP(H238,'Moms de Empt'!$P$3:$T$36,5,0))</f>
        <v/>
      </c>
      <c r="I242" s="34"/>
      <c r="J242" s="33" t="str">
        <f>IF(H238="","",-VLOOKUP(H238,'Moms de Empt'!$P$3:$T$36,5,0))</f>
        <v/>
      </c>
      <c r="K242" s="33" t="str">
        <f>IF(K238="","",VLOOKUP(K238,'Moms de Empt'!$P$3:$T$36,5,0))</f>
        <v/>
      </c>
      <c r="L242" s="34"/>
      <c r="M242" s="33" t="str">
        <f>IF(K238="","",-VLOOKUP(K238,'Moms de Empt'!$P$3:$T$36,5,0))</f>
        <v/>
      </c>
      <c r="N242" s="33" t="str">
        <f>IF(N238="","",VLOOKUP(N238,'Moms de Empt'!$P$3:$T$36,5,0))</f>
        <v/>
      </c>
      <c r="O242" s="34"/>
      <c r="P242" s="33" t="str">
        <f>IF(N238="","",-VLOOKUP(N238,'Moms de Empt'!$P$3:$T$36,5,0))</f>
        <v/>
      </c>
      <c r="Q242" s="33" t="str">
        <f>IF(Q238="","",VLOOKUP(Q238,'Moms de Empt'!$P$3:$T$36,5,0))</f>
        <v/>
      </c>
      <c r="R242" s="34"/>
      <c r="S242" s="33" t="str">
        <f>IF(Q238="","",-VLOOKUP(Q238,'Moms de Empt'!$P$3:$T$36,5,0))</f>
        <v/>
      </c>
      <c r="T242" s="33" t="str">
        <f>IF(T238="","",VLOOKUP(T238,'Moms de Empt'!$P$3:$T$36,5,0))</f>
        <v/>
      </c>
      <c r="U242" s="34"/>
      <c r="V242" s="33" t="str">
        <f>IF(T238="","",-VLOOKUP(T238,'Moms de Empt'!$P$3:$T$36,5,0))</f>
        <v/>
      </c>
      <c r="W242" s="33" t="str">
        <f>IF(W238="","",VLOOKUP(W238,'Moms de Empt'!$P$3:$T$36,5,0))</f>
        <v/>
      </c>
      <c r="X242" s="34"/>
      <c r="Y242" s="33" t="str">
        <f>IF(W238="","",-VLOOKUP(W238,'Moms de Empt'!$P$3:$T$36,5,0))</f>
        <v/>
      </c>
      <c r="Z242" s="33" t="str">
        <f>IF(Z238="","",VLOOKUP(Z238,'Moms de Empt'!$P$3:$T$36,5,0))</f>
        <v/>
      </c>
      <c r="AA242" s="34"/>
      <c r="AB242" s="33"/>
      <c r="AD242" s="321" t="str">
        <f>+IF(AH237="","",AH237)</f>
        <v/>
      </c>
      <c r="AE242" s="324" t="str">
        <f>IF(K237="","",IF($K$2="X - X",VLOOKUP(K237,Espesor!$C$8:$E$41,2,0),VLOOKUP(K237,Espesor!$C$8:$E$41,3,0)))</f>
        <v/>
      </c>
      <c r="AF242" s="319" t="str">
        <f>IF(AD242="","",IF(LOOKUP(AD242,Espesor!$C$8:$C$41,Espesor!$K$8:$K$41)="en voladizo","",IF(AD243="",0.75/AE242,1/AE242)))</f>
        <v/>
      </c>
      <c r="AG242" s="634"/>
      <c r="AH242" s="634" t="str">
        <f>IF(AF242="","",IF(AF243="","",ROUND(AF242/(AF242+AF243),3)))</f>
        <v/>
      </c>
      <c r="AI242" s="634"/>
      <c r="AJ242" s="634" t="str">
        <f>IF(AF242="","",IF(AF243="","",ROUND(AF243/(AF242+AF243),3)))</f>
        <v/>
      </c>
      <c r="AK242" s="317">
        <f>IF(E212="",0,IF($K$2="X - X",VLOOKUP(E212,'Moms de Empt'!$P$3:$T$36,3,0),VLOOKUP(E212,'Moms de Empt'!$P$3:$T$36,5,0)))</f>
        <v>0</v>
      </c>
      <c r="AL242" s="317">
        <f t="shared" ref="AL242:AL244" si="419">+IF(AD243="",0,-AK242)</f>
        <v>0</v>
      </c>
      <c r="AM242" s="629"/>
      <c r="AN242" s="629">
        <f>IF(AD243="",0,IF(LOOKUP(AD243,Espesor!$C$8:$C$41,Espesor!$K$8:$K$41)="en voladizo",MAX(ABS(AL242),ABS(AK243)),-(AK243+AL242)))</f>
        <v>0</v>
      </c>
      <c r="AO242" s="630"/>
      <c r="AP242" s="630" t="str">
        <f t="shared" ref="AP242" si="420">IF(AH242="","",AN242*AH242)</f>
        <v/>
      </c>
      <c r="AQ242" s="630"/>
      <c r="AR242" s="630" t="str">
        <f t="shared" ref="AR242" si="421">IF(AJ242="","",AN242*AJ242)</f>
        <v/>
      </c>
      <c r="AS242" s="632"/>
      <c r="AT242" s="631">
        <f t="shared" ref="AT242" si="422">-IF(AN242="","",IF(AL242="",IF(AP242="",0,AP242),IF(AP242="",AL242,AL242+AP242)))</f>
        <v>0</v>
      </c>
      <c r="AU242" s="341">
        <f>+AT242</f>
        <v>0</v>
      </c>
      <c r="AV242" s="332" t="str">
        <f>IF(K237="","",IF(L212="X - X",VLOOKUP(K237,'Moms de Empt'!$P$3:$T$36,2,0),VLOOKUP(K237,'Moms de Empt'!$P$3:$T$36,4,0)))</f>
        <v/>
      </c>
      <c r="AW242" s="635"/>
      <c r="AX242" s="633" t="str">
        <f>IF(AV242="","",IF(AV243="","",ROUND(AV242/(AV242+AV243),3)))</f>
        <v/>
      </c>
      <c r="AY242" s="635"/>
      <c r="AZ242" s="633" t="str">
        <f>IF(AV242="","",IF(AV243="","",ROUND(AV243/(AV242+AV243),3)))</f>
        <v/>
      </c>
      <c r="BA242" s="331" t="str">
        <f t="shared" si="417"/>
        <v/>
      </c>
      <c r="BC242" s="422"/>
      <c r="BD242" s="398"/>
      <c r="BE242" s="429"/>
      <c r="BF242" s="28"/>
      <c r="BG242" s="28"/>
      <c r="BH242" s="28"/>
      <c r="BI242" s="28"/>
      <c r="BJ242" s="28"/>
      <c r="BK242" s="28"/>
      <c r="BL242" s="28"/>
      <c r="BM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</row>
    <row r="243" spans="1:91" ht="21.75" customHeight="1">
      <c r="A243" s="250" t="s">
        <v>125</v>
      </c>
      <c r="B243" s="272"/>
      <c r="C243" s="406"/>
      <c r="D243" s="678">
        <f>+IF(E238="",0,IF(LOOKUP(E238,Espesor!$C$8:$C$41,Espesor!$K$8:$K$41)="en voladizo",IF(LOOKUP(B238,Espesor!$C$8:$C$41,Espesor!$K$8:$K$41)="en voladizo","Inestable",MAX(ABS(D242),ABS(E242))),IF(LOOKUP(B238,Espesor!$C$8:$C$41,Espesor!$K$8:$K$41)="en voladizo",MAX(ABS(D242),ABS(E242)),-(E242+D242))))</f>
        <v>0</v>
      </c>
      <c r="E243" s="678"/>
      <c r="F243" s="406"/>
      <c r="G243" s="678">
        <f>+IF(H238="",0,IF(LOOKUP(H238,Espesor!$C$8:$C$41,Espesor!$K$8:$K$41)="en voladizo",IF(LOOKUP(E238,Espesor!$C$8:$C$41,Espesor!$K$8:$K$41)="en voladizo","Inestable",MAX(ABS(G242),ABS(H242))),IF(LOOKUP(E238,Espesor!$C$8:$C$41,Espesor!$K$8:$K$41)="en voladizo",MAX(ABS(G242),ABS(H242)),-(H242+G242))))</f>
        <v>0</v>
      </c>
      <c r="H243" s="678"/>
      <c r="I243" s="406"/>
      <c r="J243" s="678">
        <f>+IF(K238="",0,IF(LOOKUP(K238,Espesor!$C$8:$C$41,Espesor!$K$8:$K$41)="en voladizo",IF(LOOKUP(H238,Espesor!$C$8:$C$41,Espesor!$K$8:$K$41)="en voladizo","Inestable",MAX(ABS(J242),ABS(K242))),IF(LOOKUP(H238,Espesor!$C$8:$C$41,Espesor!$K$8:$K$41)="en voladizo",MAX(ABS(J242),ABS(K242)),-(K242+J242))))</f>
        <v>0</v>
      </c>
      <c r="K243" s="678"/>
      <c r="L243" s="406"/>
      <c r="M243" s="678">
        <f>+IF(N238="",0,IF(LOOKUP(N238,Espesor!$C$8:$C$41,Espesor!$K$8:$K$41)="en voladizo",IF(LOOKUP(K238,Espesor!$C$8:$C$41,Espesor!$K$8:$K$41)="en voladizo","Inestable",MAX(ABS(M242),ABS(N242))),IF(LOOKUP(K238,Espesor!$C$8:$C$41,Espesor!$K$8:$K$41)="en voladizo",MAX(ABS(M242),ABS(N242)),-(N242+M242))))</f>
        <v>0</v>
      </c>
      <c r="N243" s="678"/>
      <c r="O243" s="406"/>
      <c r="P243" s="678">
        <f>+IF(Q238="",0,IF(LOOKUP(Q238,Espesor!$C$8:$C$41,Espesor!$K$8:$K$41)="en voladizo",IF(LOOKUP(N238,Espesor!$C$8:$C$41,Espesor!$K$8:$K$41)="en voladizo","Inestable",MAX(ABS(P242),ABS(Q242))),IF(LOOKUP(N238,Espesor!$C$8:$C$41,Espesor!$K$8:$K$41)="en voladizo",MAX(ABS(P242),ABS(Q242)),-(Q242+P242))))</f>
        <v>0</v>
      </c>
      <c r="Q243" s="678"/>
      <c r="R243" s="406"/>
      <c r="S243" s="678">
        <f>+IF(T238="",0,IF(LOOKUP(T238,Espesor!$C$8:$C$41,Espesor!$K$8:$K$41)="en voladizo",IF(LOOKUP(Q238,Espesor!$C$8:$C$41,Espesor!$K$8:$K$41)="en voladizo","Inestable",MAX(ABS(S242),ABS(T242))),IF(LOOKUP(Q238,Espesor!$C$8:$C$41,Espesor!$K$8:$K$41)="en voladizo",MAX(ABS(S242),ABS(T242)),-(T242+S242))))</f>
        <v>0</v>
      </c>
      <c r="T243" s="678"/>
      <c r="U243" s="406"/>
      <c r="V243" s="678">
        <f>+IF(W238="",0,IF(LOOKUP(W238,Espesor!$C$8:$C$41,Espesor!$K$8:$K$41)="en voladizo",IF(LOOKUP(T238,Espesor!$C$8:$C$41,Espesor!$K$8:$K$41)="en voladizo","Inestable",MAX(ABS(V242),ABS(W242))),IF(LOOKUP(T238,Espesor!$C$8:$C$41,Espesor!$K$8:$K$41)="en voladizo",MAX(ABS(V242),ABS(W242)),-(W242+V242))))</f>
        <v>0</v>
      </c>
      <c r="W243" s="678"/>
      <c r="X243" s="406"/>
      <c r="Y243" s="678">
        <f>+IF(Z238="",0,IF(LOOKUP(Z238,Espesor!$C$8:$C$41,Espesor!$K$8:$K$41)="en voladizo",IF(LOOKUP(W238,Espesor!$C$8:$C$41,Espesor!$K$8:$K$41)="en voladizo","Inestable",MAX(ABS(Y242),ABS(Z242))),IF(LOOKUP(W238,Espesor!$C$8:$C$41,Espesor!$K$8:$K$41)="en voladizo",MAX(ABS(Y242),ABS(Z242)),-(Z242+Y242))))</f>
        <v>0</v>
      </c>
      <c r="Z243" s="678"/>
      <c r="AA243" s="406"/>
      <c r="AB243" s="252"/>
      <c r="AD243" s="321" t="str">
        <f>+IF(AI237="","",AI237)</f>
        <v/>
      </c>
      <c r="AE243" s="324" t="str">
        <f>IF(N237="","",IF($K$2="X - X",VLOOKUP(N237,Espesor!$C$8:$E$41,2,0),VLOOKUP(N237,Espesor!$C$8:$E$41,3,0)))</f>
        <v/>
      </c>
      <c r="AF243" s="319" t="str">
        <f>IF(AD243="","",IF(LOOKUP(AD243,Espesor!$C$8:$C$41,Espesor!$K$8:$K$41)="en voladizo","",IF(AD244="",0.75/AE243,1/AE243)))</f>
        <v/>
      </c>
      <c r="AG243" s="634" t="str">
        <f>IF(AF243="","",IF(AF244="","",ROUND(AF243/(AF243+AF244),3)))</f>
        <v/>
      </c>
      <c r="AH243" s="634"/>
      <c r="AI243" s="634" t="e">
        <f>IF(AF244="","",IF(AF243="","",ROUND(AF244/(AF244+AF243),3)))</f>
        <v>#N/A</v>
      </c>
      <c r="AJ243" s="634"/>
      <c r="AK243" s="317">
        <f>IF(F212="",0,IF($K$2="X - X",VLOOKUP(F212,'Moms de Empt'!$P$3:$T$36,3,0),VLOOKUP(F212,'Moms de Empt'!$P$3:$T$36,5,0)))</f>
        <v>0</v>
      </c>
      <c r="AL243" s="317">
        <f t="shared" si="419"/>
        <v>0</v>
      </c>
      <c r="AM243" s="629" t="e">
        <f>IF(AD244="",0,IF(LOOKUP(AD244,Espesor!$C$8:$C$41,Espesor!$K$8:$K$41)="en voladizo",MAX(ABS(AL243),ABS(AK244)),-(AK244+AL243)))</f>
        <v>#N/A</v>
      </c>
      <c r="AN243" s="629"/>
      <c r="AO243" s="630" t="str">
        <f t="shared" ref="AO243" si="423">IF(AG243="","",AM243*AG243)</f>
        <v/>
      </c>
      <c r="AP243" s="630"/>
      <c r="AQ243" s="630" t="e">
        <f t="shared" ref="AQ243" si="424">IF(AI243="","",AM243*AI243)</f>
        <v>#N/A</v>
      </c>
      <c r="AR243" s="630"/>
      <c r="AS243" s="631" t="e">
        <f>-IF(AM243="","",IF(AL243="",IF(AO243="",0,AO243),IF(AO243="",AL243,AL243+AO243)))</f>
        <v>#N/A</v>
      </c>
      <c r="AT243" s="632"/>
      <c r="AU243" s="341" t="e">
        <f>+AS243</f>
        <v>#N/A</v>
      </c>
      <c r="AV243" s="332" t="str">
        <f>IF(N237="","",IF(L212="X - X",VLOOKUP(N237,'Moms de Empt'!$P$3:$T$36,2,0),VLOOKUP(N237,'Moms de Empt'!$P$3:$T$36,4,0)))</f>
        <v/>
      </c>
      <c r="AW243" s="635" t="str">
        <f>IF(AV243="","",IF(AV244="","",ROUND(AV243/(AV243+AV244),3)))</f>
        <v/>
      </c>
      <c r="AX243" s="633"/>
      <c r="AY243" s="635" t="str">
        <f>IF(AV244="","",IF(AV243="","",ROUND(AV244/(AV244+AV243),3)))</f>
        <v/>
      </c>
      <c r="AZ243" s="633"/>
      <c r="BA243" s="331" t="str">
        <f t="shared" si="417"/>
        <v/>
      </c>
      <c r="BC243" s="401"/>
      <c r="BD243" s="398"/>
      <c r="BE243" s="391"/>
      <c r="BF243" s="28"/>
      <c r="BG243" s="28"/>
      <c r="BH243" s="28"/>
      <c r="BI243" s="28"/>
      <c r="BJ243" s="28"/>
      <c r="BK243" s="28"/>
      <c r="BL243" s="28"/>
      <c r="BM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</row>
    <row r="244" spans="1:91" ht="21.75" customHeight="1">
      <c r="A244" s="253" t="s">
        <v>126</v>
      </c>
      <c r="B244" s="29"/>
      <c r="C244" s="30"/>
      <c r="D244" s="254">
        <f>IF(D241="","",D243*D241)</f>
        <v>0</v>
      </c>
      <c r="E244" s="30">
        <f>IF(E241="","",D243*E241)</f>
        <v>0</v>
      </c>
      <c r="F244" s="30"/>
      <c r="G244" s="277">
        <f>IF(G241="","",G243*G241)</f>
        <v>0</v>
      </c>
      <c r="H244" s="278">
        <f>IF(H241="","",G243*H241)</f>
        <v>0</v>
      </c>
      <c r="I244" s="30"/>
      <c r="J244" s="254">
        <f>IF(J241="","",J243*J241)</f>
        <v>0</v>
      </c>
      <c r="K244" s="30">
        <f>IF(K241="","",J243*K241)</f>
        <v>0</v>
      </c>
      <c r="L244" s="30"/>
      <c r="M244" s="254">
        <f>IF(M241="","",M243*M241)</f>
        <v>0</v>
      </c>
      <c r="N244" s="30">
        <f>IF(N241="","",M243*N241)</f>
        <v>0</v>
      </c>
      <c r="O244" s="30"/>
      <c r="P244" s="254">
        <f>IF(P241="","",P243*P241)</f>
        <v>0</v>
      </c>
      <c r="Q244" s="30">
        <f>IF(Q241="","",P243*Q241)</f>
        <v>0</v>
      </c>
      <c r="R244" s="30"/>
      <c r="S244" s="254">
        <f>IF(S241="","",S243*S241)</f>
        <v>0</v>
      </c>
      <c r="T244" s="30">
        <f>IF(T241="","",S243*T241)</f>
        <v>0</v>
      </c>
      <c r="U244" s="30"/>
      <c r="V244" s="254">
        <f>IF(V241="","",V243*V241)</f>
        <v>0</v>
      </c>
      <c r="W244" s="30">
        <f>IF(W241="","",V243*W241)</f>
        <v>0</v>
      </c>
      <c r="X244" s="30"/>
      <c r="Y244" s="254">
        <f>IF(Y241="","",Y243*Y241)</f>
        <v>0</v>
      </c>
      <c r="Z244" s="30">
        <f>IF(Z241="","",Y243*Z241)</f>
        <v>0</v>
      </c>
      <c r="AA244" s="30"/>
      <c r="AB244" s="31"/>
      <c r="AD244" s="321">
        <f>+IF(AJ237="","",AJ237)</f>
        <v>0</v>
      </c>
      <c r="AE244" s="324" t="str">
        <f>IF(Q237="","",IF($K$2="X - X",VLOOKUP(Q237,Espesor!$C$8:$E$41,2,0),VLOOKUP(Q237,Espesor!$C$8:$E$41,3,0)))</f>
        <v/>
      </c>
      <c r="AF244" s="319" t="e">
        <f>IF(AD244="","",IF(LOOKUP(AD244,Espesor!$C$8:$C$41,Espesor!$K$8:$K$41)="en voladizo","",IF(AD245="",0.75/AE244,1/AE244)))</f>
        <v>#N/A</v>
      </c>
      <c r="AG244" s="634"/>
      <c r="AH244" s="634" t="e">
        <f>IF(AF244="","",IF(AF245="","",ROUND(AF244/(AF244+AF245),3)))</f>
        <v>#N/A</v>
      </c>
      <c r="AI244" s="634"/>
      <c r="AJ244" s="634" t="e">
        <f>IF(AF244="","",IF(AF245="","",ROUND(AF245/(AF244+AF245),3)))</f>
        <v>#N/A</v>
      </c>
      <c r="AK244" s="317" t="e">
        <f>IF(G212="",0,IF($K$2="X - X",VLOOKUP(G212,'Moms de Empt'!$P$3:$T$36,3,0),VLOOKUP(G212,'Moms de Empt'!$P$3:$T$36,5,0)))</f>
        <v>#N/A</v>
      </c>
      <c r="AL244" s="317">
        <f t="shared" si="419"/>
        <v>0</v>
      </c>
      <c r="AM244" s="629"/>
      <c r="AN244" s="629">
        <f>IF(AD245="",0,IF(LOOKUP(AD245,Espesor!$C$8:$C$41,Espesor!$K$8:$K$41)="en voladizo",MAX(ABS(AL244),ABS(AK245)),-(AK245+AL244)))</f>
        <v>0</v>
      </c>
      <c r="AO244" s="630"/>
      <c r="AP244" s="630" t="e">
        <f t="shared" ref="AP244" si="425">IF(AH244="","",AN244*AH244)</f>
        <v>#N/A</v>
      </c>
      <c r="AQ244" s="630"/>
      <c r="AR244" s="630" t="e">
        <f t="shared" ref="AR244" si="426">IF(AJ244="","",AN244*AJ244)</f>
        <v>#N/A</v>
      </c>
      <c r="AS244" s="632"/>
      <c r="AT244" s="631" t="e">
        <f t="shared" ref="AT244" si="427">-IF(AN244="","",IF(AL244="",IF(AP244="",0,AP244),IF(AP244="",AL244,AL244+AP244)))</f>
        <v>#N/A</v>
      </c>
      <c r="AU244" s="341" t="e">
        <f>+AT244</f>
        <v>#N/A</v>
      </c>
      <c r="AV244" s="332" t="str">
        <f>IF(Q237="","",IF(L212="X - X",VLOOKUP(Q237,'Moms de Empt'!$P$3:$T$36,2,0),VLOOKUP(Q237,'Moms de Empt'!$P$3:$T$36,4,0)))</f>
        <v/>
      </c>
      <c r="AW244" s="635"/>
      <c r="AX244" s="633" t="str">
        <f>IF(AV244="","",IF(AV245="","",ROUND(AV244/(AV244+AV245),3)))</f>
        <v/>
      </c>
      <c r="AY244" s="635"/>
      <c r="AZ244" s="633" t="str">
        <f>IF(AV244="","",IF(AV245="","",ROUND(AV245/(AV244+AV245),3)))</f>
        <v/>
      </c>
      <c r="BA244" s="331" t="str">
        <f t="shared" si="417"/>
        <v/>
      </c>
      <c r="BC244" s="401"/>
      <c r="BD244" s="398"/>
      <c r="BE244" s="391"/>
      <c r="BF244" s="28"/>
      <c r="BG244" s="28"/>
      <c r="BH244" s="28"/>
      <c r="BI244" s="28"/>
      <c r="BJ244" s="28"/>
      <c r="BK244" s="28"/>
      <c r="BL244" s="28"/>
      <c r="BM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</row>
    <row r="245" spans="1:91" ht="21.75" customHeight="1" thickBot="1">
      <c r="A245" s="32"/>
      <c r="B245" s="29"/>
      <c r="C245" s="30"/>
      <c r="D245" s="255">
        <f>IF(D243="",0,IF(D242="",IF(D244="",0,D244),IF(D244="",D242,D242+D244)))</f>
        <v>0</v>
      </c>
      <c r="E245" s="256">
        <f>IF(D243="",0,IF(E242="",IF(E244="",0,E244),IF(E244="",E242,E242+E244)))</f>
        <v>0</v>
      </c>
      <c r="F245" s="30"/>
      <c r="G245" s="276">
        <f>IF(G243="",0,IF(G242="",IF(G244="",0,G244),IF(G244="",G242,G242+G244)))</f>
        <v>0</v>
      </c>
      <c r="H245" s="256">
        <f>IF(G243="",0,IF(H242="",IF(H244="",0,H244),IF(H244="",H242,H242+H244)))</f>
        <v>0</v>
      </c>
      <c r="I245" s="30"/>
      <c r="J245" s="276">
        <f>IF(J243="",0,IF(J242="",IF(J244="",0,J244),IF(J244="",J242,J242+J244)))</f>
        <v>0</v>
      </c>
      <c r="K245" s="256">
        <f>IF(J243="",0,IF(K242="",IF(K244="",0,K244),IF(K244="",K242,K242+K244)))</f>
        <v>0</v>
      </c>
      <c r="L245" s="30"/>
      <c r="M245" s="276">
        <f>IF(M243="",0,IF(M242="",IF(M244="",0,M244),IF(M244="",M242,M242+M244)))</f>
        <v>0</v>
      </c>
      <c r="N245" s="256">
        <f>IF(M243="",0,IF(N242="",IF(N244="",0,N244),IF(N244="",N242,N242+N244)))</f>
        <v>0</v>
      </c>
      <c r="O245" s="30"/>
      <c r="P245" s="276">
        <f>IF(P243="",0,IF(P242="",IF(P244="",0,P244),IF(P244="",P242,P242+P244)))</f>
        <v>0</v>
      </c>
      <c r="Q245" s="256">
        <f>IF(P243="",0,IF(Q242="",IF(Q244="",0,Q244),IF(Q244="",Q242,Q242+Q244)))</f>
        <v>0</v>
      </c>
      <c r="R245" s="30"/>
      <c r="S245" s="276">
        <f>IF(S243="",0,IF(S242="",IF(S244="",0,S244),IF(S244="",S242,S242+S244)))</f>
        <v>0</v>
      </c>
      <c r="T245" s="256">
        <f>IF(S243="",0,IF(T242="",IF(T244="",0,T244),IF(T244="",T242,T242+T244)))</f>
        <v>0</v>
      </c>
      <c r="U245" s="30"/>
      <c r="V245" s="276">
        <f>IF(V243="",0,IF(V242="",IF(V244="",0,V244),IF(V244="",V242,V242+V244)))</f>
        <v>0</v>
      </c>
      <c r="W245" s="256">
        <f>IF(V243="",0,IF(W242="",IF(W244="",0,W244),IF(W244="",W242,W242+W244)))</f>
        <v>0</v>
      </c>
      <c r="X245" s="30"/>
      <c r="Y245" s="276">
        <f>IF(Y243="",0,IF(Y242="",IF(Y244="",0,Y244),IF(Y244="",Y242,Y242+Y244)))</f>
        <v>0</v>
      </c>
      <c r="Z245" s="256">
        <f>IF(Y243="",0,IF(Z242="",IF(Z244="",0,Z244),IF(Z244="",Z242,Z242+Z244)))</f>
        <v>0</v>
      </c>
      <c r="AA245" s="30"/>
      <c r="AB245" s="31"/>
      <c r="AD245" s="321" t="str">
        <f>+IF(AK237="","",AK237)</f>
        <v/>
      </c>
      <c r="AE245" s="324" t="str">
        <f>IF(T237="","",IF($K$2="X - X",VLOOKUP(T237,Espesor!$C$8:$E$41,2,0),VLOOKUP(T237,Espesor!$C$8:$E$41,3,0)))</f>
        <v/>
      </c>
      <c r="AF245" s="319" t="str">
        <f>IF(AD245="","",IF(LOOKUP(AD245,Espesor!$C$8:$C$41,Espesor!$K$8:$K$41)="en voladizo","",IF(AD246="",0.75/AE245,1/AE245)))</f>
        <v/>
      </c>
      <c r="AG245" s="634" t="str">
        <f>IF(AF245="","",IF(AF246="","",ROUND(AF245/(AF245+AF246),3)))</f>
        <v/>
      </c>
      <c r="AH245" s="634"/>
      <c r="AI245" s="634" t="str">
        <f>IF(AF246="","",IF(AF245="","",ROUND(AF246/(AF246+AF245),3)))</f>
        <v/>
      </c>
      <c r="AJ245" s="634"/>
      <c r="AK245" s="317">
        <f>IF(H212="",0,IF($K$2="X - X",VLOOKUP(H212,'Moms de Empt'!$P$3:$T$36,3,0),VLOOKUP(H212,'Moms de Empt'!$P$3:$T$36,5,0)))</f>
        <v>0</v>
      </c>
      <c r="AL245" s="317">
        <f>+IF(AD246="",0,-AK245)</f>
        <v>0</v>
      </c>
      <c r="AM245" s="629">
        <f>IF(AD246="",0,IF(LOOKUP(AD246,Espesor!$C$8:$C$41,Espesor!$K$8:$K$41)="en voladizo",MAX(ABS(AL245),ABS(AK246)),-(AK246+AL245)))</f>
        <v>0</v>
      </c>
      <c r="AN245" s="629"/>
      <c r="AO245" s="630" t="str">
        <f>IF(AG245="","",AM245*AG245)</f>
        <v/>
      </c>
      <c r="AP245" s="630"/>
      <c r="AQ245" s="630" t="str">
        <f t="shared" ref="AQ245" si="428">IF(AI245="","",AM245*AI245)</f>
        <v/>
      </c>
      <c r="AR245" s="630"/>
      <c r="AS245" s="631">
        <f>-IF(AM245="","",IF(AL245="",IF(AO245="",0,AO245),IF(AO245="",AL245,AL245+AO245)))</f>
        <v>0</v>
      </c>
      <c r="AT245" s="632"/>
      <c r="AU245" s="341">
        <f>+AS245</f>
        <v>0</v>
      </c>
      <c r="AV245" s="332" t="str">
        <f>IF(T237="","",IF(L212="X - X",VLOOKUP(T237,'Moms de Empt'!$P$3:$T$36,2,0),VLOOKUP(T237,'Moms de Empt'!$P$3:$T$36,4,0)))</f>
        <v/>
      </c>
      <c r="AW245" s="635" t="str">
        <f>IF(AV245="","",IF(AV246="","",ROUND(AV245/(AV245+AV246),3)))</f>
        <v/>
      </c>
      <c r="AX245" s="633"/>
      <c r="AY245" s="635" t="str">
        <f>IF(AV246="","",IF(AV245="","",ROUND(AV246/(AV246+AV245),3)))</f>
        <v/>
      </c>
      <c r="AZ245" s="633"/>
      <c r="BA245" s="331" t="str">
        <f t="shared" si="417"/>
        <v/>
      </c>
      <c r="BC245" s="401"/>
      <c r="BD245" s="398"/>
      <c r="BE245" s="391"/>
      <c r="BF245" s="28"/>
      <c r="BG245" s="28"/>
      <c r="BH245" s="28"/>
      <c r="BI245" s="28"/>
      <c r="BJ245" s="28"/>
      <c r="BK245" s="28"/>
      <c r="BL245" s="28"/>
      <c r="BM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</row>
    <row r="246" spans="1:91" ht="21.75" customHeight="1" thickBot="1">
      <c r="A246" s="306" t="s">
        <v>150</v>
      </c>
      <c r="B246" s="273"/>
      <c r="C246" s="36"/>
      <c r="D246" s="672">
        <f>IF(E238="",0,IF(D245=0,IF(E245=0,MAX(ABS(D242),ABS(E242)),E245),MAX(ABS(D245),ABS(E245))))</f>
        <v>0</v>
      </c>
      <c r="E246" s="674"/>
      <c r="F246" s="36"/>
      <c r="G246" s="672">
        <f>IF(H238="",0,IF(G245=0,IF(H245=0,MAX(ABS(G242),ABS(H242)),H245),MAX(ABS(G245),ABS(H245))))</f>
        <v>0</v>
      </c>
      <c r="H246" s="674"/>
      <c r="I246" s="36"/>
      <c r="J246" s="672">
        <f>IF(K238="",0,IF(J245=0,IF(K245=0,MAX(ABS(J242),ABS(K242)),K245),MAX(ABS(J245),ABS(K245))))</f>
        <v>0</v>
      </c>
      <c r="K246" s="674"/>
      <c r="L246" s="36"/>
      <c r="M246" s="672">
        <f>IF(N238="",0,IF(M245=0,IF(N245=0,MAX(ABS(M242),ABS(N242)),N245),MAX(ABS(M245),ABS(N245))))</f>
        <v>0</v>
      </c>
      <c r="N246" s="674"/>
      <c r="O246" s="36"/>
      <c r="P246" s="672">
        <f>IF(Q238="",0,IF(P245=0,IF(Q245=0,MAX(ABS(P242),ABS(Q242)),Q245),MAX(ABS(P245),ABS(Q245))))</f>
        <v>0</v>
      </c>
      <c r="Q246" s="674"/>
      <c r="R246" s="36"/>
      <c r="S246" s="672">
        <f>IF(T238="",0,IF(S245=0,IF(T245=0,MAX(ABS(S242),ABS(T242)),T245),MAX(ABS(S245),ABS(T245))))</f>
        <v>0</v>
      </c>
      <c r="T246" s="674"/>
      <c r="U246" s="265"/>
      <c r="V246" s="672">
        <f>IF(W238="",0,IF(V245=0,IF(W245=0,MAX(ABS(V242),ABS(W242)),W245),MAX(ABS(V245),ABS(W245))))</f>
        <v>0</v>
      </c>
      <c r="W246" s="674"/>
      <c r="X246" s="36"/>
      <c r="Y246" s="672">
        <f>IF(Z238="",0,IF(Y245=0,IF(Z245=0,MAX(ABS(Y242),ABS(Z242)),Z245),MAX(ABS(Y245),ABS(Z245))))</f>
        <v>0</v>
      </c>
      <c r="Z246" s="674"/>
      <c r="AA246" s="37"/>
      <c r="AB246" s="38"/>
      <c r="AD246" s="321" t="str">
        <f>+IF(AL237="","",AL237)</f>
        <v/>
      </c>
      <c r="AE246" s="324" t="str">
        <f>IF(W237="","",IF($K$2="X - X",VLOOKUP(W237,Espesor!$C$8:$E$41,2,0),VLOOKUP(W237,Espesor!$C$8:$E$41,3,0)))</f>
        <v/>
      </c>
      <c r="AF246" s="319" t="str">
        <f>IF(AD246="","",IF(LOOKUP(AD246,Espesor!$C$8:$C$41,Espesor!$K$8:$K$41)="en voladizo","",IF(AD247="",0.75/AE246,1/AE246)))</f>
        <v/>
      </c>
      <c r="AG246" s="634"/>
      <c r="AH246" s="634" t="str">
        <f>IF(AF246="","",IF(AF247="","",ROUND(AF246/(AF246+AF247),3)))</f>
        <v/>
      </c>
      <c r="AI246" s="634"/>
      <c r="AJ246" s="634" t="str">
        <f>IF(AF246="","",IF(AF247="","",ROUND(AF247/(AF246+AF247),3)))</f>
        <v/>
      </c>
      <c r="AK246" s="317">
        <f>IF(I212="",0,IF($K$2="X - X",VLOOKUP(I212,'Moms de Empt'!$P$3:$T$36,3,0),VLOOKUP(I212,'Moms de Empt'!$P$3:$T$36,5,0)))</f>
        <v>0</v>
      </c>
      <c r="AL246" s="317">
        <f t="shared" ref="AL246:AL247" si="429">+IF(AD247="",0,-AK246)</f>
        <v>0</v>
      </c>
      <c r="AM246" s="629"/>
      <c r="AN246" s="629" t="e">
        <f>IF(AD247="",0,IF(LOOKUP(AD247,Espesor!$C$8:$C$41,Espesor!$K$8:$K$41)="en voladizo",MAX(ABS(AL246),ABS(AK247)),-(AK247+AL246)))</f>
        <v>#N/A</v>
      </c>
      <c r="AO246" s="630"/>
      <c r="AP246" s="630" t="str">
        <f t="shared" ref="AP246" si="430">IF(AH246="","",AN246*AH246)</f>
        <v/>
      </c>
      <c r="AQ246" s="630"/>
      <c r="AR246" s="630" t="str">
        <f t="shared" ref="AR246" si="431">IF(AJ246="","",AN246*AJ246)</f>
        <v/>
      </c>
      <c r="AS246" s="632"/>
      <c r="AT246" s="631" t="e">
        <f t="shared" ref="AT246" si="432">-IF(AN246="","",IF(AL246="",IF(AP246="",0,AP246),IF(AP246="",AL246,AL246+AP246)))</f>
        <v>#N/A</v>
      </c>
      <c r="AU246" s="341" t="e">
        <f>+AT246</f>
        <v>#N/A</v>
      </c>
      <c r="AV246" s="332" t="str">
        <f>IF(W237="","",IF(L212="X - X",VLOOKUP(W237,'Moms de Empt'!$P$3:$T$36,2,0),VLOOKUP(W237,'Moms de Empt'!$P$3:$T$36,4,0)))</f>
        <v/>
      </c>
      <c r="AW246" s="635"/>
      <c r="AX246" s="633" t="str">
        <f>IF(AV246="","",IF(AV247="","",ROUND(AV246/(AV246+AV247),3)))</f>
        <v/>
      </c>
      <c r="AY246" s="635"/>
      <c r="AZ246" s="633" t="str">
        <f>IF(AV246="","",IF(AV247="","",ROUND(AV247/(AV246+AV247),3)))</f>
        <v/>
      </c>
      <c r="BA246" s="331" t="str">
        <f t="shared" si="417"/>
        <v/>
      </c>
      <c r="BC246" s="401"/>
      <c r="BD246" s="398"/>
      <c r="BE246" s="391"/>
      <c r="BF246" s="28"/>
      <c r="BG246" s="28"/>
      <c r="BH246" s="28"/>
      <c r="BI246" s="28"/>
      <c r="BJ246" s="28"/>
      <c r="BK246" s="28"/>
      <c r="BL246" s="28"/>
      <c r="BM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</row>
    <row r="247" spans="1:91" ht="21.75" customHeight="1" thickBot="1">
      <c r="A247" s="36"/>
      <c r="B247" s="274"/>
      <c r="C247" s="36"/>
      <c r="D247" s="690">
        <f>IF(D246="","",D246*100000)</f>
        <v>0</v>
      </c>
      <c r="E247" s="690"/>
      <c r="F247" s="36"/>
      <c r="G247" s="690">
        <f>IF(G246="","",G246*100000)</f>
        <v>0</v>
      </c>
      <c r="H247" s="690"/>
      <c r="I247" s="388"/>
      <c r="J247" s="690">
        <f>IF(J246="","",J246*100000)</f>
        <v>0</v>
      </c>
      <c r="K247" s="690"/>
      <c r="L247" s="388"/>
      <c r="M247" s="690">
        <f>IF(M246="","",M246*100000)</f>
        <v>0</v>
      </c>
      <c r="N247" s="690"/>
      <c r="O247" s="388"/>
      <c r="P247" s="690">
        <f>IF(P246="","",P246*100000)</f>
        <v>0</v>
      </c>
      <c r="Q247" s="690"/>
      <c r="R247" s="388"/>
      <c r="S247" s="690">
        <f>IF(S246="","",S246*100000)</f>
        <v>0</v>
      </c>
      <c r="T247" s="690"/>
      <c r="U247" s="387"/>
      <c r="V247" s="690">
        <f>IF(V246="","",V246*100000)</f>
        <v>0</v>
      </c>
      <c r="W247" s="690"/>
      <c r="X247" s="388"/>
      <c r="Y247" s="690">
        <f>IF(Y246="","",Y246*100000)</f>
        <v>0</v>
      </c>
      <c r="Z247" s="690"/>
      <c r="AA247" s="37"/>
      <c r="AB247" s="275"/>
      <c r="AD247" s="321">
        <f>+IF(AM237="","",AM237)</f>
        <v>0</v>
      </c>
      <c r="AE247" s="324" t="str">
        <f>IF(Z237="","",IF($K$2="X - X",VLOOKUP(Z237,Espesor!$C$8:$E$41,2,0),VLOOKUP(Z237,Espesor!$C$8:$E$41,3,0)))</f>
        <v/>
      </c>
      <c r="AF247" s="319" t="e">
        <f>IF(AD247="","",IF(LOOKUP(AD247,Espesor!$C$8:$C$41,Espesor!$K$8:$K$41)="en voladizo","",IF(AD248="",0.75/AE247,1/AE247)))</f>
        <v>#N/A</v>
      </c>
      <c r="AG247" s="344" t="e">
        <f>IF(AF247="","",IF(AK221="","",ROUND(AF247/(AF247+AK221),3)))</f>
        <v>#N/A</v>
      </c>
      <c r="AH247" s="634"/>
      <c r="AI247" s="344" t="e">
        <f>IF(AK221="","",IF(AF247="","",ROUND(AK221/(AK221+AF247),3)))</f>
        <v>#N/A</v>
      </c>
      <c r="AJ247" s="634"/>
      <c r="AK247" s="317" t="e">
        <f>IF(J212="",0,IF($K$2="X - X",VLOOKUP(J212,'Moms de Empt'!$P$3:$T$36,3,0),VLOOKUP(J212,'Moms de Empt'!$P$3:$T$36,5,0)))</f>
        <v>#N/A</v>
      </c>
      <c r="AL247" s="317">
        <f t="shared" si="429"/>
        <v>0</v>
      </c>
      <c r="AM247" s="307" t="str">
        <f>IF(AI221="","",IF(LOOKUP(AI221,[6]Espesor!$C$8:$C$41,[6]Espesor!$K$8:$K$41)="en voladizo",MAX(ABS(AL247),ABS(AQ221)),-(AQ221-AL247)))</f>
        <v/>
      </c>
      <c r="AN247" s="629"/>
      <c r="AO247" s="340" t="e">
        <f t="shared" ref="AO247" si="433">IF(AG247="","",AM247*AG247)</f>
        <v>#N/A</v>
      </c>
      <c r="AP247" s="630"/>
      <c r="AQ247" s="315" t="e">
        <f t="shared" ref="AQ247" si="434">IF(AI247="","",AM247*AI247)</f>
        <v>#N/A</v>
      </c>
      <c r="AR247" s="630"/>
      <c r="AS247" s="312" t="str">
        <f t="shared" ref="AS247" si="435">IF(AM247="","",IF(AL247="",IF(AO247="",0,AO247),IF(AO247="",AL247,AL247+AO247)))</f>
        <v/>
      </c>
      <c r="AT247" s="632"/>
      <c r="AU247" s="341"/>
      <c r="AV247" s="333" t="str">
        <f>IF(Z237="","",IF(L212="X - X",VLOOKUP(Z237,'Moms de Empt'!$P$3:$T$36,2,0),VLOOKUP(Z237,'Moms de Empt'!$P$3:$T$36,4,0)))</f>
        <v/>
      </c>
      <c r="AW247" s="337" t="str">
        <f>IF(AV247="","",IF(BA221="","",ROUND(AV247/(AV247+BA221),3)))</f>
        <v/>
      </c>
      <c r="AX247" s="633"/>
      <c r="AY247" s="337" t="str">
        <f>IF(BA221="","",IF(AV247="","",ROUND(BA221/(BA221+AV247),3)))</f>
        <v/>
      </c>
      <c r="AZ247" s="633"/>
      <c r="BA247" s="331"/>
      <c r="BC247" s="401"/>
      <c r="BD247" s="398"/>
      <c r="BE247" s="391"/>
      <c r="BF247" s="28"/>
      <c r="BG247" s="28"/>
      <c r="BH247" s="28"/>
      <c r="BI247" s="28"/>
      <c r="BJ247" s="28"/>
      <c r="BK247" s="28"/>
      <c r="BL247" s="28"/>
      <c r="BM247" s="28"/>
    </row>
    <row r="248" spans="1:91" ht="21.75" customHeight="1" thickBot="1">
      <c r="A248" s="304" t="s">
        <v>148</v>
      </c>
      <c r="B248" s="675" t="str">
        <f>+IF(B238="","",VLOOKUP(B238,'Moms de Empt'!$P$3:$T$36,4,0))</f>
        <v/>
      </c>
      <c r="C248" s="676"/>
      <c r="D248" s="677"/>
      <c r="E248" s="675" t="str">
        <f>+IF(E238="","",VLOOKUP(E238,'Moms de Empt'!$P$3:$T$36,4,0))</f>
        <v/>
      </c>
      <c r="F248" s="676"/>
      <c r="G248" s="677"/>
      <c r="H248" s="675" t="str">
        <f>+IF(H238="","",VLOOKUP(H238,'Moms de Empt'!$P$3:$T$36,4,0))</f>
        <v/>
      </c>
      <c r="I248" s="676"/>
      <c r="J248" s="677"/>
      <c r="K248" s="675" t="str">
        <f>+IF(K238="","",VLOOKUP(K238,'Moms de Empt'!$P$3:$T$36,4,0))</f>
        <v/>
      </c>
      <c r="L248" s="676"/>
      <c r="M248" s="677"/>
      <c r="N248" s="675" t="str">
        <f>+IF(N238="","",VLOOKUP(N238,'Moms de Empt'!$P$3:$T$36,4,0))</f>
        <v/>
      </c>
      <c r="O248" s="676"/>
      <c r="P248" s="677"/>
      <c r="Q248" s="675" t="str">
        <f>+IF(Q238="","",VLOOKUP(Q238,'Moms de Empt'!$P$3:$T$36,4,0))</f>
        <v/>
      </c>
      <c r="R248" s="676"/>
      <c r="S248" s="677"/>
      <c r="T248" s="675" t="str">
        <f>+IF(T238="","",VLOOKUP(T238,'Moms de Empt'!$P$3:$T$36,4,0))</f>
        <v/>
      </c>
      <c r="U248" s="676"/>
      <c r="V248" s="677"/>
      <c r="W248" s="675" t="str">
        <f>+IF(W238="","",VLOOKUP(W238,'Moms de Empt'!$P$3:$T$36,4,0))</f>
        <v/>
      </c>
      <c r="X248" s="676"/>
      <c r="Y248" s="677"/>
      <c r="Z248" s="675" t="str">
        <f>+IF(Z238="","",VLOOKUP(Z238,'Moms de Empt'!$P$3:$T$36,4,0))</f>
        <v/>
      </c>
      <c r="AA248" s="676"/>
      <c r="AB248" s="677"/>
      <c r="AD248" s="210"/>
      <c r="AE248" s="210"/>
      <c r="AF248" s="210"/>
      <c r="AG248" s="210"/>
      <c r="AH248" s="210"/>
      <c r="AI248" s="210"/>
      <c r="AJ248" s="210"/>
      <c r="AK248" s="40"/>
      <c r="AL248" s="210"/>
      <c r="AM248" s="40"/>
      <c r="AN248" s="40"/>
      <c r="AO248" s="40"/>
      <c r="AP248" s="40"/>
      <c r="AQ248" s="40"/>
      <c r="AR248" s="40"/>
      <c r="AS248" s="40"/>
      <c r="AT248" s="40"/>
      <c r="AU248" s="210"/>
      <c r="AV248" s="210"/>
      <c r="AW248" s="210"/>
      <c r="AX248" s="210"/>
      <c r="AY248" s="210"/>
      <c r="AZ248" s="210"/>
      <c r="BA248" s="210"/>
      <c r="BC248" s="401"/>
      <c r="BD248" s="398"/>
      <c r="BE248" s="391"/>
      <c r="BF248" s="28"/>
      <c r="BG248" s="28"/>
      <c r="BH248" s="28"/>
      <c r="BI248" s="28"/>
      <c r="BJ248" s="28"/>
      <c r="BK248" s="28"/>
      <c r="BL248" s="28"/>
      <c r="BM248" s="28"/>
    </row>
    <row r="249" spans="1:91" ht="21.75" customHeight="1" thickBot="1">
      <c r="A249" s="258"/>
      <c r="B249" s="209"/>
      <c r="C249" s="209"/>
      <c r="D249" s="209" t="str">
        <f>IF(B240="","",IF(D242="","",IF(ABS(D246)&gt;ABS(D242),-0.5*ABS(D244),0.5*ABS(D244))))</f>
        <v/>
      </c>
      <c r="E249" s="209" t="str">
        <f>IF(E240="","",IF(E242="","",IF(ABS(D246)&gt;ABS(E242),-0.5*ABS(E244),0.5*ABS(E244))))</f>
        <v/>
      </c>
      <c r="F249" s="209"/>
      <c r="G249" s="209" t="str">
        <f>IF(E240="","",IF(G242="","",IF(ABS(G246)&gt;ABS(G242),-0.5*ABS(G244),0.5*ABS(G244))))</f>
        <v/>
      </c>
      <c r="H249" s="209" t="str">
        <f>IF(H240="","",IF(H242="","",IF(ABS(G246)&gt;ABS(H242),-0.5*ABS(H244),0.5*ABS(H244))))</f>
        <v/>
      </c>
      <c r="I249" s="209"/>
      <c r="J249" s="209" t="str">
        <f>IF(H240="","",IF(J242="","",IF(ABS(J246)&gt;ABS(J242),-0.5*ABS(J244),0.5*ABS(J244))))</f>
        <v/>
      </c>
      <c r="K249" s="209" t="str">
        <f>IF(K240="","",IF(K242="","",IF(ABS(J246)&gt;ABS(K242),-0.5*ABS(K244),0.5*ABS(K244))))</f>
        <v/>
      </c>
      <c r="L249" s="209"/>
      <c r="M249" s="209" t="str">
        <f>IF(K240="","",IF(M242="","",IF(ABS(M246)&gt;ABS(M242),-0.5*ABS(M244),0.5*ABS(M244))))</f>
        <v/>
      </c>
      <c r="N249" s="209" t="str">
        <f>IF(N240="","",IF(N242="","",IF(ABS(M246)&gt;ABS(N242),-0.5*ABS(N244),0.5*ABS(N244))))</f>
        <v/>
      </c>
      <c r="O249" s="209"/>
      <c r="P249" s="209" t="str">
        <f>IF(N240="","",IF(P242="","",IF(ABS(P246)&gt;ABS(P242),-0.5*ABS(P244),0.5*ABS(P244))))</f>
        <v/>
      </c>
      <c r="Q249" s="209" t="str">
        <f>IF(Q240="","",IF(Q242="","",IF(ABS(P246)&gt;ABS(Q242),-0.5*ABS(Q244),0.5*ABS(Q244))))</f>
        <v/>
      </c>
      <c r="R249" s="209"/>
      <c r="S249" s="209" t="str">
        <f>IF(Q240="","",IF(S242="","",IF(ABS(S246)&gt;ABS(S242),-0.5*ABS(S244),0.5*ABS(S244))))</f>
        <v/>
      </c>
      <c r="T249" s="209" t="str">
        <f>IF(T240="","",IF(T242="","",IF(ABS(S246)&gt;ABS(T242),-0.5*ABS(T244),0.5*ABS(T244))))</f>
        <v/>
      </c>
      <c r="U249" s="209"/>
      <c r="V249" s="209" t="str">
        <f>IF(T240="","",IF(V242="","",IF(ABS(V246)&gt;ABS(V242),-0.5*ABS(V244),0.5*ABS(V244))))</f>
        <v/>
      </c>
      <c r="W249" s="209" t="str">
        <f>IF(W240="","",IF(W242="","",IF(ABS(V246)&gt;ABS(W242),-0.5*ABS(W244),0.5*ABS(W244))))</f>
        <v/>
      </c>
      <c r="X249" s="209"/>
      <c r="Y249" s="209" t="str">
        <f>IF(W240="","",IF(Y242="","",IF(ABS(Y246)&gt;ABS(Y242),-0.5*ABS(Y244),0.5*ABS(Y244))))</f>
        <v/>
      </c>
      <c r="Z249" s="209" t="str">
        <f>IF(Z240="","",IF(Z242="","",IF(ABS(Y246)&gt;ABS(Z242),-0.5*ABS(Z244),0.5*ABS(Z244))))</f>
        <v/>
      </c>
      <c r="AA249" s="209"/>
      <c r="AB249" s="209" t="str">
        <f>IF(Z240="","",IF(AB242="","",IF(AB246&gt;-AB242,IF(AB244&lt;0,0.5*AB244,-0.5*AB244),0.5*AB244)))</f>
        <v/>
      </c>
      <c r="AD249" s="260"/>
      <c r="AE249" s="260"/>
      <c r="AF249" s="260"/>
      <c r="AG249" s="260"/>
      <c r="AH249" s="260"/>
      <c r="AI249" s="260"/>
      <c r="AJ249" s="260"/>
      <c r="AK249" s="39"/>
      <c r="AL249" s="39"/>
      <c r="AM249" s="260"/>
      <c r="AN249" s="260"/>
      <c r="AO249" s="39"/>
      <c r="AP249" s="39"/>
      <c r="AQ249" s="39"/>
      <c r="AR249" s="39"/>
      <c r="AS249" s="260"/>
      <c r="AT249" s="260"/>
      <c r="AU249" s="260"/>
      <c r="AV249" s="260"/>
      <c r="AW249" s="260"/>
      <c r="AX249" s="260"/>
      <c r="AY249" s="260"/>
      <c r="AZ249" s="260"/>
      <c r="BA249" s="260"/>
      <c r="BC249" s="401"/>
      <c r="BD249" s="398"/>
      <c r="BE249" s="391"/>
      <c r="BF249" s="28"/>
      <c r="BG249" s="28"/>
      <c r="BH249" s="28"/>
      <c r="BI249" s="28"/>
      <c r="BJ249" s="28"/>
      <c r="BK249" s="28"/>
      <c r="BL249" s="28"/>
      <c r="BM249" s="28"/>
    </row>
    <row r="250" spans="1:91" ht="21.75" customHeight="1" thickBot="1">
      <c r="A250" s="305" t="s">
        <v>149</v>
      </c>
      <c r="B250" s="672" t="str">
        <f>IF(B249="",IF(D249="",B248,B248+D249),IF(D249="",B248+B249,B248+B249+D249))</f>
        <v/>
      </c>
      <c r="C250" s="673"/>
      <c r="D250" s="674"/>
      <c r="E250" s="672" t="str">
        <f>IF(E249="",IF(G249="",E248,E248+G249),IF(G249="",E248+E249,E248+E249+G249))</f>
        <v/>
      </c>
      <c r="F250" s="673"/>
      <c r="G250" s="674"/>
      <c r="H250" s="672" t="str">
        <f>IF(H249="",IF(J249="",H248,H248+J249),IF(J249="",H248+H249,H248+H249+J249))</f>
        <v/>
      </c>
      <c r="I250" s="673"/>
      <c r="J250" s="674"/>
      <c r="K250" s="672" t="str">
        <f>IF(K249="",IF(M249="",K248,K248+M249),IF(M249="",K248+K249,K248+K249+M249))</f>
        <v/>
      </c>
      <c r="L250" s="673"/>
      <c r="M250" s="674"/>
      <c r="N250" s="672" t="str">
        <f>IF(N249="",IF(P249="",N248,N248+P249),IF(P249="",N248+N249,N248+N249+P249))</f>
        <v/>
      </c>
      <c r="O250" s="673"/>
      <c r="P250" s="674"/>
      <c r="Q250" s="672" t="str">
        <f>IF(Q249="",IF(S249="",Q248,Q248+S249),IF(S249="",Q248+Q249,Q248+Q249+S249))</f>
        <v/>
      </c>
      <c r="R250" s="673"/>
      <c r="S250" s="674"/>
      <c r="T250" s="672" t="str">
        <f>IF(T249="",IF(V249="",T248,T248+V249),IF(V249="",T248+T249,T248+T249+V249))</f>
        <v/>
      </c>
      <c r="U250" s="673"/>
      <c r="V250" s="674"/>
      <c r="W250" s="672" t="str">
        <f>IF(W249="",IF(Y249="",W248,W248+Y249),IF(Y249="",W248+W249,W248+W249+Y249))</f>
        <v/>
      </c>
      <c r="X250" s="673"/>
      <c r="Y250" s="674"/>
      <c r="Z250" s="672" t="str">
        <f>IF(Z249="",IF(AB249="",Z248,Z248+AB249),IF(AB249="",Z248+Z249,Z248+Z249+AB249))</f>
        <v/>
      </c>
      <c r="AA250" s="673"/>
      <c r="AB250" s="674"/>
      <c r="BC250" s="401"/>
      <c r="BD250" s="398"/>
      <c r="BE250" s="391"/>
      <c r="BF250" s="28"/>
      <c r="BG250" s="28"/>
      <c r="BH250" s="28"/>
      <c r="BI250" s="28"/>
      <c r="BJ250" s="28"/>
      <c r="BK250" s="28"/>
      <c r="BL250" s="28"/>
      <c r="BM250" s="28"/>
    </row>
    <row r="251" spans="1:91" ht="21.75" customHeight="1">
      <c r="BC251" s="401"/>
      <c r="BD251" s="398"/>
      <c r="BE251" s="391"/>
    </row>
    <row r="252" spans="1:91" ht="21.75" customHeight="1" thickBot="1">
      <c r="A252" s="626">
        <f>+A16</f>
        <v>4</v>
      </c>
      <c r="B252" s="626"/>
      <c r="C252" s="626"/>
      <c r="D252" s="626"/>
      <c r="E252" s="626"/>
      <c r="F252" s="627"/>
      <c r="G252" s="627"/>
      <c r="H252" s="627"/>
      <c r="I252" s="627"/>
      <c r="J252" s="628" t="s">
        <v>134</v>
      </c>
      <c r="K252" s="628"/>
      <c r="L252" s="271" t="str">
        <f>+K16</f>
        <v>Y - Y</v>
      </c>
      <c r="M252" s="262"/>
      <c r="N252" s="404"/>
      <c r="O252" s="402"/>
      <c r="P252" s="262"/>
      <c r="Q252" s="263"/>
      <c r="R252" s="263"/>
      <c r="S252" s="263"/>
      <c r="T252" s="263"/>
      <c r="U252" s="263"/>
      <c r="V252" s="263"/>
      <c r="W252" s="263"/>
      <c r="X252" s="263"/>
      <c r="Y252" s="263"/>
      <c r="Z252" s="263"/>
      <c r="AA252" s="263"/>
      <c r="AB252" s="263"/>
      <c r="AD252" s="263"/>
      <c r="AE252" s="263"/>
      <c r="AF252" s="263"/>
      <c r="AG252" s="263"/>
      <c r="AH252" s="263"/>
      <c r="AI252" s="263"/>
      <c r="AJ252" s="263"/>
      <c r="AK252" s="263"/>
      <c r="AL252" s="263"/>
      <c r="AM252" s="263"/>
      <c r="AN252" s="263"/>
      <c r="AO252" s="263"/>
      <c r="AP252" s="263"/>
      <c r="AQ252" s="263"/>
      <c r="AR252" s="263"/>
      <c r="AS252" s="263"/>
      <c r="AT252" s="263"/>
      <c r="AU252" s="263"/>
      <c r="AV252" s="263"/>
      <c r="AW252" s="263"/>
      <c r="AX252" s="263"/>
      <c r="AY252" s="263"/>
      <c r="AZ252" s="263"/>
      <c r="BA252" s="263"/>
      <c r="BC252" s="401"/>
      <c r="BD252" s="398"/>
      <c r="BE252" s="391"/>
    </row>
    <row r="253" spans="1:91" ht="21.75" customHeight="1" thickTop="1">
      <c r="A253" s="686" t="str">
        <f>+Espesor!$J$3</f>
        <v>Techo</v>
      </c>
      <c r="B253" s="686"/>
      <c r="C253" s="688" t="s">
        <v>136</v>
      </c>
      <c r="D253" s="688"/>
      <c r="E253" s="264" t="str">
        <f>IF(B16="","",B16)</f>
        <v/>
      </c>
      <c r="F253" s="264" t="str">
        <f t="shared" ref="F253:K253" si="436">IF(C16="","",C16)</f>
        <v/>
      </c>
      <c r="G253" s="264" t="str">
        <f t="shared" si="436"/>
        <v/>
      </c>
      <c r="H253" s="264" t="str">
        <f t="shared" si="436"/>
        <v/>
      </c>
      <c r="I253" s="264" t="str">
        <f t="shared" si="436"/>
        <v/>
      </c>
      <c r="J253" s="264" t="str">
        <f t="shared" si="436"/>
        <v/>
      </c>
      <c r="K253" s="264" t="str">
        <f t="shared" si="436"/>
        <v/>
      </c>
      <c r="L253" s="264" t="str">
        <f>IF(I16="","",I16)</f>
        <v/>
      </c>
      <c r="M253" s="264" t="str">
        <f>IF(J16="","",J16)</f>
        <v/>
      </c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  <c r="AA253" s="264"/>
      <c r="AB253" s="263"/>
      <c r="AD253" s="263"/>
      <c r="AE253" s="263"/>
      <c r="AF253" s="263"/>
      <c r="AG253" s="263"/>
      <c r="AH253" s="263"/>
      <c r="AI253" s="263"/>
      <c r="AJ253" s="263"/>
      <c r="AK253" s="263"/>
      <c r="AL253" s="263"/>
      <c r="AM253" s="263"/>
      <c r="AN253" s="263"/>
      <c r="AO253" s="263"/>
      <c r="AP253" s="263"/>
      <c r="AQ253" s="263"/>
      <c r="AR253" s="263"/>
      <c r="AS253" s="263"/>
      <c r="AT253" s="263"/>
      <c r="AU253" s="263"/>
      <c r="AV253" s="263"/>
      <c r="AW253" s="263"/>
      <c r="AX253" s="263"/>
      <c r="AY253" s="263"/>
      <c r="AZ253" s="263"/>
      <c r="BA253" s="263"/>
      <c r="BC253" s="401"/>
      <c r="BD253" s="398"/>
      <c r="BE253" s="391"/>
    </row>
    <row r="254" spans="1:91" ht="21.75" customHeight="1">
      <c r="A254" s="689"/>
      <c r="B254" s="689"/>
      <c r="C254" s="689"/>
      <c r="D254" s="689"/>
      <c r="E254" s="689"/>
      <c r="F254" s="689"/>
      <c r="G254" s="689"/>
      <c r="H254" s="689"/>
      <c r="I254" s="689"/>
      <c r="J254" s="689"/>
      <c r="K254" s="689"/>
      <c r="L254" s="689"/>
      <c r="M254" s="689"/>
      <c r="N254" s="689"/>
      <c r="O254" s="689"/>
      <c r="P254" s="689"/>
      <c r="Q254" s="689"/>
      <c r="R254" s="689"/>
      <c r="S254" s="689"/>
      <c r="T254" s="689"/>
      <c r="U254" s="689"/>
      <c r="V254" s="689"/>
      <c r="W254" s="689"/>
      <c r="X254" s="689"/>
      <c r="Y254" s="689"/>
      <c r="Z254" s="689"/>
      <c r="AA254" s="689"/>
      <c r="AB254" s="689"/>
      <c r="AD254" s="624" t="s">
        <v>64</v>
      </c>
      <c r="AE254" s="624"/>
      <c r="AF254" s="624"/>
      <c r="AG254" s="624"/>
      <c r="AH254" s="624"/>
      <c r="AI254" s="624"/>
      <c r="AJ254" s="624"/>
      <c r="AK254" s="624"/>
      <c r="AL254" s="624"/>
      <c r="BC254" s="401"/>
      <c r="BD254" s="398"/>
      <c r="BE254" s="391"/>
    </row>
    <row r="255" spans="1:91" ht="21.75" customHeight="1" thickBot="1">
      <c r="A255" s="360"/>
      <c r="B255" s="682" t="str">
        <f>IF($E253="","",$E253)</f>
        <v/>
      </c>
      <c r="C255" s="682"/>
      <c r="D255" s="682"/>
      <c r="E255" s="682" t="str">
        <f>IF($F253="","",$F253)</f>
        <v/>
      </c>
      <c r="F255" s="682"/>
      <c r="G255" s="682"/>
      <c r="H255" s="682" t="str">
        <f>IF($G253="","",$G253)</f>
        <v/>
      </c>
      <c r="I255" s="682"/>
      <c r="J255" s="682"/>
      <c r="K255" s="682" t="str">
        <f>IF($H253="","",$H253)</f>
        <v/>
      </c>
      <c r="L255" s="682"/>
      <c r="M255" s="682"/>
      <c r="N255" s="682" t="str">
        <f>IF($I253="","",$I253)</f>
        <v/>
      </c>
      <c r="O255" s="682"/>
      <c r="P255" s="682"/>
      <c r="Q255" s="682" t="str">
        <f>IF($J253="","",$J253)</f>
        <v/>
      </c>
      <c r="R255" s="682"/>
      <c r="S255" s="682"/>
      <c r="T255" s="682" t="str">
        <f>IF($K253="","",$K253)</f>
        <v/>
      </c>
      <c r="U255" s="682"/>
      <c r="V255" s="682"/>
      <c r="W255" s="682" t="str">
        <f>IF($L253="","",$L253)</f>
        <v/>
      </c>
      <c r="X255" s="682"/>
      <c r="Y255" s="682"/>
      <c r="Z255" s="682" t="str">
        <f>IF($M253="","",$M253)</f>
        <v/>
      </c>
      <c r="AA255" s="682"/>
      <c r="AB255" s="682"/>
      <c r="AD255" s="287">
        <f>+A230</f>
        <v>0</v>
      </c>
      <c r="AE255" s="325" t="str">
        <f>+IF(B230="","",B230)</f>
        <v/>
      </c>
      <c r="AF255" s="325" t="str">
        <f>+IF(C230="","",C230)</f>
        <v/>
      </c>
      <c r="AG255" s="325">
        <f t="shared" ref="AG255" si="437">+IF(D230="","",D230)</f>
        <v>100622.93</v>
      </c>
      <c r="AH255" s="325" t="str">
        <f t="shared" ref="AH255" si="438">+IF(E230="","",E230)</f>
        <v/>
      </c>
      <c r="AI255" s="325" t="str">
        <f t="shared" ref="AI255" si="439">+IF(F230="","",F230)</f>
        <v/>
      </c>
      <c r="AJ255" s="325">
        <f t="shared" ref="AJ255" si="440">+IF(G230="","",G230)</f>
        <v>65944.069999999992</v>
      </c>
      <c r="AK255" s="325" t="str">
        <f t="shared" ref="AK255" si="441">+IF(H230="","",H230)</f>
        <v/>
      </c>
      <c r="AL255" s="325" t="str">
        <f t="shared" ref="AL255" si="442">+IF(I230="","",I230)</f>
        <v/>
      </c>
      <c r="AM255" s="325">
        <f t="shared" ref="AM255" si="443">+IF(J230="","",J230)</f>
        <v>192044.75999999998</v>
      </c>
      <c r="AN255" s="242"/>
      <c r="AO255" s="242"/>
      <c r="AP255" s="242"/>
      <c r="AQ255" s="242"/>
      <c r="AR255" s="242"/>
      <c r="AS255" s="242"/>
      <c r="AT255" s="242"/>
      <c r="AU255" s="242"/>
      <c r="AV255" s="242"/>
      <c r="AW255" s="242"/>
      <c r="AX255" s="242"/>
      <c r="AY255" s="242"/>
      <c r="AZ255" s="242"/>
      <c r="BA255" s="242"/>
      <c r="BC255" s="401"/>
      <c r="BD255" s="398"/>
      <c r="BE255" s="428">
        <f>BE$27</f>
        <v>1</v>
      </c>
      <c r="BF255" s="428">
        <f t="shared" ref="BF255:CL255" si="444">BF$27</f>
        <v>2</v>
      </c>
      <c r="BG255" s="428">
        <f t="shared" si="444"/>
        <v>3</v>
      </c>
      <c r="BH255" s="428">
        <f t="shared" si="444"/>
        <v>4</v>
      </c>
      <c r="BI255" s="428">
        <f t="shared" si="444"/>
        <v>5</v>
      </c>
      <c r="BJ255" s="428">
        <f t="shared" si="444"/>
        <v>6</v>
      </c>
      <c r="BK255" s="428">
        <f t="shared" si="444"/>
        <v>7</v>
      </c>
      <c r="BL255" s="428">
        <f t="shared" si="444"/>
        <v>8</v>
      </c>
      <c r="BM255" s="428">
        <f t="shared" si="444"/>
        <v>9</v>
      </c>
      <c r="BN255" s="428">
        <f t="shared" si="444"/>
        <v>10</v>
      </c>
      <c r="BO255" s="428">
        <f t="shared" si="444"/>
        <v>11</v>
      </c>
      <c r="BP255" s="428">
        <f t="shared" si="444"/>
        <v>12</v>
      </c>
      <c r="BQ255" s="428">
        <f t="shared" si="444"/>
        <v>13</v>
      </c>
      <c r="BR255" s="428">
        <f t="shared" si="444"/>
        <v>14</v>
      </c>
      <c r="BS255" s="428">
        <f t="shared" si="444"/>
        <v>15</v>
      </c>
      <c r="BT255" s="428">
        <f t="shared" si="444"/>
        <v>16</v>
      </c>
      <c r="BU255" s="428">
        <f t="shared" si="444"/>
        <v>17</v>
      </c>
      <c r="BV255" s="428">
        <f t="shared" si="444"/>
        <v>18</v>
      </c>
      <c r="BW255" s="428">
        <f t="shared" si="444"/>
        <v>19</v>
      </c>
      <c r="BX255" s="428">
        <f t="shared" si="444"/>
        <v>20</v>
      </c>
      <c r="BY255" s="428">
        <f t="shared" si="444"/>
        <v>21</v>
      </c>
      <c r="BZ255" s="428">
        <f t="shared" si="444"/>
        <v>22</v>
      </c>
      <c r="CA255" s="428">
        <f t="shared" si="444"/>
        <v>23</v>
      </c>
      <c r="CB255" s="428">
        <f t="shared" si="444"/>
        <v>24</v>
      </c>
      <c r="CC255" s="428">
        <f t="shared" si="444"/>
        <v>25</v>
      </c>
      <c r="CD255" s="428">
        <f t="shared" si="444"/>
        <v>26</v>
      </c>
      <c r="CE255" s="428">
        <f t="shared" si="444"/>
        <v>27</v>
      </c>
      <c r="CF255" s="428">
        <f t="shared" si="444"/>
        <v>28</v>
      </c>
      <c r="CG255" s="428">
        <f t="shared" si="444"/>
        <v>29</v>
      </c>
      <c r="CH255" s="428">
        <f t="shared" si="444"/>
        <v>30</v>
      </c>
      <c r="CI255" s="428">
        <f t="shared" si="444"/>
        <v>31</v>
      </c>
      <c r="CJ255" s="428">
        <f t="shared" si="444"/>
        <v>32</v>
      </c>
      <c r="CK255" s="428">
        <f t="shared" si="444"/>
        <v>33</v>
      </c>
      <c r="CL255" s="428">
        <f t="shared" si="444"/>
        <v>34</v>
      </c>
    </row>
    <row r="256" spans="1:91" ht="21.75" customHeight="1" thickBot="1">
      <c r="A256" s="413" t="s">
        <v>3</v>
      </c>
      <c r="B256" s="683" t="str">
        <f>IF(B255="","",VLOOKUP(B255,Espesor!$C$8:$E$41,3,0))</f>
        <v/>
      </c>
      <c r="C256" s="684"/>
      <c r="D256" s="685"/>
      <c r="E256" s="683" t="str">
        <f>IF(E255="","",VLOOKUP(E255,Espesor!$C$8:$E$41,3,0))</f>
        <v/>
      </c>
      <c r="F256" s="684"/>
      <c r="G256" s="685"/>
      <c r="H256" s="683" t="str">
        <f>IF(H255="","",VLOOKUP(H255,Espesor!$C$8:$E$41,3,0))</f>
        <v/>
      </c>
      <c r="I256" s="684"/>
      <c r="J256" s="685"/>
      <c r="K256" s="683" t="str">
        <f>IF(K255="","",VLOOKUP(K255,Espesor!$C$8:$E$41,3,0))</f>
        <v/>
      </c>
      <c r="L256" s="684"/>
      <c r="M256" s="685"/>
      <c r="N256" s="683" t="str">
        <f>IF(N255="","",VLOOKUP(N255,Espesor!$C$8:$E$41,3,0))</f>
        <v/>
      </c>
      <c r="O256" s="684"/>
      <c r="P256" s="685"/>
      <c r="Q256" s="683" t="str">
        <f>IF(Q255="","",VLOOKUP(Q255,Espesor!$C$8:$E$41,3,0))</f>
        <v/>
      </c>
      <c r="R256" s="684"/>
      <c r="S256" s="685"/>
      <c r="T256" s="683" t="str">
        <f>IF(T255="","",VLOOKUP(T255,Espesor!$C$8:$E$41,3,0))</f>
        <v/>
      </c>
      <c r="U256" s="684"/>
      <c r="V256" s="685"/>
      <c r="W256" s="683" t="str">
        <f>IF(W255="","",VLOOKUP(W255,Espesor!$C$8:$E$41,3,0))</f>
        <v/>
      </c>
      <c r="X256" s="684"/>
      <c r="Y256" s="685"/>
      <c r="Z256" s="683" t="str">
        <f>IF(Z255="","",VLOOKUP(Z255,Espesor!$C$8:$E$41,3,0))</f>
        <v/>
      </c>
      <c r="AA256" s="684"/>
      <c r="AB256" s="685"/>
      <c r="AD256" s="338" t="s">
        <v>4</v>
      </c>
      <c r="AE256" s="322" t="s">
        <v>3</v>
      </c>
      <c r="AF256" s="339" t="s">
        <v>138</v>
      </c>
      <c r="AG256" s="637" t="s">
        <v>139</v>
      </c>
      <c r="AH256" s="638"/>
      <c r="AI256" s="638"/>
      <c r="AJ256" s="639"/>
      <c r="AK256" s="640" t="s">
        <v>142</v>
      </c>
      <c r="AL256" s="641"/>
      <c r="AM256" s="637" t="s">
        <v>143</v>
      </c>
      <c r="AN256" s="639"/>
      <c r="AO256" s="642" t="s">
        <v>144</v>
      </c>
      <c r="AP256" s="643"/>
      <c r="AQ256" s="643"/>
      <c r="AR256" s="644"/>
      <c r="AS256" s="642" t="s">
        <v>145</v>
      </c>
      <c r="AT256" s="643"/>
      <c r="AU256" s="644"/>
      <c r="AV256" s="645" t="s">
        <v>157</v>
      </c>
      <c r="AW256" s="646"/>
      <c r="AX256" s="646"/>
      <c r="AY256" s="646"/>
      <c r="AZ256" s="646"/>
      <c r="BA256" s="647"/>
      <c r="BC256" s="422">
        <f>+A252</f>
        <v>4</v>
      </c>
      <c r="BD256" s="433" t="s">
        <v>183</v>
      </c>
      <c r="BE256" s="429">
        <f>IF(BE255=$B$255,$B$267,IF(BE255=$E$255,$E$267,IF(BE255=$H$255,$H$267,IF(BE255=$K$255,$K$267,IF(BE255=$N$255,$N$267,IF(BE255=$Q$255,$Q$267,IF(BE255=$T$255,$T$267,IF(BE255=$W$255,$W$267,IF(BE255=$Z$255,$Z$267,0)))))))))</f>
        <v>0</v>
      </c>
      <c r="BF256" s="429">
        <f t="shared" ref="BF256:CM256" si="445">IF(BF255=$B$255,$B$267,IF(BF255=$E$255,$E$267,IF(BF255=$H$255,$H$267,IF(BF255=$K$255,$K$267,IF(BF255=$N$255,$N$267,IF(BF255=$Q$255,$Q$267,IF(BF255=$T$255,$T$267,IF(BF255=$W$255,$W$267,IF(BF255=$Z$255,$Z$267,0)))))))))</f>
        <v>0</v>
      </c>
      <c r="BG256" s="429">
        <f t="shared" si="445"/>
        <v>0</v>
      </c>
      <c r="BH256" s="429">
        <f t="shared" si="445"/>
        <v>0</v>
      </c>
      <c r="BI256" s="429">
        <f t="shared" si="445"/>
        <v>0</v>
      </c>
      <c r="BJ256" s="429">
        <f t="shared" si="445"/>
        <v>0</v>
      </c>
      <c r="BK256" s="429">
        <f t="shared" si="445"/>
        <v>0</v>
      </c>
      <c r="BL256" s="429">
        <f t="shared" si="445"/>
        <v>0</v>
      </c>
      <c r="BM256" s="429">
        <f t="shared" si="445"/>
        <v>0</v>
      </c>
      <c r="BN256" s="429">
        <f t="shared" si="445"/>
        <v>0</v>
      </c>
      <c r="BO256" s="429">
        <f t="shared" si="445"/>
        <v>0</v>
      </c>
      <c r="BP256" s="429">
        <f t="shared" si="445"/>
        <v>0</v>
      </c>
      <c r="BQ256" s="429">
        <f t="shared" si="445"/>
        <v>0</v>
      </c>
      <c r="BR256" s="429">
        <f t="shared" si="445"/>
        <v>0</v>
      </c>
      <c r="BS256" s="429">
        <f t="shared" si="445"/>
        <v>0</v>
      </c>
      <c r="BT256" s="429">
        <f t="shared" si="445"/>
        <v>0</v>
      </c>
      <c r="BU256" s="429">
        <f t="shared" si="445"/>
        <v>0</v>
      </c>
      <c r="BV256" s="429">
        <f t="shared" si="445"/>
        <v>0</v>
      </c>
      <c r="BW256" s="429">
        <f t="shared" si="445"/>
        <v>0</v>
      </c>
      <c r="BX256" s="429">
        <f t="shared" si="445"/>
        <v>0</v>
      </c>
      <c r="BY256" s="429">
        <f t="shared" si="445"/>
        <v>0</v>
      </c>
      <c r="BZ256" s="429">
        <f t="shared" si="445"/>
        <v>0</v>
      </c>
      <c r="CA256" s="429">
        <f t="shared" si="445"/>
        <v>0</v>
      </c>
      <c r="CB256" s="429">
        <f t="shared" si="445"/>
        <v>0</v>
      </c>
      <c r="CC256" s="429">
        <f t="shared" si="445"/>
        <v>0</v>
      </c>
      <c r="CD256" s="429">
        <f t="shared" si="445"/>
        <v>0</v>
      </c>
      <c r="CE256" s="429">
        <f t="shared" si="445"/>
        <v>0</v>
      </c>
      <c r="CF256" s="429">
        <f t="shared" si="445"/>
        <v>0</v>
      </c>
      <c r="CG256" s="429">
        <f t="shared" si="445"/>
        <v>0</v>
      </c>
      <c r="CH256" s="429">
        <f t="shared" si="445"/>
        <v>0</v>
      </c>
      <c r="CI256" s="429">
        <f t="shared" si="445"/>
        <v>0</v>
      </c>
      <c r="CJ256" s="429">
        <f t="shared" si="445"/>
        <v>0</v>
      </c>
      <c r="CK256" s="429">
        <f t="shared" si="445"/>
        <v>0</v>
      </c>
      <c r="CL256" s="429">
        <f t="shared" si="445"/>
        <v>0</v>
      </c>
      <c r="CM256" s="429" t="str">
        <f t="shared" si="445"/>
        <v/>
      </c>
    </row>
    <row r="257" spans="1:57" ht="21.75" customHeight="1">
      <c r="A257" s="257" t="s">
        <v>65</v>
      </c>
      <c r="B257" s="679" t="str">
        <f>+IF(B255="","",IF(LOOKUP(B255,Espesor!$C$8:$C$41,Espesor!$K$8:$K$41)="en voladizo","",0.75/B256))</f>
        <v/>
      </c>
      <c r="C257" s="680"/>
      <c r="D257" s="681"/>
      <c r="E257" s="679" t="str">
        <f>IF(E255="","",IF(LOOKUP(E255,Espesor!$C$8:$C$41,Espesor!$K$8:$K$41)="en voladizo","",IF(H255="",0.75/E256,1/E256)))</f>
        <v/>
      </c>
      <c r="F257" s="680"/>
      <c r="G257" s="681"/>
      <c r="H257" s="679" t="str">
        <f>IF(H255="","",IF(LOOKUP(H255,Espesor!$C$8:$C$41,Espesor!$K$8:$K$41)="en voladizo","",IF(K255="",0.75/H256,1/H256)))</f>
        <v/>
      </c>
      <c r="I257" s="680"/>
      <c r="J257" s="681"/>
      <c r="K257" s="679" t="str">
        <f>IF(K255="","",IF(LOOKUP(K255,Espesor!$C$8:$C$41,Espesor!$K$8:$K$41)="en voladizo","",IF(N255="",0.75/K256,1/K256)))</f>
        <v/>
      </c>
      <c r="L257" s="680"/>
      <c r="M257" s="681"/>
      <c r="N257" s="679" t="str">
        <f>IF(N255="","",IF(LOOKUP(N255,Espesor!$C$8:$C$41,Espesor!$K$8:$K$41)="en voladizo","",IF(Q255="",0.75/N256,1/N256)))</f>
        <v/>
      </c>
      <c r="O257" s="680"/>
      <c r="P257" s="681"/>
      <c r="Q257" s="679" t="str">
        <f>IF(Q255="","",IF(LOOKUP(Q255,Espesor!$C$8:$C$41,Espesor!$K$8:$K$41)="en voladizo","",IF(T255="",0.75/Q256,1/Q256)))</f>
        <v/>
      </c>
      <c r="R257" s="680"/>
      <c r="S257" s="681"/>
      <c r="T257" s="679" t="str">
        <f>IF(T255="","",IF(LOOKUP(T255,Espesor!$C$8:$C$41,Espesor!$K$8:$K$41)="en voladizo","",IF(W255="",0.75/T256,1/T256)))</f>
        <v/>
      </c>
      <c r="U257" s="680"/>
      <c r="V257" s="681"/>
      <c r="W257" s="679" t="str">
        <f>IF(W255="","",IF(LOOKUP(W255,Espesor!$C$8:$C$41,Espesor!$K$8:$K$41)="en voladizo","",IF(Z255="",0.75/W256,1/W256)))</f>
        <v/>
      </c>
      <c r="X257" s="680"/>
      <c r="Y257" s="681"/>
      <c r="Z257" s="679" t="str">
        <f>IF(Z255="","",IF(LOOKUP(Z255,Espesor!$C$8:$C$41,Espesor!$K$8:$K$41)="en voladizo","",IF(AC255="",0.75/Z256,1/Z256)))</f>
        <v/>
      </c>
      <c r="AA257" s="680"/>
      <c r="AB257" s="681"/>
      <c r="AD257" s="320" t="str">
        <f>+IF(AE255="","",AE255)</f>
        <v/>
      </c>
      <c r="AE257" s="323" t="e">
        <f>IF(B231="","",IF($K$2="X - X",VLOOKUP(B231,Espesor!$C$8:$E$41,2,0),VLOOKUP(B231,Espesor!$C$8:$E$41,3,0)))</f>
        <v>#N/A</v>
      </c>
      <c r="AF257" s="318" t="str">
        <f>+IF(AD257="","",IF(LOOKUP(AD257,Espesor!$C$8:$C$41,Espesor!$K$8:$K$41)="en voladizo","",0.75/AE257))</f>
        <v/>
      </c>
      <c r="AG257" s="648" t="str">
        <f>IF(AF257="","",IF(AF258="","",ROUND(AF257/(AF257+AF258),3)))</f>
        <v/>
      </c>
      <c r="AH257" s="343"/>
      <c r="AI257" s="648" t="str">
        <f>IF(AF258="","",IF(AF257="","",ROUND(AF258/(AF258+AF257),3)))</f>
        <v/>
      </c>
      <c r="AJ257" s="343"/>
      <c r="AK257" s="342">
        <v>0</v>
      </c>
      <c r="AL257" s="316" t="e">
        <f>-IF(B230="","",IF($K$2="X - X",VLOOKUP(B230,'Moms de Empt'!$P$3:$T$36,3,0),VLOOKUP(B230,'Moms de Empt'!$P$3:$T$36,5,0)))</f>
        <v>#VALUE!</v>
      </c>
      <c r="AM257" s="649">
        <f>IF(AD258="",0,IF(LOOKUP(AD258,Espesor!$C$8:$C$41,Espesor!$K$8:$K$41)="en voladizo",MAX(ABS(AL257),ABS(AK258)),-(AK258+AL257)))</f>
        <v>0</v>
      </c>
      <c r="AN257" s="345"/>
      <c r="AO257" s="650" t="str">
        <f>IF(AG257="","",AM257*AG257)</f>
        <v/>
      </c>
      <c r="AP257" s="342"/>
      <c r="AQ257" s="650" t="str">
        <f>IF(AI257="","",AM257*AI257)</f>
        <v/>
      </c>
      <c r="AR257" s="342"/>
      <c r="AS257" s="651" t="e">
        <f>-IF(AM257="","",IF(AL257="",IF(AO257="",0,AO257),IF(AO257="",AL257,AL257+AO257)))</f>
        <v>#VALUE!</v>
      </c>
      <c r="AT257" s="341"/>
      <c r="AU257" s="341" t="e">
        <f>+AS257</f>
        <v>#VALUE!</v>
      </c>
      <c r="AV257" s="329" t="str">
        <f>IF(B230="","",IF(L230="X - X",VLOOKUP(B255,'Moms de Empt'!$P$3:$T$36,2,0),VLOOKUP(B255,'Moms de Empt'!$P$3:$T$36,4,0)))</f>
        <v/>
      </c>
      <c r="AW257" s="653" t="str">
        <f>IF(B257="","",IF(D259="","",IF(ABS(D263)&gt;ABS(D259),-0.5*ABS(D261),0.5*ABS(D261))))</f>
        <v/>
      </c>
      <c r="AX257" s="330"/>
      <c r="AY257" s="653" t="str">
        <f>IF(AV258="","",IF(AV257="","",ROUND(AV258/(AV258+AV257),3)))</f>
        <v/>
      </c>
      <c r="AZ257" s="330"/>
      <c r="BA257" s="331" t="str">
        <f t="shared" ref="BA257:BA264" si="446">+AV257</f>
        <v/>
      </c>
      <c r="BC257" s="422"/>
      <c r="BD257" s="398"/>
      <c r="BE257" s="429"/>
    </row>
    <row r="258" spans="1:57" ht="21.75" customHeight="1">
      <c r="A258" s="247" t="s">
        <v>123</v>
      </c>
      <c r="B258" s="29"/>
      <c r="C258" s="30"/>
      <c r="D258" s="31">
        <f>IF(B257="",0,IF(E257="",0,ROUND(B257/(B257+E257),3)))</f>
        <v>0</v>
      </c>
      <c r="E258" s="29">
        <f>IF(E257="",0,IF(B257="",0,ROUND(E257/(E257+B257),3)))</f>
        <v>0</v>
      </c>
      <c r="F258" s="30"/>
      <c r="G258" s="31">
        <f>IF(E257="",0,IF(H257="",0,ROUND(E257/(E257+H257),3)))</f>
        <v>0</v>
      </c>
      <c r="H258" s="29">
        <f>IF(H257="",0,IF(E257="",0,ROUND(H257/(H257+E257),3)))</f>
        <v>0</v>
      </c>
      <c r="I258" s="30"/>
      <c r="J258" s="31">
        <f>IF(H257="",0,IF(K257="",0,ROUND(H257/(H257+K257),3)))</f>
        <v>0</v>
      </c>
      <c r="K258" s="29">
        <f>IF(K257="",0,IF(H257="",0,ROUND(K257/(K257+H257),3)))</f>
        <v>0</v>
      </c>
      <c r="L258" s="30"/>
      <c r="M258" s="31">
        <f>IF(K257="",0,IF(N257="",0,ROUND(K257/(K257+N257),3)))</f>
        <v>0</v>
      </c>
      <c r="N258" s="29">
        <f>IF(N257="",0,IF(K257="",0,ROUND(N257/(N257+K257),3)))</f>
        <v>0</v>
      </c>
      <c r="O258" s="30"/>
      <c r="P258" s="31">
        <f>IF(N257="",0,IF(Q257="",0,ROUND(N257/(N257+Q257),3)))</f>
        <v>0</v>
      </c>
      <c r="Q258" s="29">
        <f>IF(Q257="",0,IF(N257="",0,ROUND(Q257/(Q257+N257),3)))</f>
        <v>0</v>
      </c>
      <c r="R258" s="30"/>
      <c r="S258" s="31">
        <f>IF(Q257="",0,IF(T257="",0,ROUND(Q257/(Q257+T257),3)))</f>
        <v>0</v>
      </c>
      <c r="T258" s="29">
        <f>IF(T257="",0,IF(Q257="",0,ROUND(T257/(T257+Q257),3)))</f>
        <v>0</v>
      </c>
      <c r="U258" s="30"/>
      <c r="V258" s="31">
        <f>IF(T257="",0,IF(W257="",0,ROUND(T257/(T257+W257),3)))</f>
        <v>0</v>
      </c>
      <c r="W258" s="29">
        <f>IF(W257="",0,IF(T257="",0,ROUND(W257/(W257+T257),3)))</f>
        <v>0</v>
      </c>
      <c r="X258" s="30"/>
      <c r="Y258" s="31">
        <f>IF(W257="",0,IF(Z257="",0,ROUND(W257/(W257+Z257),3)))</f>
        <v>0</v>
      </c>
      <c r="Z258" s="29">
        <f>IF(Z257="",0,IF(W257="",0,ROUND(Z257/(Z257+W257),3)))</f>
        <v>0</v>
      </c>
      <c r="AA258" s="30"/>
      <c r="AB258" s="31">
        <f>IF(Z257="",0,IF(AC257="",0,ROUND(Z257/(Z257+AC257),3)))</f>
        <v>0</v>
      </c>
      <c r="AD258" s="321" t="str">
        <f>+IF(AF255="","",AF255)</f>
        <v/>
      </c>
      <c r="AE258" s="324" t="str">
        <f>IF(C230="","",IF($K$2="X - X",VLOOKUP(C230,Espesor!$C$8:$E$41,2,0),VLOOKUP(C230,Espesor!$C$8:$E$41,3,0)))</f>
        <v/>
      </c>
      <c r="AF258" s="319" t="str">
        <f>IF(AD258="","",IF(LOOKUP(AD258,Espesor!$C$8:$C$41,Espesor!$K$8:$K$41)="en voladizo","",IF(AD259="",0.75/AE258,1/AE258)))</f>
        <v/>
      </c>
      <c r="AG258" s="634"/>
      <c r="AH258" s="634" t="str">
        <f>IF(AF258="","",IF(AF259="","",ROUND(AF258/(AF258+AF259),3)))</f>
        <v/>
      </c>
      <c r="AI258" s="634"/>
      <c r="AJ258" s="634" t="str">
        <f>IF(AF258="","",IF(AF259="","",ROUND(AF259/(AF258+AF259),3)))</f>
        <v/>
      </c>
      <c r="AK258" s="317">
        <f>IF(C230="",0,IF($K$2="X - X",VLOOKUP(C230,'Moms de Empt'!$P$3:$T$36,3,0),VLOOKUP(C230,'Moms de Empt'!$P$3:$T$36,5,0)))</f>
        <v>0</v>
      </c>
      <c r="AL258" s="317">
        <f>+IF(AD259="",0,-AK258)</f>
        <v>0</v>
      </c>
      <c r="AM258" s="629"/>
      <c r="AN258" s="629" t="e">
        <f>IF(AD259="",0,IF(LOOKUP(AD259,Espesor!$C$8:$C$41,Espesor!$K$8:$K$41)="en voladizo",MAX(ABS(AL258),ABS(AK259)),-(AK259+AL258)))</f>
        <v>#N/A</v>
      </c>
      <c r="AO258" s="630"/>
      <c r="AP258" s="630" t="str">
        <f>IF(AH258="","",AN258*AH258)</f>
        <v/>
      </c>
      <c r="AQ258" s="630"/>
      <c r="AR258" s="630" t="str">
        <f>IF(AJ258="","",AN258*AJ258)</f>
        <v/>
      </c>
      <c r="AS258" s="652"/>
      <c r="AT258" s="631" t="e">
        <f>-IF(AN258="","",IF(AL258="",IF(AP258="",0,AP258),IF(AP258="",AL258,AL258+AP258)))</f>
        <v>#N/A</v>
      </c>
      <c r="AU258" s="341" t="e">
        <f>+AT258</f>
        <v>#N/A</v>
      </c>
      <c r="AV258" s="332" t="str">
        <f>IF(E255="","",IF(L230="X - X",VLOOKUP(E255,'Moms de Empt'!$P$3:$T$36,2,0),VLOOKUP(E255,'Moms de Empt'!$P$3:$T$36,4,0)))</f>
        <v/>
      </c>
      <c r="AW258" s="635"/>
      <c r="AX258" s="633" t="str">
        <f>IF(AV258="","",IF(AV259="","",ROUND(AV258/(AV258+AV259),3)))</f>
        <v/>
      </c>
      <c r="AY258" s="635"/>
      <c r="AZ258" s="633" t="str">
        <f>IF(AV258="","",IF(AV259="","",ROUND(AV259/(AV258+AV259),3)))</f>
        <v/>
      </c>
      <c r="BA258" s="331" t="str">
        <f t="shared" si="446"/>
        <v/>
      </c>
      <c r="BC258" s="422"/>
      <c r="BD258" s="398"/>
      <c r="BE258" s="429"/>
    </row>
    <row r="259" spans="1:57" ht="21.75" customHeight="1">
      <c r="A259" s="248" t="s">
        <v>124</v>
      </c>
      <c r="B259" s="249"/>
      <c r="C259" s="34"/>
      <c r="D259" s="33" t="str">
        <f>IF(B255="","",-VLOOKUP(B255,'Moms de Empt'!$P$3:$T$36,5,0))</f>
        <v/>
      </c>
      <c r="E259" s="33" t="str">
        <f>IF(E255="","",VLOOKUP(E255,'Moms de Empt'!$P$3:$T$36,5,0))</f>
        <v/>
      </c>
      <c r="F259" s="34"/>
      <c r="G259" s="33" t="str">
        <f>IF(E255="","",-VLOOKUP(E255,'Moms de Empt'!$P$3:$T$36,5,0))</f>
        <v/>
      </c>
      <c r="H259" s="33" t="str">
        <f>IF(H255="","",VLOOKUP(H255,'Moms de Empt'!$P$3:$T$36,5,0))</f>
        <v/>
      </c>
      <c r="I259" s="34"/>
      <c r="J259" s="33" t="str">
        <f>IF(H255="","",-VLOOKUP(H255,'Moms de Empt'!$P$3:$T$36,5,0))</f>
        <v/>
      </c>
      <c r="K259" s="33" t="str">
        <f>IF(K255="","",VLOOKUP(K255,'Moms de Empt'!$P$3:$T$36,5,0))</f>
        <v/>
      </c>
      <c r="L259" s="34"/>
      <c r="M259" s="33" t="str">
        <f>IF(K255="","",-VLOOKUP(K255,'Moms de Empt'!$P$3:$T$36,5,0))</f>
        <v/>
      </c>
      <c r="N259" s="33" t="str">
        <f>IF(N255="","",VLOOKUP(N255,'Moms de Empt'!$P$3:$T$36,5,0))</f>
        <v/>
      </c>
      <c r="O259" s="34"/>
      <c r="P259" s="33" t="str">
        <f>IF(N255="","",-VLOOKUP(N255,'Moms de Empt'!$P$3:$T$36,5,0))</f>
        <v/>
      </c>
      <c r="Q259" s="33" t="str">
        <f>IF(Q255="","",VLOOKUP(Q255,'Moms de Empt'!$P$3:$T$36,5,0))</f>
        <v/>
      </c>
      <c r="R259" s="34"/>
      <c r="S259" s="33" t="str">
        <f>IF(Q255="","",-VLOOKUP(Q255,'Moms de Empt'!$P$3:$T$36,5,0))</f>
        <v/>
      </c>
      <c r="T259" s="33" t="str">
        <f>IF(T255="","",VLOOKUP(T255,'Moms de Empt'!$P$3:$T$36,5,0))</f>
        <v/>
      </c>
      <c r="U259" s="34"/>
      <c r="V259" s="33" t="str">
        <f>IF(T255="","",-VLOOKUP(T255,'Moms de Empt'!$P$3:$T$36,5,0))</f>
        <v/>
      </c>
      <c r="W259" s="33" t="str">
        <f>IF(W255="","",VLOOKUP(W255,'Moms de Empt'!$P$3:$T$36,5,0))</f>
        <v/>
      </c>
      <c r="X259" s="34"/>
      <c r="Y259" s="33" t="str">
        <f>IF(W255="","",-VLOOKUP(W255,'Moms de Empt'!$P$3:$T$36,5,0))</f>
        <v/>
      </c>
      <c r="Z259" s="33" t="str">
        <f>IF(Z255="","",VLOOKUP(Z255,'Moms de Empt'!$P$3:$T$36,5,0))</f>
        <v/>
      </c>
      <c r="AA259" s="34"/>
      <c r="AB259" s="33"/>
      <c r="AD259" s="321">
        <f>+IF(AG255="","",AG255)</f>
        <v>100622.93</v>
      </c>
      <c r="AE259" s="324" t="str">
        <f>IF(C231="","",IF($K$2="X - X",VLOOKUP(C231,Espesor!$C$8:$E$41,2,0),VLOOKUP(C231,Espesor!$C$8:$E$41,3,0)))</f>
        <v/>
      </c>
      <c r="AF259" s="319" t="e">
        <f>IF(AD259="","",IF(LOOKUP(AD259,Espesor!$C$8:$C$41,Espesor!$K$8:$K$41)="en voladizo","",IF(AD260="",0.75/AE259,1/AE259)))</f>
        <v>#VALUE!</v>
      </c>
      <c r="AG259" s="634" t="e">
        <f>IF(AF259="","",IF(AF260="","",ROUND(AF259/(AF259+AF260),3)))</f>
        <v>#VALUE!</v>
      </c>
      <c r="AH259" s="634"/>
      <c r="AI259" s="634" t="str">
        <f>IF(AF260="","",IF(AF259="","",ROUND(AF260/(AF260+AF259),3)))</f>
        <v/>
      </c>
      <c r="AJ259" s="634"/>
      <c r="AK259" s="317" t="e">
        <f>IF(D230="",0,IF($K$2="X - X",VLOOKUP(D230,'Moms de Empt'!$P$3:$T$36,3,0),VLOOKUP(D230,'Moms de Empt'!$P$3:$T$36,5,0)))</f>
        <v>#N/A</v>
      </c>
      <c r="AL259" s="317">
        <f>+IF(AD260="",0,-AK259)</f>
        <v>0</v>
      </c>
      <c r="AM259" s="629">
        <f>IF(AD260="",0,IF(LOOKUP(AD260,Espesor!$C$8:$C$41,Espesor!$K$8:$K$41)="en voladizo",MAX(ABS(AL259),ABS(AK260)),-(AK260+AL259)))</f>
        <v>0</v>
      </c>
      <c r="AN259" s="629"/>
      <c r="AO259" s="630" t="e">
        <f>IF(AG259="","",AM259*AG259)</f>
        <v>#VALUE!</v>
      </c>
      <c r="AP259" s="630"/>
      <c r="AQ259" s="630" t="str">
        <f>IF(AI259="","",AM259*AI259)</f>
        <v/>
      </c>
      <c r="AR259" s="630"/>
      <c r="AS259" s="631" t="e">
        <f>-IF(AM259="","",IF(AL259="",IF(AO259="",0,AO259),IF(AO259="",AL259,AL259+AO259)))</f>
        <v>#VALUE!</v>
      </c>
      <c r="AT259" s="632"/>
      <c r="AU259" s="341" t="e">
        <f>+AS259</f>
        <v>#VALUE!</v>
      </c>
      <c r="AV259" s="332" t="str">
        <f>IF(H255="","",IF(L230="X - X",VLOOKUP(H255,'Moms de Empt'!$P$3:$T$36,2,0),VLOOKUP(H255,'Moms de Empt'!$P$3:$T$36,4,0)))</f>
        <v/>
      </c>
      <c r="AW259" s="635" t="str">
        <f>IF(AV259="","",IF(AV260="","",ROUND(AV259/(AV259+AV260),3)))</f>
        <v/>
      </c>
      <c r="AX259" s="633"/>
      <c r="AY259" s="635" t="str">
        <f>IF(AV260="","",IF(AV259="","",ROUND(AV260/(AV260+AV259),3)))</f>
        <v/>
      </c>
      <c r="AZ259" s="633"/>
      <c r="BA259" s="331" t="str">
        <f t="shared" si="446"/>
        <v/>
      </c>
      <c r="BC259" s="422"/>
      <c r="BD259" s="398"/>
      <c r="BE259" s="429"/>
    </row>
    <row r="260" spans="1:57" ht="21.75" customHeight="1">
      <c r="A260" s="250" t="s">
        <v>125</v>
      </c>
      <c r="B260" s="272"/>
      <c r="C260" s="406"/>
      <c r="D260" s="678">
        <f>+IF(E255="",0,IF(LOOKUP(E255,Espesor!$C$8:$C$41,Espesor!$K$8:$K$41)="en voladizo",IF(LOOKUP(B255,Espesor!$C$8:$C$41,Espesor!$K$8:$K$41)="en voladizo","Inestable",MAX(ABS(D259),ABS(E259))),IF(LOOKUP(B255,Espesor!$C$8:$C$41,Espesor!$K$8:$K$41)="en voladizo",MAX(ABS(D259),ABS(E259)),-(E259+D259))))</f>
        <v>0</v>
      </c>
      <c r="E260" s="678"/>
      <c r="F260" s="406"/>
      <c r="G260" s="678">
        <f>+IF(H255="",0,IF(LOOKUP(H255,Espesor!$C$8:$C$41,Espesor!$K$8:$K$41)="en voladizo",IF(LOOKUP(E255,Espesor!$C$8:$C$41,Espesor!$K$8:$K$41)="en voladizo","Inestable",MAX(ABS(G259),ABS(H259))),IF(LOOKUP(E255,Espesor!$C$8:$C$41,Espesor!$K$8:$K$41)="en voladizo",MAX(ABS(G259),ABS(H259)),-(H259+G259))))</f>
        <v>0</v>
      </c>
      <c r="H260" s="678"/>
      <c r="I260" s="406"/>
      <c r="J260" s="678">
        <f>+IF(K255="",0,IF(LOOKUP(K255,Espesor!$C$8:$C$41,Espesor!$K$8:$K$41)="en voladizo",IF(LOOKUP(H255,Espesor!$C$8:$C$41,Espesor!$K$8:$K$41)="en voladizo","Inestable",MAX(ABS(J259),ABS(K259))),IF(LOOKUP(H255,Espesor!$C$8:$C$41,Espesor!$K$8:$K$41)="en voladizo",MAX(ABS(J259),ABS(K259)),-(K259+J259))))</f>
        <v>0</v>
      </c>
      <c r="K260" s="678"/>
      <c r="L260" s="406"/>
      <c r="M260" s="678">
        <f>+IF(N255="",0,IF(LOOKUP(N255,Espesor!$C$8:$C$41,Espesor!$K$8:$K$41)="en voladizo",IF(LOOKUP(K255,Espesor!$C$8:$C$41,Espesor!$K$8:$K$41)="en voladizo","Inestable",MAX(ABS(M259),ABS(N259))),IF(LOOKUP(K255,Espesor!$C$8:$C$41,Espesor!$K$8:$K$41)="en voladizo",MAX(ABS(M259),ABS(N259)),-(N259+M259))))</f>
        <v>0</v>
      </c>
      <c r="N260" s="678"/>
      <c r="O260" s="406"/>
      <c r="P260" s="678">
        <f>+IF(Q255="",0,IF(LOOKUP(Q255,Espesor!$C$8:$C$41,Espesor!$K$8:$K$41)="en voladizo",IF(LOOKUP(N255,Espesor!$C$8:$C$41,Espesor!$K$8:$K$41)="en voladizo","Inestable",MAX(ABS(P259),ABS(Q259))),IF(LOOKUP(N255,Espesor!$C$8:$C$41,Espesor!$K$8:$K$41)="en voladizo",MAX(ABS(P259),ABS(Q259)),-(Q259+P259))))</f>
        <v>0</v>
      </c>
      <c r="Q260" s="678"/>
      <c r="R260" s="406"/>
      <c r="S260" s="678">
        <f>+IF(T255="",0,IF(LOOKUP(T255,Espesor!$C$8:$C$41,Espesor!$K$8:$K$41)="en voladizo",IF(LOOKUP(Q255,Espesor!$C$8:$C$41,Espesor!$K$8:$K$41)="en voladizo","Inestable",MAX(ABS(S259),ABS(T259))),IF(LOOKUP(Q255,Espesor!$C$8:$C$41,Espesor!$K$8:$K$41)="en voladizo",MAX(ABS(S259),ABS(T259)),-(T259+S259))))</f>
        <v>0</v>
      </c>
      <c r="T260" s="678"/>
      <c r="U260" s="406"/>
      <c r="V260" s="678">
        <f>+IF(W255="",0,IF(LOOKUP(W255,Espesor!$C$8:$C$41,Espesor!$K$8:$K$41)="en voladizo",IF(LOOKUP(T255,Espesor!$C$8:$C$41,Espesor!$K$8:$K$41)="en voladizo","Inestable",MAX(ABS(V259),ABS(W259))),IF(LOOKUP(T255,Espesor!$C$8:$C$41,Espesor!$K$8:$K$41)="en voladizo",MAX(ABS(V259),ABS(W259)),-(W259+V259))))</f>
        <v>0</v>
      </c>
      <c r="W260" s="678"/>
      <c r="X260" s="406"/>
      <c r="Y260" s="678">
        <f>+IF(Z255="",0,IF(LOOKUP(Z255,Espesor!$C$8:$C$41,Espesor!$K$8:$K$41)="en voladizo",IF(LOOKUP(W255,Espesor!$C$8:$C$41,Espesor!$K$8:$K$41)="en voladizo","Inestable",MAX(ABS(Y259),ABS(Z259))),IF(LOOKUP(W255,Espesor!$C$8:$C$41,Espesor!$K$8:$K$41)="en voladizo",MAX(ABS(Y259),ABS(Z259)),-(Z259+Y259))))</f>
        <v>0</v>
      </c>
      <c r="Z260" s="678"/>
      <c r="AA260" s="406"/>
      <c r="AB260" s="252"/>
      <c r="AD260" s="321" t="str">
        <f>+IF(AH255="","",AH255)</f>
        <v/>
      </c>
      <c r="AE260" s="324" t="str">
        <f>IF(K255="","",IF($K$2="X - X",VLOOKUP(K255,Espesor!$C$8:$E$41,2,0),VLOOKUP(K255,Espesor!$C$8:$E$41,3,0)))</f>
        <v/>
      </c>
      <c r="AF260" s="319" t="str">
        <f>IF(AD260="","",IF(LOOKUP(AD260,Espesor!$C$8:$C$41,Espesor!$K$8:$K$41)="en voladizo","",IF(AD261="",0.75/AE260,1/AE260)))</f>
        <v/>
      </c>
      <c r="AG260" s="634"/>
      <c r="AH260" s="634" t="str">
        <f>IF(AF260="","",IF(AF261="","",ROUND(AF260/(AF260+AF261),3)))</f>
        <v/>
      </c>
      <c r="AI260" s="634"/>
      <c r="AJ260" s="634" t="str">
        <f>IF(AF260="","",IF(AF261="","",ROUND(AF261/(AF260+AF261),3)))</f>
        <v/>
      </c>
      <c r="AK260" s="317">
        <f>IF(E230="",0,IF($K$2="X - X",VLOOKUP(E230,'Moms de Empt'!$P$3:$T$36,3,0),VLOOKUP(E230,'Moms de Empt'!$P$3:$T$36,5,0)))</f>
        <v>0</v>
      </c>
      <c r="AL260" s="317">
        <f t="shared" ref="AL260:AL262" si="447">+IF(AD261="",0,-AK260)</f>
        <v>0</v>
      </c>
      <c r="AM260" s="629"/>
      <c r="AN260" s="629">
        <f>IF(AD261="",0,IF(LOOKUP(AD261,Espesor!$C$8:$C$41,Espesor!$K$8:$K$41)="en voladizo",MAX(ABS(AL260),ABS(AK261)),-(AK261+AL260)))</f>
        <v>0</v>
      </c>
      <c r="AO260" s="630"/>
      <c r="AP260" s="630" t="str">
        <f t="shared" ref="AP260" si="448">IF(AH260="","",AN260*AH260)</f>
        <v/>
      </c>
      <c r="AQ260" s="630"/>
      <c r="AR260" s="630" t="str">
        <f t="shared" ref="AR260" si="449">IF(AJ260="","",AN260*AJ260)</f>
        <v/>
      </c>
      <c r="AS260" s="632"/>
      <c r="AT260" s="631">
        <f t="shared" ref="AT260" si="450">-IF(AN260="","",IF(AL260="",IF(AP260="",0,AP260),IF(AP260="",AL260,AL260+AP260)))</f>
        <v>0</v>
      </c>
      <c r="AU260" s="341">
        <f>+AT260</f>
        <v>0</v>
      </c>
      <c r="AV260" s="332" t="str">
        <f>IF(K255="","",IF(L230="X - X",VLOOKUP(K255,'Moms de Empt'!$P$3:$T$36,2,0),VLOOKUP(K255,'Moms de Empt'!$P$3:$T$36,4,0)))</f>
        <v/>
      </c>
      <c r="AW260" s="635"/>
      <c r="AX260" s="633" t="str">
        <f>IF(AV260="","",IF(AV261="","",ROUND(AV260/(AV260+AV261),3)))</f>
        <v/>
      </c>
      <c r="AY260" s="635"/>
      <c r="AZ260" s="633" t="str">
        <f>IF(AV260="","",IF(AV261="","",ROUND(AV261/(AV260+AV261),3)))</f>
        <v/>
      </c>
      <c r="BA260" s="331" t="str">
        <f t="shared" si="446"/>
        <v/>
      </c>
      <c r="BC260" s="401"/>
      <c r="BD260" s="398"/>
      <c r="BE260" s="391"/>
    </row>
    <row r="261" spans="1:57" ht="21.75" customHeight="1">
      <c r="A261" s="253" t="s">
        <v>126</v>
      </c>
      <c r="B261" s="29"/>
      <c r="C261" s="30"/>
      <c r="D261" s="254">
        <f>IF(D258="","",D260*D258)</f>
        <v>0</v>
      </c>
      <c r="E261" s="30">
        <f>IF(E258="","",D260*E258)</f>
        <v>0</v>
      </c>
      <c r="F261" s="30"/>
      <c r="G261" s="277">
        <f>IF(G258="","",G260*G258)</f>
        <v>0</v>
      </c>
      <c r="H261" s="278">
        <f>IF(H258="","",G260*H258)</f>
        <v>0</v>
      </c>
      <c r="I261" s="30"/>
      <c r="J261" s="254">
        <f>IF(J258="","",J260*J258)</f>
        <v>0</v>
      </c>
      <c r="K261" s="30">
        <f>IF(K258="","",J260*K258)</f>
        <v>0</v>
      </c>
      <c r="L261" s="30"/>
      <c r="M261" s="254">
        <f>IF(M258="","",M260*M258)</f>
        <v>0</v>
      </c>
      <c r="N261" s="30">
        <f>IF(N258="","",M260*N258)</f>
        <v>0</v>
      </c>
      <c r="O261" s="30"/>
      <c r="P261" s="254">
        <f>IF(P258="","",P260*P258)</f>
        <v>0</v>
      </c>
      <c r="Q261" s="30">
        <f>IF(Q258="","",P260*Q258)</f>
        <v>0</v>
      </c>
      <c r="R261" s="30"/>
      <c r="S261" s="254">
        <f>IF(S258="","",S260*S258)</f>
        <v>0</v>
      </c>
      <c r="T261" s="30">
        <f>IF(T258="","",S260*T258)</f>
        <v>0</v>
      </c>
      <c r="U261" s="30"/>
      <c r="V261" s="254">
        <f>IF(V258="","",V260*V258)</f>
        <v>0</v>
      </c>
      <c r="W261" s="30">
        <f>IF(W258="","",V260*W258)</f>
        <v>0</v>
      </c>
      <c r="X261" s="30"/>
      <c r="Y261" s="254">
        <f>IF(Y258="","",Y260*Y258)</f>
        <v>0</v>
      </c>
      <c r="Z261" s="30">
        <f>IF(Z258="","",Y260*Z258)</f>
        <v>0</v>
      </c>
      <c r="AA261" s="30"/>
      <c r="AB261" s="31"/>
      <c r="AD261" s="321" t="str">
        <f>+IF(AI255="","",AI255)</f>
        <v/>
      </c>
      <c r="AE261" s="324" t="str">
        <f>IF(N255="","",IF($K$2="X - X",VLOOKUP(N255,Espesor!$C$8:$E$41,2,0),VLOOKUP(N255,Espesor!$C$8:$E$41,3,0)))</f>
        <v/>
      </c>
      <c r="AF261" s="319" t="str">
        <f>IF(AD261="","",IF(LOOKUP(AD261,Espesor!$C$8:$C$41,Espesor!$K$8:$K$41)="en voladizo","",IF(AD262="",0.75/AE261,1/AE261)))</f>
        <v/>
      </c>
      <c r="AG261" s="634" t="str">
        <f>IF(AF261="","",IF(AF262="","",ROUND(AF261/(AF261+AF262),3)))</f>
        <v/>
      </c>
      <c r="AH261" s="634"/>
      <c r="AI261" s="634" t="e">
        <f>IF(AF262="","",IF(AF261="","",ROUND(AF262/(AF262+AF261),3)))</f>
        <v>#VALUE!</v>
      </c>
      <c r="AJ261" s="634"/>
      <c r="AK261" s="317">
        <f>IF(F230="",0,IF($K$2="X - X",VLOOKUP(F230,'Moms de Empt'!$P$3:$T$36,3,0),VLOOKUP(F230,'Moms de Empt'!$P$3:$T$36,5,0)))</f>
        <v>0</v>
      </c>
      <c r="AL261" s="317">
        <f t="shared" si="447"/>
        <v>0</v>
      </c>
      <c r="AM261" s="629" t="e">
        <f>IF(AD262="",0,IF(LOOKUP(AD262,Espesor!$C$8:$C$41,Espesor!$K$8:$K$41)="en voladizo",MAX(ABS(AL261),ABS(AK262)),-(AK262+AL261)))</f>
        <v>#N/A</v>
      </c>
      <c r="AN261" s="629"/>
      <c r="AO261" s="630" t="str">
        <f t="shared" ref="AO261" si="451">IF(AG261="","",AM261*AG261)</f>
        <v/>
      </c>
      <c r="AP261" s="630"/>
      <c r="AQ261" s="630" t="e">
        <f t="shared" ref="AQ261" si="452">IF(AI261="","",AM261*AI261)</f>
        <v>#VALUE!</v>
      </c>
      <c r="AR261" s="630"/>
      <c r="AS261" s="631" t="e">
        <f>-IF(AM261="","",IF(AL261="",IF(AO261="",0,AO261),IF(AO261="",AL261,AL261+AO261)))</f>
        <v>#N/A</v>
      </c>
      <c r="AT261" s="632"/>
      <c r="AU261" s="341" t="e">
        <f>+AS261</f>
        <v>#N/A</v>
      </c>
      <c r="AV261" s="332" t="str">
        <f>IF(N255="","",IF(L230="X - X",VLOOKUP(N255,'Moms de Empt'!$P$3:$T$36,2,0),VLOOKUP(N255,'Moms de Empt'!$P$3:$T$36,4,0)))</f>
        <v/>
      </c>
      <c r="AW261" s="635" t="str">
        <f>IF(AV261="","",IF(AV262="","",ROUND(AV261/(AV261+AV262),3)))</f>
        <v/>
      </c>
      <c r="AX261" s="633"/>
      <c r="AY261" s="635" t="str">
        <f>IF(AV262="","",IF(AV261="","",ROUND(AV262/(AV262+AV261),3)))</f>
        <v/>
      </c>
      <c r="AZ261" s="633"/>
      <c r="BA261" s="331" t="str">
        <f t="shared" si="446"/>
        <v/>
      </c>
      <c r="BC261" s="401"/>
      <c r="BD261" s="398"/>
      <c r="BE261" s="391"/>
    </row>
    <row r="262" spans="1:57" ht="21.75" customHeight="1" thickBot="1">
      <c r="A262" s="32"/>
      <c r="B262" s="29"/>
      <c r="C262" s="30"/>
      <c r="D262" s="255">
        <f>IF(D260="",0,IF(D259="",IF(D261="",0,D261),IF(D261="",D259,D259+D261)))</f>
        <v>0</v>
      </c>
      <c r="E262" s="256">
        <f>IF(D260="",0,IF(E259="",IF(E261="",0,E261),IF(E261="",E259,E259+E261)))</f>
        <v>0</v>
      </c>
      <c r="F262" s="30"/>
      <c r="G262" s="276">
        <f>IF(G260="",0,IF(G259="",IF(G261="",0,G261),IF(G261="",G259,G259+G261)))</f>
        <v>0</v>
      </c>
      <c r="H262" s="256">
        <f>IF(G260="",0,IF(H259="",IF(H261="",0,H261),IF(H261="",H259,H259+H261)))</f>
        <v>0</v>
      </c>
      <c r="I262" s="30"/>
      <c r="J262" s="276">
        <f>IF(J260="",0,IF(J259="",IF(J261="",0,J261),IF(J261="",J259,J259+J261)))</f>
        <v>0</v>
      </c>
      <c r="K262" s="256">
        <f>IF(J260="",0,IF(K259="",IF(K261="",0,K261),IF(K261="",K259,K259+K261)))</f>
        <v>0</v>
      </c>
      <c r="L262" s="30"/>
      <c r="M262" s="276">
        <f>IF(M260="",0,IF(M259="",IF(M261="",0,M261),IF(M261="",M259,M259+M261)))</f>
        <v>0</v>
      </c>
      <c r="N262" s="256">
        <f>IF(M260="",0,IF(N259="",IF(N261="",0,N261),IF(N261="",N259,N259+N261)))</f>
        <v>0</v>
      </c>
      <c r="O262" s="30"/>
      <c r="P262" s="276">
        <f>IF(P260="",0,IF(P259="",IF(P261="",0,P261),IF(P261="",P259,P259+P261)))</f>
        <v>0</v>
      </c>
      <c r="Q262" s="256">
        <f>IF(P260="",0,IF(Q259="",IF(Q261="",0,Q261),IF(Q261="",Q259,Q259+Q261)))</f>
        <v>0</v>
      </c>
      <c r="R262" s="30"/>
      <c r="S262" s="276">
        <f>IF(S260="",0,IF(S259="",IF(S261="",0,S261),IF(S261="",S259,S259+S261)))</f>
        <v>0</v>
      </c>
      <c r="T262" s="256">
        <f>IF(S260="",0,IF(T259="",IF(T261="",0,T261),IF(T261="",T259,T259+T261)))</f>
        <v>0</v>
      </c>
      <c r="U262" s="30"/>
      <c r="V262" s="276">
        <f>IF(V260="",0,IF(V259="",IF(V261="",0,V261),IF(V261="",V259,V259+V261)))</f>
        <v>0</v>
      </c>
      <c r="W262" s="256">
        <f>IF(V260="",0,IF(W259="",IF(W261="",0,W261),IF(W261="",W259,W259+W261)))</f>
        <v>0</v>
      </c>
      <c r="X262" s="30"/>
      <c r="Y262" s="276">
        <f>IF(Y260="",0,IF(Y259="",IF(Y261="",0,Y261),IF(Y261="",Y259,Y259+Y261)))</f>
        <v>0</v>
      </c>
      <c r="Z262" s="256">
        <f>IF(Y260="",0,IF(Z259="",IF(Z261="",0,Z261),IF(Z261="",Z259,Z259+Z261)))</f>
        <v>0</v>
      </c>
      <c r="AA262" s="30"/>
      <c r="AB262" s="31"/>
      <c r="AD262" s="321">
        <f>+IF(AJ255="","",AJ255)</f>
        <v>65944.069999999992</v>
      </c>
      <c r="AE262" s="324" t="str">
        <f>IF(Q255="","",IF($K$2="X - X",VLOOKUP(Q255,Espesor!$C$8:$E$41,2,0),VLOOKUP(Q255,Espesor!$C$8:$E$41,3,0)))</f>
        <v/>
      </c>
      <c r="AF262" s="319" t="e">
        <f>IF(AD262="","",IF(LOOKUP(AD262,Espesor!$C$8:$C$41,Espesor!$K$8:$K$41)="en voladizo","",IF(AD263="",0.75/AE262,1/AE262)))</f>
        <v>#VALUE!</v>
      </c>
      <c r="AG262" s="634"/>
      <c r="AH262" s="634" t="e">
        <f>IF(AF262="","",IF(AF263="","",ROUND(AF262/(AF262+AF263),3)))</f>
        <v>#VALUE!</v>
      </c>
      <c r="AI262" s="634"/>
      <c r="AJ262" s="634" t="e">
        <f>IF(AF262="","",IF(AF263="","",ROUND(AF263/(AF262+AF263),3)))</f>
        <v>#VALUE!</v>
      </c>
      <c r="AK262" s="317" t="e">
        <f>IF(G230="",0,IF($K$2="X - X",VLOOKUP(G230,'Moms de Empt'!$P$3:$T$36,3,0),VLOOKUP(G230,'Moms de Empt'!$P$3:$T$36,5,0)))</f>
        <v>#N/A</v>
      </c>
      <c r="AL262" s="317">
        <f t="shared" si="447"/>
        <v>0</v>
      </c>
      <c r="AM262" s="629"/>
      <c r="AN262" s="629">
        <f>IF(AD263="",0,IF(LOOKUP(AD263,Espesor!$C$8:$C$41,Espesor!$K$8:$K$41)="en voladizo",MAX(ABS(AL262),ABS(AK263)),-(AK263+AL262)))</f>
        <v>0</v>
      </c>
      <c r="AO262" s="630"/>
      <c r="AP262" s="630" t="e">
        <f t="shared" ref="AP262" si="453">IF(AH262="","",AN262*AH262)</f>
        <v>#VALUE!</v>
      </c>
      <c r="AQ262" s="630"/>
      <c r="AR262" s="630" t="e">
        <f t="shared" ref="AR262" si="454">IF(AJ262="","",AN262*AJ262)</f>
        <v>#VALUE!</v>
      </c>
      <c r="AS262" s="632"/>
      <c r="AT262" s="631" t="e">
        <f t="shared" ref="AT262" si="455">-IF(AN262="","",IF(AL262="",IF(AP262="",0,AP262),IF(AP262="",AL262,AL262+AP262)))</f>
        <v>#VALUE!</v>
      </c>
      <c r="AU262" s="341" t="e">
        <f>+AT262</f>
        <v>#VALUE!</v>
      </c>
      <c r="AV262" s="332" t="str">
        <f>IF(Q255="","",IF(L230="X - X",VLOOKUP(Q255,'Moms de Empt'!$P$3:$T$36,2,0),VLOOKUP(Q255,'Moms de Empt'!$P$3:$T$36,4,0)))</f>
        <v/>
      </c>
      <c r="AW262" s="635"/>
      <c r="AX262" s="633" t="str">
        <f>IF(AV262="","",IF(AV263="","",ROUND(AV262/(AV262+AV263),3)))</f>
        <v/>
      </c>
      <c r="AY262" s="635"/>
      <c r="AZ262" s="633" t="str">
        <f>IF(AV262="","",IF(AV263="","",ROUND(AV263/(AV262+AV263),3)))</f>
        <v/>
      </c>
      <c r="BA262" s="331" t="str">
        <f t="shared" si="446"/>
        <v/>
      </c>
      <c r="BC262" s="401"/>
      <c r="BD262" s="398"/>
      <c r="BE262" s="391"/>
    </row>
    <row r="263" spans="1:57" ht="21.75" customHeight="1" thickBot="1">
      <c r="A263" s="36" t="s">
        <v>66</v>
      </c>
      <c r="B263" s="273"/>
      <c r="C263" s="36"/>
      <c r="D263" s="672">
        <f>IF(E255="",0,IF(D262=0,IF(E262=0,MAX(ABS(D259),ABS(E259)),E262),MAX(ABS(D262),ABS(E262))))</f>
        <v>0</v>
      </c>
      <c r="E263" s="674"/>
      <c r="F263" s="36"/>
      <c r="G263" s="672">
        <f>IF(H255="",0,IF(G262=0,IF(H262=0,MAX(ABS(G259),ABS(H259)),H262),MAX(ABS(G262),ABS(H262))))</f>
        <v>0</v>
      </c>
      <c r="H263" s="674"/>
      <c r="I263" s="36"/>
      <c r="J263" s="672">
        <f>IF(K255="",0,IF(J262=0,IF(K262=0,MAX(ABS(J259),ABS(K259)),K262),MAX(ABS(J262),ABS(K262))))</f>
        <v>0</v>
      </c>
      <c r="K263" s="674"/>
      <c r="L263" s="36"/>
      <c r="M263" s="672">
        <f>IF(N255="",0,IF(M262=0,IF(N262=0,MAX(ABS(M259),ABS(N259)),N262),MAX(ABS(M262),ABS(N262))))</f>
        <v>0</v>
      </c>
      <c r="N263" s="674"/>
      <c r="O263" s="36"/>
      <c r="P263" s="672">
        <f>IF(Q255="",0,IF(P262=0,IF(Q262=0,MAX(ABS(P259),ABS(Q259)),Q262),MAX(ABS(P262),ABS(Q262))))</f>
        <v>0</v>
      </c>
      <c r="Q263" s="674"/>
      <c r="R263" s="36"/>
      <c r="S263" s="672">
        <f>IF(T255="",0,IF(S262=0,IF(T262=0,MAX(ABS(S259),ABS(T259)),T262),MAX(ABS(S262),ABS(T262))))</f>
        <v>0</v>
      </c>
      <c r="T263" s="674"/>
      <c r="U263" s="265"/>
      <c r="V263" s="672">
        <f>IF(W255="",0,IF(V262=0,IF(W262=0,MAX(ABS(V259),ABS(W259)),W262),MAX(ABS(V262),ABS(W262))))</f>
        <v>0</v>
      </c>
      <c r="W263" s="674"/>
      <c r="X263" s="36"/>
      <c r="Y263" s="672">
        <f>IF(Z255="",0,IF(Y262=0,IF(Z262=0,MAX(ABS(Y259),ABS(Z259)),Z262),MAX(ABS(Y262),ABS(Z262))))</f>
        <v>0</v>
      </c>
      <c r="Z263" s="674"/>
      <c r="AA263" s="37"/>
      <c r="AB263" s="38"/>
      <c r="AD263" s="321" t="str">
        <f>+IF(AK255="","",AK255)</f>
        <v/>
      </c>
      <c r="AE263" s="324" t="str">
        <f>IF(T255="","",IF($K$2="X - X",VLOOKUP(T255,Espesor!$C$8:$E$41,2,0),VLOOKUP(T255,Espesor!$C$8:$E$41,3,0)))</f>
        <v/>
      </c>
      <c r="AF263" s="319" t="str">
        <f>IF(AD263="","",IF(LOOKUP(AD263,Espesor!$C$8:$C$41,Espesor!$K$8:$K$41)="en voladizo","",IF(AD264="",0.75/AE263,1/AE263)))</f>
        <v/>
      </c>
      <c r="AG263" s="634" t="str">
        <f>IF(AF263="","",IF(AF264="","",ROUND(AF263/(AF263+AF264),3)))</f>
        <v/>
      </c>
      <c r="AH263" s="634"/>
      <c r="AI263" s="634" t="str">
        <f>IF(AF264="","",IF(AF263="","",ROUND(AF264/(AF264+AF263),3)))</f>
        <v/>
      </c>
      <c r="AJ263" s="634"/>
      <c r="AK263" s="317">
        <f>IF(H230="",0,IF($K$2="X - X",VLOOKUP(H230,'Moms de Empt'!$P$3:$T$36,3,0),VLOOKUP(H230,'Moms de Empt'!$P$3:$T$36,5,0)))</f>
        <v>0</v>
      </c>
      <c r="AL263" s="317">
        <f>+IF(AD264="",0,-AK263)</f>
        <v>0</v>
      </c>
      <c r="AM263" s="629">
        <f>IF(AD264="",0,IF(LOOKUP(AD264,Espesor!$C$8:$C$41,Espesor!$K$8:$K$41)="en voladizo",MAX(ABS(AL263),ABS(AK264)),-(AK264+AL263)))</f>
        <v>0</v>
      </c>
      <c r="AN263" s="629"/>
      <c r="AO263" s="630" t="str">
        <f>IF(AG263="","",AM263*AG263)</f>
        <v/>
      </c>
      <c r="AP263" s="630"/>
      <c r="AQ263" s="630" t="str">
        <f t="shared" ref="AQ263" si="456">IF(AI263="","",AM263*AI263)</f>
        <v/>
      </c>
      <c r="AR263" s="630"/>
      <c r="AS263" s="631">
        <f>-IF(AM263="","",IF(AL263="",IF(AO263="",0,AO263),IF(AO263="",AL263,AL263+AO263)))</f>
        <v>0</v>
      </c>
      <c r="AT263" s="632"/>
      <c r="AU263" s="341">
        <f>+AS263</f>
        <v>0</v>
      </c>
      <c r="AV263" s="332" t="str">
        <f>IF(T255="","",IF(L230="X - X",VLOOKUP(T255,'Moms de Empt'!$P$3:$T$36,2,0),VLOOKUP(T255,'Moms de Empt'!$P$3:$T$36,4,0)))</f>
        <v/>
      </c>
      <c r="AW263" s="635" t="str">
        <f>IF(AV263="","",IF(AV264="","",ROUND(AV263/(AV263+AV264),3)))</f>
        <v/>
      </c>
      <c r="AX263" s="633"/>
      <c r="AY263" s="635" t="str">
        <f>IF(AV264="","",IF(AV263="","",ROUND(AV264/(AV264+AV263),3)))</f>
        <v/>
      </c>
      <c r="AZ263" s="633"/>
      <c r="BA263" s="331" t="str">
        <f t="shared" si="446"/>
        <v/>
      </c>
      <c r="BC263" s="401"/>
      <c r="BD263" s="398"/>
      <c r="BE263" s="391"/>
    </row>
    <row r="264" spans="1:57" ht="21.75" customHeight="1" thickBot="1">
      <c r="A264" s="36"/>
      <c r="B264" s="274"/>
      <c r="C264" s="36"/>
      <c r="D264" s="690">
        <f>IF(D263="","",D263*100000)</f>
        <v>0</v>
      </c>
      <c r="E264" s="690"/>
      <c r="F264" s="36"/>
      <c r="G264" s="690">
        <f>IF(G263="","",G263*100000)</f>
        <v>0</v>
      </c>
      <c r="H264" s="690"/>
      <c r="I264" s="388"/>
      <c r="J264" s="690">
        <f>IF(J263="","",J263*100000)</f>
        <v>0</v>
      </c>
      <c r="K264" s="690"/>
      <c r="L264" s="388"/>
      <c r="M264" s="690">
        <f>IF(M263="","",M263*100000)</f>
        <v>0</v>
      </c>
      <c r="N264" s="690"/>
      <c r="O264" s="388"/>
      <c r="P264" s="690">
        <f>IF(P263="","",P263*100000)</f>
        <v>0</v>
      </c>
      <c r="Q264" s="690"/>
      <c r="R264" s="388"/>
      <c r="S264" s="690">
        <f>IF(S263="","",S263*100000)</f>
        <v>0</v>
      </c>
      <c r="T264" s="690"/>
      <c r="U264" s="387"/>
      <c r="V264" s="690">
        <f>IF(V263="","",V263*100000)</f>
        <v>0</v>
      </c>
      <c r="W264" s="690"/>
      <c r="X264" s="388"/>
      <c r="Y264" s="690">
        <f>IF(Y263="","",Y263*100000)</f>
        <v>0</v>
      </c>
      <c r="Z264" s="690"/>
      <c r="AA264" s="37"/>
      <c r="AB264" s="275"/>
      <c r="AD264" s="321" t="str">
        <f>+IF(AL255="","",AL255)</f>
        <v/>
      </c>
      <c r="AE264" s="324" t="str">
        <f>IF(W255="","",IF($K$2="X - X",VLOOKUP(W255,Espesor!$C$8:$E$41,2,0),VLOOKUP(W255,Espesor!$C$8:$E$41,3,0)))</f>
        <v/>
      </c>
      <c r="AF264" s="319" t="str">
        <f>IF(AD264="","",IF(LOOKUP(AD264,Espesor!$C$8:$C$41,Espesor!$K$8:$K$41)="en voladizo","",IF(AD265="",0.75/AE264,1/AE264)))</f>
        <v/>
      </c>
      <c r="AG264" s="634"/>
      <c r="AH264" s="634" t="str">
        <f>IF(AF264="","",IF(AF265="","",ROUND(AF264/(AF264+AF265),3)))</f>
        <v/>
      </c>
      <c r="AI264" s="634"/>
      <c r="AJ264" s="634" t="str">
        <f>IF(AF264="","",IF(AF265="","",ROUND(AF265/(AF264+AF265),3)))</f>
        <v/>
      </c>
      <c r="AK264" s="317">
        <f>IF(I230="",0,IF($K$2="X - X",VLOOKUP(I230,'Moms de Empt'!$P$3:$T$36,3,0),VLOOKUP(I230,'Moms de Empt'!$P$3:$T$36,5,0)))</f>
        <v>0</v>
      </c>
      <c r="AL264" s="317">
        <f t="shared" ref="AL264:AL265" si="457">+IF(AD265="",0,-AK264)</f>
        <v>0</v>
      </c>
      <c r="AM264" s="629"/>
      <c r="AN264" s="629" t="e">
        <f>IF(AD265="",0,IF(LOOKUP(AD265,Espesor!$C$8:$C$41,Espesor!$K$8:$K$41)="en voladizo",MAX(ABS(AL264),ABS(AK265)),-(AK265+AL264)))</f>
        <v>#N/A</v>
      </c>
      <c r="AO264" s="630"/>
      <c r="AP264" s="630" t="str">
        <f t="shared" ref="AP264" si="458">IF(AH264="","",AN264*AH264)</f>
        <v/>
      </c>
      <c r="AQ264" s="630"/>
      <c r="AR264" s="630" t="str">
        <f t="shared" ref="AR264" si="459">IF(AJ264="","",AN264*AJ264)</f>
        <v/>
      </c>
      <c r="AS264" s="632"/>
      <c r="AT264" s="631" t="e">
        <f t="shared" ref="AT264" si="460">-IF(AN264="","",IF(AL264="",IF(AP264="",0,AP264),IF(AP264="",AL264,AL264+AP264)))</f>
        <v>#N/A</v>
      </c>
      <c r="AU264" s="341" t="e">
        <f>+AT264</f>
        <v>#N/A</v>
      </c>
      <c r="AV264" s="332" t="str">
        <f>IF(W255="","",IF(L230="X - X",VLOOKUP(W255,'Moms de Empt'!$P$3:$T$36,2,0),VLOOKUP(W255,'Moms de Empt'!$P$3:$T$36,4,0)))</f>
        <v/>
      </c>
      <c r="AW264" s="635"/>
      <c r="AX264" s="633" t="str">
        <f>IF(AV264="","",IF(AV265="","",ROUND(AV264/(AV264+AV265),3)))</f>
        <v/>
      </c>
      <c r="AY264" s="635"/>
      <c r="AZ264" s="633" t="str">
        <f>IF(AV264="","",IF(AV265="","",ROUND(AV265/(AV264+AV265),3)))</f>
        <v/>
      </c>
      <c r="BA264" s="331" t="str">
        <f t="shared" si="446"/>
        <v/>
      </c>
      <c r="BC264" s="401"/>
      <c r="BD264" s="398"/>
      <c r="BE264" s="391"/>
    </row>
    <row r="265" spans="1:57" ht="21.75" customHeight="1" thickBot="1">
      <c r="A265" s="257" t="s">
        <v>127</v>
      </c>
      <c r="B265" s="675" t="str">
        <f>+IF(B255="","",VLOOKUP(B255,'Moms de Empt'!$P$3:$T$36,4,0))</f>
        <v/>
      </c>
      <c r="C265" s="676"/>
      <c r="D265" s="677"/>
      <c r="E265" s="675" t="str">
        <f>+IF(E255="","",VLOOKUP(E255,'Moms de Empt'!$P$3:$T$36,4,0))</f>
        <v/>
      </c>
      <c r="F265" s="676"/>
      <c r="G265" s="677"/>
      <c r="H265" s="675" t="str">
        <f>+IF(H255="","",VLOOKUP(H255,'Moms de Empt'!$P$3:$T$36,4,0))</f>
        <v/>
      </c>
      <c r="I265" s="676"/>
      <c r="J265" s="677"/>
      <c r="K265" s="675" t="str">
        <f>+IF(K255="","",VLOOKUP(K255,'Moms de Empt'!$P$3:$T$36,4,0))</f>
        <v/>
      </c>
      <c r="L265" s="676"/>
      <c r="M265" s="677"/>
      <c r="N265" s="675" t="str">
        <f>+IF(N255="","",VLOOKUP(N255,'Moms de Empt'!$P$3:$T$36,4,0))</f>
        <v/>
      </c>
      <c r="O265" s="676"/>
      <c r="P265" s="677"/>
      <c r="Q265" s="675" t="str">
        <f>+IF(Q255="","",VLOOKUP(Q255,'Moms de Empt'!$P$3:$T$36,4,0))</f>
        <v/>
      </c>
      <c r="R265" s="676"/>
      <c r="S265" s="677"/>
      <c r="T265" s="675" t="str">
        <f>+IF(T255="","",VLOOKUP(T255,'Moms de Empt'!$P$3:$T$36,4,0))</f>
        <v/>
      </c>
      <c r="U265" s="676"/>
      <c r="V265" s="677"/>
      <c r="W265" s="675" t="str">
        <f>+IF(W255="","",VLOOKUP(W255,'Moms de Empt'!$P$3:$T$36,4,0))</f>
        <v/>
      </c>
      <c r="X265" s="676"/>
      <c r="Y265" s="677"/>
      <c r="Z265" s="675" t="str">
        <f>+IF(Z255="","",VLOOKUP(Z255,'Moms de Empt'!$P$3:$T$36,4,0))</f>
        <v/>
      </c>
      <c r="AA265" s="676"/>
      <c r="AB265" s="677"/>
      <c r="AD265" s="321">
        <f>+IF(AM255="","",AM255)</f>
        <v>192044.75999999998</v>
      </c>
      <c r="AE265" s="324" t="str">
        <f>IF(Z255="","",IF($K$2="X - X",VLOOKUP(Z255,Espesor!$C$8:$E$41,2,0),VLOOKUP(Z255,Espesor!$C$8:$E$41,3,0)))</f>
        <v/>
      </c>
      <c r="AF265" s="319" t="e">
        <f>IF(AD265="","",IF(LOOKUP(AD265,Espesor!$C$8:$C$41,Espesor!$K$8:$K$41)="en voladizo","",IF(AD266="",0.75/AE265,1/AE265)))</f>
        <v>#VALUE!</v>
      </c>
      <c r="AG265" s="344" t="e">
        <f>IF(AF265="","",IF(AK239="","",ROUND(AF265/(AF265+AK239),3)))</f>
        <v>#VALUE!</v>
      </c>
      <c r="AH265" s="634"/>
      <c r="AI265" s="344" t="e">
        <f>IF(AK239="","",IF(AF265="","",ROUND(AK239/(AK239+AF265),3)))</f>
        <v>#VALUE!</v>
      </c>
      <c r="AJ265" s="634"/>
      <c r="AK265" s="317" t="e">
        <f>IF(J230="",0,IF($K$2="X - X",VLOOKUP(J230,'Moms de Empt'!$P$3:$T$36,3,0),VLOOKUP(J230,'Moms de Empt'!$P$3:$T$36,5,0)))</f>
        <v>#N/A</v>
      </c>
      <c r="AL265" s="317">
        <f t="shared" si="457"/>
        <v>0</v>
      </c>
      <c r="AM265" s="307" t="str">
        <f>IF(AI239="","",IF(LOOKUP(AI239,[6]Espesor!$C$8:$C$41,[6]Espesor!$K$8:$K$41)="en voladizo",MAX(ABS(AL265),ABS(AQ239)),-(AQ239-AL265)))</f>
        <v/>
      </c>
      <c r="AN265" s="629"/>
      <c r="AO265" s="340" t="e">
        <f t="shared" ref="AO265" si="461">IF(AG265="","",AM265*AG265)</f>
        <v>#VALUE!</v>
      </c>
      <c r="AP265" s="630"/>
      <c r="AQ265" s="315" t="e">
        <f t="shared" ref="AQ265" si="462">IF(AI265="","",AM265*AI265)</f>
        <v>#VALUE!</v>
      </c>
      <c r="AR265" s="630"/>
      <c r="AS265" s="312" t="str">
        <f t="shared" ref="AS265" si="463">IF(AM265="","",IF(AL265="",IF(AO265="",0,AO265),IF(AO265="",AL265,AL265+AO265)))</f>
        <v/>
      </c>
      <c r="AT265" s="632"/>
      <c r="AU265" s="341"/>
      <c r="AV265" s="333" t="str">
        <f>IF(Z255="","",IF(L230="X - X",VLOOKUP(Z255,'Moms de Empt'!$P$3:$T$36,2,0),VLOOKUP(Z255,'Moms de Empt'!$P$3:$T$36,4,0)))</f>
        <v/>
      </c>
      <c r="AW265" s="337" t="str">
        <f>IF(AV265="","",IF(BA239="","",ROUND(AV265/(AV265+BA239),3)))</f>
        <v/>
      </c>
      <c r="AX265" s="633"/>
      <c r="AY265" s="337" t="str">
        <f>IF(BA239="","",IF(AV265="","",ROUND(BA239/(BA239+AV265),3)))</f>
        <v/>
      </c>
      <c r="AZ265" s="633"/>
      <c r="BA265" s="331"/>
      <c r="BC265" s="401"/>
      <c r="BD265" s="398"/>
      <c r="BE265" s="391"/>
    </row>
    <row r="266" spans="1:57" ht="21.75" customHeight="1" thickBot="1">
      <c r="A266" s="258"/>
      <c r="B266" s="209"/>
      <c r="C266" s="209"/>
      <c r="D266" s="209" t="str">
        <f>IF(B257="","",IF(D259="","",IF(ABS(D263)&gt;ABS(D259),-0.5*ABS(D261),0.5*ABS(D261))))</f>
        <v/>
      </c>
      <c r="E266" s="209" t="str">
        <f>IF(E257="","",IF(E259="","",IF(ABS(D263)&gt;ABS(E259),-0.5*ABS(E261),0.5*ABS(E261))))</f>
        <v/>
      </c>
      <c r="F266" s="209"/>
      <c r="G266" s="209" t="str">
        <f>IF(E257="","",IF(G259="","",IF(ABS(G263)&gt;ABS(G259),-0.5*ABS(G261),0.5*ABS(G261))))</f>
        <v/>
      </c>
      <c r="H266" s="209" t="str">
        <f>IF(H257="","",IF(H259="","",IF(ABS(G263)&gt;ABS(H259),-0.5*ABS(H261),0.5*ABS(H261))))</f>
        <v/>
      </c>
      <c r="I266" s="209"/>
      <c r="J266" s="209" t="str">
        <f>IF(H257="","",IF(J259="","",IF(ABS(J263)&gt;ABS(J259),-0.5*ABS(J261),0.5*ABS(J261))))</f>
        <v/>
      </c>
      <c r="K266" s="209" t="str">
        <f>IF(K257="","",IF(K259="","",IF(ABS(J263)&gt;ABS(K259),-0.5*ABS(K261),0.5*ABS(K261))))</f>
        <v/>
      </c>
      <c r="L266" s="209"/>
      <c r="M266" s="209" t="str">
        <f>IF(K257="","",IF(M259="","",IF(ABS(M263)&gt;ABS(M259),-0.5*ABS(M261),0.5*ABS(M261))))</f>
        <v/>
      </c>
      <c r="N266" s="209" t="str">
        <f>IF(N257="","",IF(N259="","",IF(ABS(M263)&gt;ABS(N259),-0.5*ABS(N261),0.5*ABS(N261))))</f>
        <v/>
      </c>
      <c r="O266" s="209"/>
      <c r="P266" s="209" t="str">
        <f>IF(N257="","",IF(P259="","",IF(ABS(P263)&gt;ABS(P259),-0.5*ABS(P261),0.5*ABS(P261))))</f>
        <v/>
      </c>
      <c r="Q266" s="209" t="str">
        <f>IF(Q257="","",IF(Q259="","",IF(ABS(P263)&gt;ABS(Q259),-0.5*ABS(Q261),0.5*ABS(Q261))))</f>
        <v/>
      </c>
      <c r="R266" s="209"/>
      <c r="S266" s="209" t="str">
        <f>IF(Q257="","",IF(S259="","",IF(ABS(S263)&gt;ABS(S259),-0.5*ABS(S261),0.5*ABS(S261))))</f>
        <v/>
      </c>
      <c r="T266" s="209" t="str">
        <f>IF(T257="","",IF(T259="","",IF(ABS(S263)&gt;ABS(T259),-0.5*ABS(T261),0.5*ABS(T261))))</f>
        <v/>
      </c>
      <c r="U266" s="209"/>
      <c r="V266" s="209" t="str">
        <f>IF(T257="","",IF(V259="","",IF(ABS(V263)&gt;ABS(V259),-0.5*ABS(V261),0.5*ABS(V261))))</f>
        <v/>
      </c>
      <c r="W266" s="209" t="str">
        <f>IF(W257="","",IF(W259="","",IF(ABS(V263)&gt;ABS(W259),-0.5*ABS(W261),0.5*ABS(W261))))</f>
        <v/>
      </c>
      <c r="X266" s="209"/>
      <c r="Y266" s="209" t="str">
        <f>IF(W257="","",IF(Y259="","",IF(ABS(Y263)&gt;ABS(Y259),-0.5*ABS(Y261),0.5*ABS(Y261))))</f>
        <v/>
      </c>
      <c r="Z266" s="209" t="str">
        <f>IF(Z257="","",IF(Z259="","",IF(ABS(Y263)&gt;ABS(Z259),-0.5*ABS(Z261),0.5*ABS(Z261))))</f>
        <v/>
      </c>
      <c r="AA266" s="209"/>
      <c r="AB266" s="209" t="str">
        <f>IF(Z257="","",IF(AB259="","",IF(AB263&gt;-AB259,IF(AB261&lt;0,0.5*AB261,-0.5*AB261),0.5*AB261)))</f>
        <v/>
      </c>
      <c r="BC266" s="401"/>
      <c r="BD266" s="398"/>
      <c r="BE266" s="391"/>
    </row>
    <row r="267" spans="1:57" ht="21.75" customHeight="1" thickBot="1">
      <c r="A267" s="259" t="s">
        <v>128</v>
      </c>
      <c r="B267" s="672" t="str">
        <f>IF(B266="",IF(D266="",B265,B265+D266),IF(D266="",B265+B266,B265+B266+D266))</f>
        <v/>
      </c>
      <c r="C267" s="673"/>
      <c r="D267" s="674"/>
      <c r="E267" s="672" t="str">
        <f>IF(E266="",IF(G266="",E265,E265+G266),IF(G266="",E265+E266,E265+E266+G266))</f>
        <v/>
      </c>
      <c r="F267" s="673"/>
      <c r="G267" s="674"/>
      <c r="H267" s="672" t="str">
        <f>IF(H266="",IF(J266="",H265,H265+J266),IF(J266="",H265+H266,H265+H266+J266))</f>
        <v/>
      </c>
      <c r="I267" s="673"/>
      <c r="J267" s="674"/>
      <c r="K267" s="672" t="str">
        <f>IF(K266="",IF(M266="",K265,K265+M266),IF(M266="",K265+K266,K265+K266+M266))</f>
        <v/>
      </c>
      <c r="L267" s="673"/>
      <c r="M267" s="674"/>
      <c r="N267" s="672" t="str">
        <f>IF(N266="",IF(P266="",N265,N265+P266),IF(P266="",N265+N266,N265+N266+P266))</f>
        <v/>
      </c>
      <c r="O267" s="673"/>
      <c r="P267" s="674"/>
      <c r="Q267" s="672" t="str">
        <f>IF(Q266="",IF(S266="",Q265,Q265+S266),IF(S266="",Q265+Q266,Q265+Q266+S266))</f>
        <v/>
      </c>
      <c r="R267" s="673"/>
      <c r="S267" s="674"/>
      <c r="T267" s="672" t="str">
        <f>IF(T266="",IF(V266="",T265,T265+V266),IF(V266="",T265+T266,T265+T266+V266))</f>
        <v/>
      </c>
      <c r="U267" s="673"/>
      <c r="V267" s="674"/>
      <c r="W267" s="672" t="str">
        <f>IF(W266="",IF(Y266="",W265,W265+Y266),IF(Y266="",W265+W266,W265+W266+Y266))</f>
        <v/>
      </c>
      <c r="X267" s="673"/>
      <c r="Y267" s="674"/>
      <c r="Z267" s="672" t="str">
        <f>IF(Z266="",IF(AB266="",Z265,Z265+AB266),IF(AB266="",Z265+Z266,Z265+Z266+AB266))</f>
        <v/>
      </c>
      <c r="AA267" s="673"/>
      <c r="AB267" s="674"/>
      <c r="AD267" s="260"/>
      <c r="AE267" s="260"/>
      <c r="AF267" s="260"/>
      <c r="AG267" s="260"/>
      <c r="AH267" s="260"/>
      <c r="AI267" s="260"/>
      <c r="AJ267" s="260"/>
      <c r="AK267" s="39"/>
      <c r="AL267" s="39"/>
      <c r="AM267" s="260"/>
      <c r="AN267" s="260"/>
      <c r="AO267" s="39"/>
      <c r="AP267" s="39"/>
      <c r="AQ267" s="39"/>
      <c r="AR267" s="39"/>
      <c r="AS267" s="260"/>
      <c r="AT267" s="260"/>
      <c r="AU267" s="260"/>
      <c r="AV267" s="260"/>
      <c r="AW267" s="260"/>
      <c r="AX267" s="260"/>
      <c r="AY267" s="260"/>
      <c r="AZ267" s="260"/>
      <c r="BA267" s="260"/>
      <c r="BC267" s="401"/>
      <c r="BD267" s="398"/>
      <c r="BE267" s="391"/>
    </row>
    <row r="268" spans="1:57" ht="21.75" customHeight="1">
      <c r="AD268" s="260"/>
      <c r="AE268" s="260"/>
      <c r="AF268" s="260"/>
      <c r="AG268" s="260"/>
      <c r="AH268" s="260"/>
      <c r="AI268" s="260"/>
      <c r="AJ268" s="260"/>
      <c r="AK268" s="39"/>
      <c r="AL268" s="39"/>
      <c r="AM268" s="260"/>
      <c r="AN268" s="260"/>
      <c r="AO268" s="39"/>
      <c r="AP268" s="39"/>
      <c r="AQ268" s="39"/>
      <c r="AR268" s="39"/>
      <c r="AS268" s="260"/>
      <c r="AT268" s="260"/>
      <c r="AU268" s="260"/>
      <c r="AV268" s="260"/>
      <c r="AW268" s="260"/>
      <c r="AX268" s="260"/>
      <c r="AY268" s="260"/>
      <c r="AZ268" s="260"/>
      <c r="BA268" s="260"/>
      <c r="BC268" s="401"/>
      <c r="BD268" s="398"/>
      <c r="BE268" s="391"/>
    </row>
    <row r="269" spans="1:57" ht="21.75" customHeight="1">
      <c r="AD269" s="263"/>
      <c r="AE269" s="263"/>
      <c r="AF269" s="263"/>
      <c r="AG269" s="263"/>
      <c r="AH269" s="263"/>
      <c r="AI269" s="263"/>
      <c r="AJ269" s="263"/>
      <c r="AK269" s="263"/>
      <c r="AL269" s="263"/>
      <c r="AM269" s="263"/>
      <c r="AN269" s="263"/>
      <c r="AO269" s="263"/>
      <c r="AP269" s="263"/>
      <c r="AQ269" s="263"/>
      <c r="AR269" s="263"/>
      <c r="AS269" s="263"/>
      <c r="AT269" s="263"/>
      <c r="AU269" s="263"/>
      <c r="AV269" s="263"/>
      <c r="AW269" s="263"/>
      <c r="AX269" s="263"/>
      <c r="AY269" s="263"/>
      <c r="AZ269" s="263"/>
      <c r="BA269" s="263"/>
      <c r="BC269" s="401"/>
      <c r="BD269" s="398"/>
      <c r="BE269" s="391"/>
    </row>
    <row r="270" spans="1:57" ht="21.75" customHeight="1" thickBot="1">
      <c r="A270" s="626">
        <f>A17</f>
        <v>5</v>
      </c>
      <c r="B270" s="626"/>
      <c r="C270" s="626"/>
      <c r="D270" s="626"/>
      <c r="E270" s="626"/>
      <c r="F270" s="627"/>
      <c r="G270" s="627"/>
      <c r="H270" s="627"/>
      <c r="I270" s="627"/>
      <c r="J270" s="628" t="s">
        <v>134</v>
      </c>
      <c r="K270" s="628"/>
      <c r="L270" s="271" t="str">
        <f>K17</f>
        <v>Y - Y</v>
      </c>
      <c r="M270" s="262"/>
      <c r="N270" s="404"/>
      <c r="O270" s="402"/>
      <c r="P270" s="262"/>
      <c r="Q270" s="263"/>
      <c r="R270" s="263"/>
      <c r="S270" s="263"/>
      <c r="T270" s="263"/>
      <c r="U270" s="263"/>
      <c r="V270" s="263"/>
      <c r="W270" s="263"/>
      <c r="X270" s="263"/>
      <c r="Y270" s="263"/>
      <c r="Z270" s="263"/>
      <c r="AA270" s="263"/>
      <c r="AB270" s="263"/>
      <c r="AD270" s="263"/>
      <c r="AE270" s="263"/>
      <c r="AF270" s="263"/>
      <c r="AG270" s="263"/>
      <c r="AH270" s="263"/>
      <c r="AI270" s="263"/>
      <c r="AJ270" s="263"/>
      <c r="AK270" s="263"/>
      <c r="AL270" s="263"/>
      <c r="AM270" s="263"/>
      <c r="AN270" s="263"/>
      <c r="AO270" s="263"/>
      <c r="AP270" s="263"/>
      <c r="AQ270" s="263"/>
      <c r="AR270" s="263"/>
      <c r="AS270" s="263"/>
      <c r="AT270" s="263"/>
      <c r="AU270" s="263"/>
      <c r="AV270" s="263"/>
      <c r="AW270" s="263"/>
      <c r="AX270" s="263"/>
      <c r="AY270" s="263"/>
      <c r="AZ270" s="263"/>
      <c r="BA270" s="263"/>
      <c r="BC270" s="401"/>
      <c r="BD270" s="398"/>
      <c r="BE270" s="391"/>
    </row>
    <row r="271" spans="1:57" ht="21.75" customHeight="1" thickTop="1">
      <c r="A271" s="686" t="str">
        <f>+Espesor!$J$3</f>
        <v>Techo</v>
      </c>
      <c r="B271" s="686"/>
      <c r="C271" s="688" t="s">
        <v>136</v>
      </c>
      <c r="D271" s="688"/>
      <c r="E271" s="264" t="str">
        <f>IF(B17="","",B17)</f>
        <v/>
      </c>
      <c r="F271" s="264" t="str">
        <f>IF(C17="","",C17)</f>
        <v/>
      </c>
      <c r="G271" s="264" t="str">
        <f t="shared" ref="G271:M271" si="464">IF(D17="","",D17)</f>
        <v/>
      </c>
      <c r="H271" s="264" t="str">
        <f t="shared" si="464"/>
        <v/>
      </c>
      <c r="I271" s="264" t="str">
        <f t="shared" si="464"/>
        <v/>
      </c>
      <c r="J271" s="264" t="str">
        <f t="shared" si="464"/>
        <v/>
      </c>
      <c r="K271" s="264" t="str">
        <f t="shared" si="464"/>
        <v/>
      </c>
      <c r="L271" s="264" t="str">
        <f t="shared" si="464"/>
        <v/>
      </c>
      <c r="M271" s="264" t="str">
        <f t="shared" si="464"/>
        <v/>
      </c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  <c r="AA271" s="264"/>
      <c r="AB271" s="263"/>
      <c r="AD271" s="624" t="s">
        <v>64</v>
      </c>
      <c r="AE271" s="624"/>
      <c r="AF271" s="624"/>
      <c r="AG271" s="624"/>
      <c r="AH271" s="624"/>
      <c r="AI271" s="624"/>
      <c r="AJ271" s="624"/>
      <c r="AK271" s="624"/>
      <c r="AL271" s="624"/>
      <c r="BC271" s="401"/>
      <c r="BD271" s="398"/>
      <c r="BE271" s="391"/>
    </row>
    <row r="272" spans="1:57" ht="21.75" customHeight="1" thickBot="1">
      <c r="A272" s="689"/>
      <c r="B272" s="689"/>
      <c r="C272" s="689"/>
      <c r="D272" s="689"/>
      <c r="E272" s="689"/>
      <c r="F272" s="689"/>
      <c r="G272" s="689"/>
      <c r="H272" s="689"/>
      <c r="I272" s="689"/>
      <c r="J272" s="689"/>
      <c r="K272" s="689"/>
      <c r="L272" s="689"/>
      <c r="M272" s="689"/>
      <c r="N272" s="689"/>
      <c r="O272" s="689"/>
      <c r="P272" s="689"/>
      <c r="Q272" s="689"/>
      <c r="R272" s="689"/>
      <c r="S272" s="689"/>
      <c r="T272" s="689"/>
      <c r="U272" s="689"/>
      <c r="V272" s="689"/>
      <c r="W272" s="689"/>
      <c r="X272" s="689"/>
      <c r="Y272" s="689"/>
      <c r="Z272" s="689"/>
      <c r="AA272" s="689"/>
      <c r="AB272" s="689"/>
      <c r="AD272" s="287">
        <f>+A247</f>
        <v>0</v>
      </c>
      <c r="AE272" s="325" t="str">
        <f>+IF(B247="","",B247)</f>
        <v/>
      </c>
      <c r="AF272" s="325" t="str">
        <f>+IF(C247="","",C247)</f>
        <v/>
      </c>
      <c r="AG272" s="325">
        <f t="shared" ref="AG272" si="465">+IF(D247="","",D247)</f>
        <v>0</v>
      </c>
      <c r="AH272" s="325" t="str">
        <f t="shared" ref="AH272" si="466">+IF(E247="","",E247)</f>
        <v/>
      </c>
      <c r="AI272" s="325" t="str">
        <f t="shared" ref="AI272" si="467">+IF(F247="","",F247)</f>
        <v/>
      </c>
      <c r="AJ272" s="325">
        <f t="shared" ref="AJ272" si="468">+IF(G247="","",G247)</f>
        <v>0</v>
      </c>
      <c r="AK272" s="325" t="str">
        <f t="shared" ref="AK272" si="469">+IF(H247="","",H247)</f>
        <v/>
      </c>
      <c r="AL272" s="325" t="str">
        <f t="shared" ref="AL272" si="470">+IF(I247="","",I247)</f>
        <v/>
      </c>
      <c r="AM272" s="325">
        <f t="shared" ref="AM272" si="471">+IF(J247="","",J247)</f>
        <v>0</v>
      </c>
      <c r="AN272" s="242"/>
      <c r="AO272" s="242"/>
      <c r="AP272" s="242"/>
      <c r="AQ272" s="242"/>
      <c r="AR272" s="242"/>
      <c r="AS272" s="242"/>
      <c r="AT272" s="242"/>
      <c r="AU272" s="242"/>
      <c r="AV272" s="242"/>
      <c r="AW272" s="242"/>
      <c r="AX272" s="242"/>
      <c r="AY272" s="242"/>
      <c r="AZ272" s="242"/>
      <c r="BA272" s="242"/>
      <c r="BC272" s="401"/>
      <c r="BD272" s="398"/>
      <c r="BE272" s="391"/>
    </row>
    <row r="273" spans="1:90" ht="21.75" customHeight="1" thickBot="1">
      <c r="A273" s="360"/>
      <c r="B273" s="682" t="str">
        <f>IF($E271="","",$E271)</f>
        <v/>
      </c>
      <c r="C273" s="682"/>
      <c r="D273" s="682"/>
      <c r="E273" s="682" t="str">
        <f>IF($F271="","",$F271)</f>
        <v/>
      </c>
      <c r="F273" s="682"/>
      <c r="G273" s="682"/>
      <c r="H273" s="682" t="str">
        <f>IF($G271="","",$G271)</f>
        <v/>
      </c>
      <c r="I273" s="682"/>
      <c r="J273" s="682"/>
      <c r="K273" s="682" t="str">
        <f>IF($H271="","",$H271)</f>
        <v/>
      </c>
      <c r="L273" s="682"/>
      <c r="M273" s="682"/>
      <c r="N273" s="682" t="str">
        <f>IF($I271="","",$I271)</f>
        <v/>
      </c>
      <c r="O273" s="682"/>
      <c r="P273" s="682"/>
      <c r="Q273" s="682" t="str">
        <f>IF($J271="","",$J271)</f>
        <v/>
      </c>
      <c r="R273" s="682"/>
      <c r="S273" s="682"/>
      <c r="T273" s="682" t="str">
        <f>IF($K271="","",$K271)</f>
        <v/>
      </c>
      <c r="U273" s="682"/>
      <c r="V273" s="682"/>
      <c r="W273" s="682" t="str">
        <f>IF($L271="","",$L271)</f>
        <v/>
      </c>
      <c r="X273" s="682"/>
      <c r="Y273" s="682"/>
      <c r="Z273" s="682" t="str">
        <f>IF($M271="","",$M271)</f>
        <v/>
      </c>
      <c r="AA273" s="682"/>
      <c r="AB273" s="682"/>
      <c r="AD273" s="338" t="s">
        <v>4</v>
      </c>
      <c r="AE273" s="322" t="s">
        <v>3</v>
      </c>
      <c r="AF273" s="339" t="s">
        <v>138</v>
      </c>
      <c r="AG273" s="637" t="s">
        <v>139</v>
      </c>
      <c r="AH273" s="638"/>
      <c r="AI273" s="638"/>
      <c r="AJ273" s="639"/>
      <c r="AK273" s="640" t="s">
        <v>142</v>
      </c>
      <c r="AL273" s="641"/>
      <c r="AM273" s="637" t="s">
        <v>143</v>
      </c>
      <c r="AN273" s="639"/>
      <c r="AO273" s="642" t="s">
        <v>144</v>
      </c>
      <c r="AP273" s="643"/>
      <c r="AQ273" s="643"/>
      <c r="AR273" s="644"/>
      <c r="AS273" s="642" t="s">
        <v>145</v>
      </c>
      <c r="AT273" s="643"/>
      <c r="AU273" s="644"/>
      <c r="AV273" s="645" t="s">
        <v>157</v>
      </c>
      <c r="AW273" s="646"/>
      <c r="AX273" s="646"/>
      <c r="AY273" s="646"/>
      <c r="AZ273" s="646"/>
      <c r="BA273" s="647"/>
      <c r="BC273" s="401"/>
      <c r="BD273" s="398"/>
      <c r="BE273" s="428">
        <f>BE$27</f>
        <v>1</v>
      </c>
      <c r="BF273" s="428">
        <f t="shared" ref="BF273:CL273" si="472">BF$27</f>
        <v>2</v>
      </c>
      <c r="BG273" s="428">
        <f t="shared" si="472"/>
        <v>3</v>
      </c>
      <c r="BH273" s="428">
        <f t="shared" si="472"/>
        <v>4</v>
      </c>
      <c r="BI273" s="428">
        <f t="shared" si="472"/>
        <v>5</v>
      </c>
      <c r="BJ273" s="428">
        <f t="shared" si="472"/>
        <v>6</v>
      </c>
      <c r="BK273" s="428">
        <f t="shared" si="472"/>
        <v>7</v>
      </c>
      <c r="BL273" s="428">
        <f t="shared" si="472"/>
        <v>8</v>
      </c>
      <c r="BM273" s="428">
        <f t="shared" si="472"/>
        <v>9</v>
      </c>
      <c r="BN273" s="428">
        <f t="shared" si="472"/>
        <v>10</v>
      </c>
      <c r="BO273" s="428">
        <f t="shared" si="472"/>
        <v>11</v>
      </c>
      <c r="BP273" s="428">
        <f t="shared" si="472"/>
        <v>12</v>
      </c>
      <c r="BQ273" s="428">
        <f t="shared" si="472"/>
        <v>13</v>
      </c>
      <c r="BR273" s="428">
        <f t="shared" si="472"/>
        <v>14</v>
      </c>
      <c r="BS273" s="428">
        <f t="shared" si="472"/>
        <v>15</v>
      </c>
      <c r="BT273" s="428">
        <f t="shared" si="472"/>
        <v>16</v>
      </c>
      <c r="BU273" s="428">
        <f t="shared" si="472"/>
        <v>17</v>
      </c>
      <c r="BV273" s="428">
        <f t="shared" si="472"/>
        <v>18</v>
      </c>
      <c r="BW273" s="428">
        <f t="shared" si="472"/>
        <v>19</v>
      </c>
      <c r="BX273" s="428">
        <f t="shared" si="472"/>
        <v>20</v>
      </c>
      <c r="BY273" s="428">
        <f t="shared" si="472"/>
        <v>21</v>
      </c>
      <c r="BZ273" s="428">
        <f t="shared" si="472"/>
        <v>22</v>
      </c>
      <c r="CA273" s="428">
        <f t="shared" si="472"/>
        <v>23</v>
      </c>
      <c r="CB273" s="428">
        <f t="shared" si="472"/>
        <v>24</v>
      </c>
      <c r="CC273" s="428">
        <f t="shared" si="472"/>
        <v>25</v>
      </c>
      <c r="CD273" s="428">
        <f t="shared" si="472"/>
        <v>26</v>
      </c>
      <c r="CE273" s="428">
        <f t="shared" si="472"/>
        <v>27</v>
      </c>
      <c r="CF273" s="428">
        <f t="shared" si="472"/>
        <v>28</v>
      </c>
      <c r="CG273" s="428">
        <f t="shared" si="472"/>
        <v>29</v>
      </c>
      <c r="CH273" s="428">
        <f t="shared" si="472"/>
        <v>30</v>
      </c>
      <c r="CI273" s="428">
        <f t="shared" si="472"/>
        <v>31</v>
      </c>
      <c r="CJ273" s="428">
        <f t="shared" si="472"/>
        <v>32</v>
      </c>
      <c r="CK273" s="428">
        <f t="shared" si="472"/>
        <v>33</v>
      </c>
      <c r="CL273" s="428">
        <f t="shared" si="472"/>
        <v>34</v>
      </c>
    </row>
    <row r="274" spans="1:90" ht="21.75" customHeight="1">
      <c r="A274" s="413" t="s">
        <v>3</v>
      </c>
      <c r="B274" s="683" t="str">
        <f>IF(B273="","",VLOOKUP(B273,Espesor!$C$8:$E$41,3,0))</f>
        <v/>
      </c>
      <c r="C274" s="684"/>
      <c r="D274" s="685"/>
      <c r="E274" s="683" t="str">
        <f>IF(E273="","",VLOOKUP(E273,Espesor!$C$8:$E$41,3,0))</f>
        <v/>
      </c>
      <c r="F274" s="684"/>
      <c r="G274" s="685"/>
      <c r="H274" s="683" t="str">
        <f>IF(H273="","",VLOOKUP(H273,Espesor!$C$8:$E$41,3,0))</f>
        <v/>
      </c>
      <c r="I274" s="684"/>
      <c r="J274" s="685"/>
      <c r="K274" s="683" t="str">
        <f>IF(K273="","",VLOOKUP(K273,Espesor!$C$8:$E$41,3,0))</f>
        <v/>
      </c>
      <c r="L274" s="684"/>
      <c r="M274" s="685"/>
      <c r="N274" s="683" t="str">
        <f>IF(N273="","",VLOOKUP(N273,Espesor!$C$8:$E$41,3,0))</f>
        <v/>
      </c>
      <c r="O274" s="684"/>
      <c r="P274" s="685"/>
      <c r="Q274" s="683" t="str">
        <f>IF(Q273="","",VLOOKUP(Q273,Espesor!$C$8:$E$41,3,0))</f>
        <v/>
      </c>
      <c r="R274" s="684"/>
      <c r="S274" s="685"/>
      <c r="T274" s="683" t="str">
        <f>IF(T273="","",VLOOKUP(T273,Espesor!$C$8:$E$41,3,0))</f>
        <v/>
      </c>
      <c r="U274" s="684"/>
      <c r="V274" s="685"/>
      <c r="W274" s="683" t="str">
        <f>IF(W273="","",VLOOKUP(W273,Espesor!$C$8:$E$41,3,0))</f>
        <v/>
      </c>
      <c r="X274" s="684"/>
      <c r="Y274" s="685"/>
      <c r="Z274" s="683" t="str">
        <f>IF(Z273="","",VLOOKUP(Z273,Espesor!$C$8:$E$41,3,0))</f>
        <v/>
      </c>
      <c r="AA274" s="684"/>
      <c r="AB274" s="685"/>
      <c r="AD274" s="320" t="str">
        <f>+IF(AE272="","",AE272)</f>
        <v/>
      </c>
      <c r="AE274" s="323" t="str">
        <f>IF(B248="","",IF($K$2="X - X",VLOOKUP(B248,Espesor!$C$8:$E$41,2,0),VLOOKUP(B248,Espesor!$C$8:$E$41,3,0)))</f>
        <v/>
      </c>
      <c r="AF274" s="318" t="str">
        <f>+IF(AD274="","",IF(LOOKUP(AD274,Espesor!$C$8:$C$41,Espesor!$K$8:$K$41)="en voladizo","",0.75/AE274))</f>
        <v/>
      </c>
      <c r="AG274" s="648" t="str">
        <f>IF(AF274="","",IF(AF275="","",ROUND(AF274/(AF274+AF275),3)))</f>
        <v/>
      </c>
      <c r="AH274" s="343"/>
      <c r="AI274" s="648" t="str">
        <f>IF(AF275="","",IF(AF274="","",ROUND(AF275/(AF275+AF274),3)))</f>
        <v/>
      </c>
      <c r="AJ274" s="343"/>
      <c r="AK274" s="342">
        <v>0</v>
      </c>
      <c r="AL274" s="316" t="e">
        <f>-IF(B247="","",IF($K$2="X - X",VLOOKUP(B247,'Moms de Empt'!$P$3:$T$36,3,0),VLOOKUP(B247,'Moms de Empt'!$P$3:$T$36,5,0)))</f>
        <v>#VALUE!</v>
      </c>
      <c r="AM274" s="649">
        <f>IF(AD275="",0,IF(LOOKUP(AD275,Espesor!$C$8:$C$41,Espesor!$K$8:$K$41)="en voladizo",MAX(ABS(AL274),ABS(AK275)),-(AK275+AL274)))</f>
        <v>0</v>
      </c>
      <c r="AN274" s="345"/>
      <c r="AO274" s="650" t="str">
        <f>IF(AG274="","",AM274*AG274)</f>
        <v/>
      </c>
      <c r="AP274" s="342"/>
      <c r="AQ274" s="650" t="str">
        <f>IF(AI274="","",AM274*AI274)</f>
        <v/>
      </c>
      <c r="AR274" s="342"/>
      <c r="AS274" s="651" t="e">
        <f>-IF(AM274="","",IF(AL274="",IF(AO274="",0,AO274),IF(AO274="",AL274,AL274+AO274)))</f>
        <v>#VALUE!</v>
      </c>
      <c r="AT274" s="341"/>
      <c r="AU274" s="341" t="e">
        <f>+AS274</f>
        <v>#VALUE!</v>
      </c>
      <c r="AV274" s="329" t="str">
        <f>IF(B247="","",IF(L247="X - X",VLOOKUP(B272,'Moms de Empt'!$P$3:$T$36,2,0),VLOOKUP(B272,'Moms de Empt'!$P$3:$T$36,4,0)))</f>
        <v/>
      </c>
      <c r="AW274" s="653" t="str">
        <f>IF(B274="","",IF(D276="","",IF(ABS(D280)&gt;ABS(D276),-0.5*ABS(D278),0.5*ABS(D278))))</f>
        <v/>
      </c>
      <c r="AX274" s="330"/>
      <c r="AY274" s="653" t="str">
        <f>IF(AV275="","",IF(AV274="","",ROUND(AV275/(AV275+AV274),3)))</f>
        <v/>
      </c>
      <c r="AZ274" s="330"/>
      <c r="BA274" s="331" t="str">
        <f t="shared" ref="BA274:BA281" si="473">+AV274</f>
        <v/>
      </c>
      <c r="BC274" s="422">
        <f>+A270</f>
        <v>5</v>
      </c>
      <c r="BD274" s="433" t="s">
        <v>183</v>
      </c>
      <c r="BE274" s="429">
        <f>IF(BE273=$B$273,$B$285,IF(BE273=$E$273,$E$285,IF(BE273=$H$273,$H$285,IF(BE273=$K$273,$K$285,IF(BE273=$N$273,$N$285,IF(BE273=$Q$273,$Q$285,IF(BE273=$T$273,$T$285,IF(BE273=$W$273,$W$285,IF(BE273=$Z$273,$Z$285,0)))))))))</f>
        <v>0</v>
      </c>
      <c r="BF274" s="429">
        <f t="shared" ref="BF274:CL274" si="474">IF(BF273=$B$273,$B$285,IF(BF273=$E$273,$E$285,IF(BF273=$H$273,$H$285,IF(BF273=$K$273,$K$285,IF(BF273=$N$273,$N$285,IF(BF273=$Q$273,$Q$285,IF(BF273=$T$273,$T$285,IF(BF273=$W$273,$W$285,IF(BF273=$Z$273,$Z$285,0)))))))))</f>
        <v>0</v>
      </c>
      <c r="BG274" s="429">
        <f t="shared" si="474"/>
        <v>0</v>
      </c>
      <c r="BH274" s="429">
        <f t="shared" si="474"/>
        <v>0</v>
      </c>
      <c r="BI274" s="429">
        <f t="shared" si="474"/>
        <v>0</v>
      </c>
      <c r="BJ274" s="429">
        <f t="shared" si="474"/>
        <v>0</v>
      </c>
      <c r="BK274" s="429">
        <f t="shared" si="474"/>
        <v>0</v>
      </c>
      <c r="BL274" s="429">
        <f t="shared" si="474"/>
        <v>0</v>
      </c>
      <c r="BM274" s="429">
        <f t="shared" si="474"/>
        <v>0</v>
      </c>
      <c r="BN274" s="429">
        <f t="shared" si="474"/>
        <v>0</v>
      </c>
      <c r="BO274" s="429">
        <f t="shared" si="474"/>
        <v>0</v>
      </c>
      <c r="BP274" s="429">
        <f t="shared" si="474"/>
        <v>0</v>
      </c>
      <c r="BQ274" s="429">
        <f t="shared" si="474"/>
        <v>0</v>
      </c>
      <c r="BR274" s="429">
        <f t="shared" si="474"/>
        <v>0</v>
      </c>
      <c r="BS274" s="429">
        <f t="shared" si="474"/>
        <v>0</v>
      </c>
      <c r="BT274" s="429">
        <f t="shared" si="474"/>
        <v>0</v>
      </c>
      <c r="BU274" s="429">
        <f t="shared" si="474"/>
        <v>0</v>
      </c>
      <c r="BV274" s="429">
        <f t="shared" si="474"/>
        <v>0</v>
      </c>
      <c r="BW274" s="429">
        <f t="shared" si="474"/>
        <v>0</v>
      </c>
      <c r="BX274" s="429">
        <f t="shared" si="474"/>
        <v>0</v>
      </c>
      <c r="BY274" s="429">
        <f t="shared" si="474"/>
        <v>0</v>
      </c>
      <c r="BZ274" s="429">
        <f t="shared" si="474"/>
        <v>0</v>
      </c>
      <c r="CA274" s="429">
        <f t="shared" si="474"/>
        <v>0</v>
      </c>
      <c r="CB274" s="429">
        <f t="shared" si="474"/>
        <v>0</v>
      </c>
      <c r="CC274" s="429">
        <f t="shared" si="474"/>
        <v>0</v>
      </c>
      <c r="CD274" s="429">
        <f t="shared" si="474"/>
        <v>0</v>
      </c>
      <c r="CE274" s="429">
        <f t="shared" si="474"/>
        <v>0</v>
      </c>
      <c r="CF274" s="429">
        <f t="shared" si="474"/>
        <v>0</v>
      </c>
      <c r="CG274" s="429">
        <f t="shared" si="474"/>
        <v>0</v>
      </c>
      <c r="CH274" s="429">
        <f t="shared" si="474"/>
        <v>0</v>
      </c>
      <c r="CI274" s="429">
        <f t="shared" si="474"/>
        <v>0</v>
      </c>
      <c r="CJ274" s="429">
        <f t="shared" si="474"/>
        <v>0</v>
      </c>
      <c r="CK274" s="429">
        <f t="shared" si="474"/>
        <v>0</v>
      </c>
      <c r="CL274" s="429">
        <f t="shared" si="474"/>
        <v>0</v>
      </c>
    </row>
    <row r="275" spans="1:90" ht="21.75" customHeight="1">
      <c r="A275" s="257" t="s">
        <v>65</v>
      </c>
      <c r="B275" s="679" t="str">
        <f>+IF(B273="","",IF(LOOKUP(B273,Espesor!$C$8:$C$41,Espesor!$K$8:$K$41)="en voladizo","",0.75/B274))</f>
        <v/>
      </c>
      <c r="C275" s="680"/>
      <c r="D275" s="681"/>
      <c r="E275" s="679" t="str">
        <f>IF(E273="","",IF(LOOKUP(E273,Espesor!$C$8:$C$41,Espesor!$K$8:$K$41)="en voladizo","",IF(H273="",0.75/E274,1/E274)))</f>
        <v/>
      </c>
      <c r="F275" s="680"/>
      <c r="G275" s="681"/>
      <c r="H275" s="679" t="str">
        <f>IF(H273="","",IF(LOOKUP(H273,Espesor!$C$8:$C$41,Espesor!$K$8:$K$41)="en voladizo","",IF(K273="",0.75/H274,1/H274)))</f>
        <v/>
      </c>
      <c r="I275" s="680"/>
      <c r="J275" s="681"/>
      <c r="K275" s="679" t="str">
        <f>IF(K273="","",IF(LOOKUP(K273,Espesor!$C$8:$C$41,Espesor!$K$8:$K$41)="en voladizo","",IF(N273="",0.75/K274,1/K274)))</f>
        <v/>
      </c>
      <c r="L275" s="680"/>
      <c r="M275" s="681"/>
      <c r="N275" s="679" t="str">
        <f>IF(N273="","",IF(LOOKUP(N273,Espesor!$C$8:$C$41,Espesor!$K$8:$K$41)="en voladizo","",IF(Q273="",0.75/N274,1/N274)))</f>
        <v/>
      </c>
      <c r="O275" s="680"/>
      <c r="P275" s="681"/>
      <c r="Q275" s="679" t="str">
        <f>IF(Q273="","",IF(LOOKUP(Q273,Espesor!$C$8:$C$41,Espesor!$K$8:$K$41)="en voladizo","",IF(T273="",0.75/Q274,1/Q274)))</f>
        <v/>
      </c>
      <c r="R275" s="680"/>
      <c r="S275" s="681"/>
      <c r="T275" s="679" t="str">
        <f>IF(T273="","",IF(LOOKUP(T273,Espesor!$C$8:$C$41,Espesor!$K$8:$K$41)="en voladizo","",IF(W273="",0.75/T274,1/T274)))</f>
        <v/>
      </c>
      <c r="U275" s="680"/>
      <c r="V275" s="681"/>
      <c r="W275" s="679" t="str">
        <f>IF(W273="","",IF(LOOKUP(W273,Espesor!$C$8:$C$41,Espesor!$K$8:$K$41)="en voladizo","",IF(Z273="",0.75/W274,1/W274)))</f>
        <v/>
      </c>
      <c r="X275" s="680"/>
      <c r="Y275" s="681"/>
      <c r="Z275" s="679" t="str">
        <f>IF(Z273="","",IF(LOOKUP(Z273,Espesor!$C$8:$C$41,Espesor!$K$8:$K$41)="en voladizo","",IF(AC273="",0.75/Z274,1/Z274)))</f>
        <v/>
      </c>
      <c r="AA275" s="680"/>
      <c r="AB275" s="681"/>
      <c r="AD275" s="321" t="str">
        <f>+IF(AF272="","",AF272)</f>
        <v/>
      </c>
      <c r="AE275" s="324" t="str">
        <f>IF(C247="","",IF($K$2="X - X",VLOOKUP(C247,Espesor!$C$8:$E$41,2,0),VLOOKUP(C247,Espesor!$C$8:$E$41,3,0)))</f>
        <v/>
      </c>
      <c r="AF275" s="319" t="str">
        <f>IF(AD275="","",IF(LOOKUP(AD275,Espesor!$C$8:$C$41,Espesor!$K$8:$K$41)="en voladizo","",IF(AD276="",0.75/AE275,1/AE275)))</f>
        <v/>
      </c>
      <c r="AG275" s="634"/>
      <c r="AH275" s="634" t="str">
        <f>IF(AF275="","",IF(AF276="","",ROUND(AF275/(AF275+AF276),3)))</f>
        <v/>
      </c>
      <c r="AI275" s="634"/>
      <c r="AJ275" s="634" t="str">
        <f>IF(AF275="","",IF(AF276="","",ROUND(AF276/(AF275+AF276),3)))</f>
        <v/>
      </c>
      <c r="AK275" s="317">
        <f>IF(C247="",0,IF($K$2="X - X",VLOOKUP(C247,'Moms de Empt'!$P$3:$T$36,3,0),VLOOKUP(C247,'Moms de Empt'!$P$3:$T$36,5,0)))</f>
        <v>0</v>
      </c>
      <c r="AL275" s="317">
        <f>+IF(AD276="",0,-AK275)</f>
        <v>0</v>
      </c>
      <c r="AM275" s="629"/>
      <c r="AN275" s="629" t="e">
        <f>IF(AD276="",0,IF(LOOKUP(AD276,Espesor!$C$8:$C$41,Espesor!$K$8:$K$41)="en voladizo",MAX(ABS(AL275),ABS(AK276)),-(AK276+AL275)))</f>
        <v>#N/A</v>
      </c>
      <c r="AO275" s="630"/>
      <c r="AP275" s="630" t="str">
        <f>IF(AH275="","",AN275*AH275)</f>
        <v/>
      </c>
      <c r="AQ275" s="630"/>
      <c r="AR275" s="630" t="str">
        <f>IF(AJ275="","",AN275*AJ275)</f>
        <v/>
      </c>
      <c r="AS275" s="652"/>
      <c r="AT275" s="631" t="e">
        <f>-IF(AN275="","",IF(AL275="",IF(AP275="",0,AP275),IF(AP275="",AL275,AL275+AP275)))</f>
        <v>#N/A</v>
      </c>
      <c r="AU275" s="341" t="e">
        <f>+AT275</f>
        <v>#N/A</v>
      </c>
      <c r="AV275" s="332" t="str">
        <f>IF(E272="","",IF(L247="X - X",VLOOKUP(E272,'Moms de Empt'!$P$3:$T$36,2,0),VLOOKUP(E272,'Moms de Empt'!$P$3:$T$36,4,0)))</f>
        <v/>
      </c>
      <c r="AW275" s="635"/>
      <c r="AX275" s="633" t="str">
        <f>IF(AV275="","",IF(AV276="","",ROUND(AV275/(AV275+AV276),3)))</f>
        <v/>
      </c>
      <c r="AY275" s="635"/>
      <c r="AZ275" s="633" t="str">
        <f>IF(AV275="","",IF(AV276="","",ROUND(AV276/(AV275+AV276),3)))</f>
        <v/>
      </c>
      <c r="BA275" s="331" t="str">
        <f t="shared" si="473"/>
        <v/>
      </c>
      <c r="BC275" s="422"/>
      <c r="BD275" s="398"/>
      <c r="BE275" s="28"/>
    </row>
    <row r="276" spans="1:90" ht="21.75" customHeight="1">
      <c r="A276" s="247" t="s">
        <v>123</v>
      </c>
      <c r="B276" s="29"/>
      <c r="C276" s="30"/>
      <c r="D276" s="31">
        <f>IF(B275="",0,IF(E275="",0,ROUND(B275/(B275+E275),3)))</f>
        <v>0</v>
      </c>
      <c r="E276" s="29">
        <f>IF(E275="",0,IF(B275="",0,ROUND(E275/(E275+B275),3)))</f>
        <v>0</v>
      </c>
      <c r="F276" s="30"/>
      <c r="G276" s="31">
        <f>IF(E275="",0,IF(H275="",0,ROUND(E275/(E275+H275),3)))</f>
        <v>0</v>
      </c>
      <c r="H276" s="29">
        <f>IF(H275="",0,IF(E275="",0,ROUND(H275/(H275+E275),3)))</f>
        <v>0</v>
      </c>
      <c r="I276" s="30"/>
      <c r="J276" s="31">
        <f>IF(H275="",0,IF(K275="",0,ROUND(H275/(H275+K275),3)))</f>
        <v>0</v>
      </c>
      <c r="K276" s="29">
        <f>IF(K275="",0,IF(H275="",0,ROUND(K275/(K275+H275),3)))</f>
        <v>0</v>
      </c>
      <c r="L276" s="30"/>
      <c r="M276" s="31">
        <f>IF(K275="",0,IF(N275="",0,ROUND(K275/(K275+N275),3)))</f>
        <v>0</v>
      </c>
      <c r="N276" s="29">
        <f>IF(N275="",0,IF(K275="",0,ROUND(N275/(N275+K275),3)))</f>
        <v>0</v>
      </c>
      <c r="O276" s="30"/>
      <c r="P276" s="31">
        <f>IF(N275="",0,IF(Q275="",0,ROUND(N275/(N275+Q275),3)))</f>
        <v>0</v>
      </c>
      <c r="Q276" s="29">
        <f>IF(Q275="",0,IF(N275="",0,ROUND(Q275/(Q275+N275),3)))</f>
        <v>0</v>
      </c>
      <c r="R276" s="30"/>
      <c r="S276" s="31">
        <f>IF(Q275="",0,IF(T275="",0,ROUND(Q275/(Q275+T275),3)))</f>
        <v>0</v>
      </c>
      <c r="T276" s="29">
        <f>IF(T275="",0,IF(Q275="",0,ROUND(T275/(T275+Q275),3)))</f>
        <v>0</v>
      </c>
      <c r="U276" s="30"/>
      <c r="V276" s="31">
        <f>IF(T275="",0,IF(W275="",0,ROUND(T275/(T275+W275),3)))</f>
        <v>0</v>
      </c>
      <c r="W276" s="29">
        <f>IF(W275="",0,IF(T275="",0,ROUND(W275/(W275+T275),3)))</f>
        <v>0</v>
      </c>
      <c r="X276" s="30"/>
      <c r="Y276" s="31">
        <f>IF(W275="",0,IF(Z275="",0,ROUND(W275/(W275+Z275),3)))</f>
        <v>0</v>
      </c>
      <c r="Z276" s="29">
        <f>IF(Z275="",0,IF(W275="",0,ROUND(Z275/(Z275+W275),3)))</f>
        <v>0</v>
      </c>
      <c r="AA276" s="30"/>
      <c r="AB276" s="31">
        <f>IF(Z275="",0,IF(AC275="",0,ROUND(Z275/(Z275+AC275),3)))</f>
        <v>0</v>
      </c>
      <c r="AD276" s="321">
        <f>+IF(AG272="","",AG272)</f>
        <v>0</v>
      </c>
      <c r="AE276" s="324" t="str">
        <f>IF(C248="","",IF($K$2="X - X",VLOOKUP(C248,Espesor!$C$8:$E$41,2,0),VLOOKUP(C248,Espesor!$C$8:$E$41,3,0)))</f>
        <v/>
      </c>
      <c r="AF276" s="319" t="e">
        <f>IF(AD276="","",IF(LOOKUP(AD276,Espesor!$C$8:$C$41,Espesor!$K$8:$K$41)="en voladizo","",IF(AD277="",0.75/AE276,1/AE276)))</f>
        <v>#N/A</v>
      </c>
      <c r="AG276" s="634" t="e">
        <f>IF(AF276="","",IF(AF277="","",ROUND(AF276/(AF276+AF277),3)))</f>
        <v>#N/A</v>
      </c>
      <c r="AH276" s="634"/>
      <c r="AI276" s="634" t="str">
        <f>IF(AF277="","",IF(AF276="","",ROUND(AF277/(AF277+AF276),3)))</f>
        <v/>
      </c>
      <c r="AJ276" s="634"/>
      <c r="AK276" s="317" t="e">
        <f>IF(D247="",0,IF($K$2="X - X",VLOOKUP(D247,'Moms de Empt'!$P$3:$T$36,3,0),VLOOKUP(D247,'Moms de Empt'!$P$3:$T$36,5,0)))</f>
        <v>#N/A</v>
      </c>
      <c r="AL276" s="317">
        <f>+IF(AD277="",0,-AK276)</f>
        <v>0</v>
      </c>
      <c r="AM276" s="629">
        <f>IF(AD277="",0,IF(LOOKUP(AD277,Espesor!$C$8:$C$41,Espesor!$K$8:$K$41)="en voladizo",MAX(ABS(AL276),ABS(AK277)),-(AK277+AL276)))</f>
        <v>0</v>
      </c>
      <c r="AN276" s="629"/>
      <c r="AO276" s="630" t="e">
        <f>IF(AG276="","",AM276*AG276)</f>
        <v>#N/A</v>
      </c>
      <c r="AP276" s="630"/>
      <c r="AQ276" s="630" t="str">
        <f>IF(AI276="","",AM276*AI276)</f>
        <v/>
      </c>
      <c r="AR276" s="630"/>
      <c r="AS276" s="631" t="e">
        <f>-IF(AM276="","",IF(AL276="",IF(AO276="",0,AO276),IF(AO276="",AL276,AL276+AO276)))</f>
        <v>#N/A</v>
      </c>
      <c r="AT276" s="632"/>
      <c r="AU276" s="341" t="e">
        <f>+AS276</f>
        <v>#N/A</v>
      </c>
      <c r="AV276" s="332" t="str">
        <f>IF(H272="","",IF(L247="X - X",VLOOKUP(H272,'Moms de Empt'!$P$3:$T$36,2,0),VLOOKUP(H272,'Moms de Empt'!$P$3:$T$36,4,0)))</f>
        <v/>
      </c>
      <c r="AW276" s="635" t="str">
        <f>IF(AV276="","",IF(AV277="","",ROUND(AV276/(AV276+AV277),3)))</f>
        <v/>
      </c>
      <c r="AX276" s="633"/>
      <c r="AY276" s="635" t="str">
        <f>IF(AV277="","",IF(AV276="","",ROUND(AV277/(AV277+AV276),3)))</f>
        <v/>
      </c>
      <c r="AZ276" s="633"/>
      <c r="BA276" s="331" t="str">
        <f t="shared" si="473"/>
        <v/>
      </c>
      <c r="BC276" s="422"/>
      <c r="BD276" s="398"/>
      <c r="BE276" s="429"/>
    </row>
    <row r="277" spans="1:90" ht="21.75" customHeight="1">
      <c r="A277" s="248" t="s">
        <v>124</v>
      </c>
      <c r="B277" s="249"/>
      <c r="C277" s="34"/>
      <c r="D277" s="33" t="str">
        <f>IF(B273="","",-VLOOKUP(B273,'Moms de Empt'!$P$3:$T$36,5,0))</f>
        <v/>
      </c>
      <c r="E277" s="33" t="str">
        <f>IF(E273="","",VLOOKUP(E273,'Moms de Empt'!$P$3:$T$36,5,0))</f>
        <v/>
      </c>
      <c r="F277" s="34"/>
      <c r="G277" s="33" t="str">
        <f>IF(E273="","",-VLOOKUP(E273,'Moms de Empt'!$P$3:$T$36,5,0))</f>
        <v/>
      </c>
      <c r="H277" s="33" t="str">
        <f>IF(H273="","",VLOOKUP(H273,'Moms de Empt'!$P$3:$T$36,5,0))</f>
        <v/>
      </c>
      <c r="I277" s="34"/>
      <c r="J277" s="33" t="str">
        <f>IF(H273="","",-VLOOKUP(H273,'Moms de Empt'!$P$3:$T$36,5,0))</f>
        <v/>
      </c>
      <c r="K277" s="33" t="str">
        <f>IF(K273="","",VLOOKUP(K273,'Moms de Empt'!$P$3:$T$36,5,0))</f>
        <v/>
      </c>
      <c r="L277" s="34"/>
      <c r="M277" s="33" t="str">
        <f>IF(K273="","",-VLOOKUP(K273,'Moms de Empt'!$P$3:$T$36,5,0))</f>
        <v/>
      </c>
      <c r="N277" s="33" t="str">
        <f>IF(N273="","",VLOOKUP(N273,'Moms de Empt'!$P$3:$T$36,5,0))</f>
        <v/>
      </c>
      <c r="O277" s="34"/>
      <c r="P277" s="33" t="str">
        <f>IF(N273="","",-VLOOKUP(N273,'Moms de Empt'!$P$3:$T$36,5,0))</f>
        <v/>
      </c>
      <c r="Q277" s="33" t="str">
        <f>IF(Q273="","",VLOOKUP(Q273,'Moms de Empt'!$P$3:$T$36,5,0))</f>
        <v/>
      </c>
      <c r="R277" s="34"/>
      <c r="S277" s="33" t="str">
        <f>IF(Q273="","",-VLOOKUP(Q273,'Moms de Empt'!$P$3:$T$36,5,0))</f>
        <v/>
      </c>
      <c r="T277" s="33" t="str">
        <f>IF(T273="","",VLOOKUP(T273,'Moms de Empt'!$P$3:$T$36,5,0))</f>
        <v/>
      </c>
      <c r="U277" s="34"/>
      <c r="V277" s="33" t="str">
        <f>IF(T273="","",-VLOOKUP(T273,'Moms de Empt'!$P$3:$T$36,5,0))</f>
        <v/>
      </c>
      <c r="W277" s="33" t="str">
        <f>IF(W273="","",VLOOKUP(W273,'Moms de Empt'!$P$3:$T$36,5,0))</f>
        <v/>
      </c>
      <c r="X277" s="34"/>
      <c r="Y277" s="33" t="str">
        <f>IF(W273="","",-VLOOKUP(W273,'Moms de Empt'!$P$3:$T$36,5,0))</f>
        <v/>
      </c>
      <c r="Z277" s="33" t="str">
        <f>IF(Z273="","",VLOOKUP(Z273,'Moms de Empt'!$P$3:$T$36,5,0))</f>
        <v/>
      </c>
      <c r="AA277" s="34"/>
      <c r="AB277" s="33"/>
      <c r="AD277" s="321" t="str">
        <f>+IF(AH272="","",AH272)</f>
        <v/>
      </c>
      <c r="AE277" s="324" t="str">
        <f>IF(K272="","",IF($K$2="X - X",VLOOKUP(K272,Espesor!$C$8:$E$41,2,0),VLOOKUP(K272,Espesor!$C$8:$E$41,3,0)))</f>
        <v/>
      </c>
      <c r="AF277" s="319" t="str">
        <f>IF(AD277="","",IF(LOOKUP(AD277,Espesor!$C$8:$C$41,Espesor!$K$8:$K$41)="en voladizo","",IF(AD278="",0.75/AE277,1/AE277)))</f>
        <v/>
      </c>
      <c r="AG277" s="634"/>
      <c r="AH277" s="634" t="str">
        <f>IF(AF277="","",IF(AF278="","",ROUND(AF277/(AF277+AF278),3)))</f>
        <v/>
      </c>
      <c r="AI277" s="634"/>
      <c r="AJ277" s="634" t="str">
        <f>IF(AF277="","",IF(AF278="","",ROUND(AF278/(AF277+AF278),3)))</f>
        <v/>
      </c>
      <c r="AK277" s="317">
        <f>IF(E247="",0,IF($K$2="X - X",VLOOKUP(E247,'Moms de Empt'!$P$3:$T$36,3,0),VLOOKUP(E247,'Moms de Empt'!$P$3:$T$36,5,0)))</f>
        <v>0</v>
      </c>
      <c r="AL277" s="317">
        <f t="shared" ref="AL277:AL279" si="475">+IF(AD278="",0,-AK277)</f>
        <v>0</v>
      </c>
      <c r="AM277" s="629"/>
      <c r="AN277" s="629">
        <f>IF(AD278="",0,IF(LOOKUP(AD278,Espesor!$C$8:$C$41,Espesor!$K$8:$K$41)="en voladizo",MAX(ABS(AL277),ABS(AK278)),-(AK278+AL277)))</f>
        <v>0</v>
      </c>
      <c r="AO277" s="630"/>
      <c r="AP277" s="630" t="str">
        <f t="shared" ref="AP277" si="476">IF(AH277="","",AN277*AH277)</f>
        <v/>
      </c>
      <c r="AQ277" s="630"/>
      <c r="AR277" s="630" t="str">
        <f t="shared" ref="AR277" si="477">IF(AJ277="","",AN277*AJ277)</f>
        <v/>
      </c>
      <c r="AS277" s="632"/>
      <c r="AT277" s="631">
        <f t="shared" ref="AT277" si="478">-IF(AN277="","",IF(AL277="",IF(AP277="",0,AP277),IF(AP277="",AL277,AL277+AP277)))</f>
        <v>0</v>
      </c>
      <c r="AU277" s="341">
        <f>+AT277</f>
        <v>0</v>
      </c>
      <c r="AV277" s="332" t="str">
        <f>IF(K272="","",IF(L247="X - X",VLOOKUP(K272,'Moms de Empt'!$P$3:$T$36,2,0),VLOOKUP(K272,'Moms de Empt'!$P$3:$T$36,4,0)))</f>
        <v/>
      </c>
      <c r="AW277" s="635"/>
      <c r="AX277" s="633" t="str">
        <f>IF(AV277="","",IF(AV278="","",ROUND(AV277/(AV277+AV278),3)))</f>
        <v/>
      </c>
      <c r="AY277" s="635"/>
      <c r="AZ277" s="633" t="str">
        <f>IF(AV277="","",IF(AV278="","",ROUND(AV278/(AV277+AV278),3)))</f>
        <v/>
      </c>
      <c r="BA277" s="331" t="str">
        <f t="shared" si="473"/>
        <v/>
      </c>
      <c r="BC277" s="422"/>
      <c r="BD277" s="398"/>
      <c r="BE277" s="413"/>
    </row>
    <row r="278" spans="1:90" ht="21.75" customHeight="1">
      <c r="A278" s="250" t="s">
        <v>125</v>
      </c>
      <c r="B278" s="272"/>
      <c r="C278" s="406"/>
      <c r="D278" s="678">
        <f>+IF(E273="",0,IF(LOOKUP(E273,Espesor!$C$8:$C$41,Espesor!$K$8:$K$41)="en voladizo",IF(LOOKUP(B273,Espesor!$C$8:$C$41,Espesor!$K$8:$K$41)="en voladizo","Inestable",MAX(ABS(D277),ABS(E277))),IF(LOOKUP(B273,Espesor!$C$8:$C$41,Espesor!$K$8:$K$41)="en voladizo",MAX(ABS(D277),ABS(E277)),-(E277+D277))))</f>
        <v>0</v>
      </c>
      <c r="E278" s="678"/>
      <c r="F278" s="406"/>
      <c r="G278" s="678">
        <f>+IF(H273="",0,IF(LOOKUP(H273,Espesor!$C$8:$C$41,Espesor!$K$8:$K$41)="en voladizo",IF(LOOKUP(E273,Espesor!$C$8:$C$41,Espesor!$K$8:$K$41)="en voladizo","Inestable",MAX(ABS(G277),ABS(H277))),IF(LOOKUP(E273,Espesor!$C$8:$C$41,Espesor!$K$8:$K$41)="en voladizo",MAX(ABS(G277),ABS(H277)),-(H277+G277))))</f>
        <v>0</v>
      </c>
      <c r="H278" s="678"/>
      <c r="I278" s="406"/>
      <c r="J278" s="678">
        <f>+IF(K273="",0,IF(LOOKUP(K273,Espesor!$C$8:$C$41,Espesor!$K$8:$K$41)="en voladizo",IF(LOOKUP(H273,Espesor!$C$8:$C$41,Espesor!$K$8:$K$41)="en voladizo","Inestable",MAX(ABS(J277),ABS(K277))),IF(LOOKUP(H273,Espesor!$C$8:$C$41,Espesor!$K$8:$K$41)="en voladizo",MAX(ABS(J277),ABS(K277)),-(K277+J277))))</f>
        <v>0</v>
      </c>
      <c r="K278" s="678"/>
      <c r="L278" s="406"/>
      <c r="M278" s="678">
        <f>+IF(N273="",0,IF(LOOKUP(N273,Espesor!$C$8:$C$41,Espesor!$K$8:$K$41)="en voladizo",IF(LOOKUP(K273,Espesor!$C$8:$C$41,Espesor!$K$8:$K$41)="en voladizo","Inestable",MAX(ABS(M277),ABS(N277))),IF(LOOKUP(K273,Espesor!$C$8:$C$41,Espesor!$K$8:$K$41)="en voladizo",MAX(ABS(M277),ABS(N277)),-(N277+M277))))</f>
        <v>0</v>
      </c>
      <c r="N278" s="678"/>
      <c r="O278" s="406"/>
      <c r="P278" s="678">
        <f>+IF(Q273="",0,IF(LOOKUP(Q273,Espesor!$C$8:$C$41,Espesor!$K$8:$K$41)="en voladizo",IF(LOOKUP(N273,Espesor!$C$8:$C$41,Espesor!$K$8:$K$41)="en voladizo","Inestable",MAX(ABS(P277),ABS(Q277))),IF(LOOKUP(N273,Espesor!$C$8:$C$41,Espesor!$K$8:$K$41)="en voladizo",MAX(ABS(P277),ABS(Q277)),-(Q277+P277))))</f>
        <v>0</v>
      </c>
      <c r="Q278" s="678"/>
      <c r="R278" s="406"/>
      <c r="S278" s="678">
        <f>+IF(T273="",0,IF(LOOKUP(T273,Espesor!$C$8:$C$41,Espesor!$K$8:$K$41)="en voladizo",IF(LOOKUP(Q273,Espesor!$C$8:$C$41,Espesor!$K$8:$K$41)="en voladizo","Inestable",MAX(ABS(S277),ABS(T277))),IF(LOOKUP(Q273,Espesor!$C$8:$C$41,Espesor!$K$8:$K$41)="en voladizo",MAX(ABS(S277),ABS(T277)),-(T277+S277))))</f>
        <v>0</v>
      </c>
      <c r="T278" s="678"/>
      <c r="U278" s="406"/>
      <c r="V278" s="678">
        <f>+IF(W273="",0,IF(LOOKUP(W273,Espesor!$C$8:$C$41,Espesor!$K$8:$K$41)="en voladizo",IF(LOOKUP(T273,Espesor!$C$8:$C$41,Espesor!$K$8:$K$41)="en voladizo","Inestable",MAX(ABS(V277),ABS(W277))),IF(LOOKUP(T273,Espesor!$C$8:$C$41,Espesor!$K$8:$K$41)="en voladizo",MAX(ABS(V277),ABS(W277)),-(W277+V277))))</f>
        <v>0</v>
      </c>
      <c r="W278" s="678"/>
      <c r="X278" s="406"/>
      <c r="Y278" s="678">
        <f>+IF(Z273="",0,IF(LOOKUP(Z273,Espesor!$C$8:$C$41,Espesor!$K$8:$K$41)="en voladizo",IF(LOOKUP(W273,Espesor!$C$8:$C$41,Espesor!$K$8:$K$41)="en voladizo","Inestable",MAX(ABS(Y277),ABS(Z277))),IF(LOOKUP(W273,Espesor!$C$8:$C$41,Espesor!$K$8:$K$41)="en voladizo",MAX(ABS(Y277),ABS(Z277)),-(Z277+Y277))))</f>
        <v>0</v>
      </c>
      <c r="Z278" s="678"/>
      <c r="AA278" s="406"/>
      <c r="AB278" s="252"/>
      <c r="AD278" s="321" t="str">
        <f>+IF(AI272="","",AI272)</f>
        <v/>
      </c>
      <c r="AE278" s="324" t="str">
        <f>IF(N272="","",IF($K$2="X - X",VLOOKUP(N272,Espesor!$C$8:$E$41,2,0),VLOOKUP(N272,Espesor!$C$8:$E$41,3,0)))</f>
        <v/>
      </c>
      <c r="AF278" s="319" t="str">
        <f>IF(AD278="","",IF(LOOKUP(AD278,Espesor!$C$8:$C$41,Espesor!$K$8:$K$41)="en voladizo","",IF(AD279="",0.75/AE278,1/AE278)))</f>
        <v/>
      </c>
      <c r="AG278" s="634" t="str">
        <f>IF(AF278="","",IF(AF279="","",ROUND(AF278/(AF278+AF279),3)))</f>
        <v/>
      </c>
      <c r="AH278" s="634"/>
      <c r="AI278" s="634" t="e">
        <f>IF(AF279="","",IF(AF278="","",ROUND(AF279/(AF279+AF278),3)))</f>
        <v>#N/A</v>
      </c>
      <c r="AJ278" s="634"/>
      <c r="AK278" s="317">
        <f>IF(F247="",0,IF($K$2="X - X",VLOOKUP(F247,'Moms de Empt'!$P$3:$T$36,3,0),VLOOKUP(F247,'Moms de Empt'!$P$3:$T$36,5,0)))</f>
        <v>0</v>
      </c>
      <c r="AL278" s="317">
        <f t="shared" si="475"/>
        <v>0</v>
      </c>
      <c r="AM278" s="629" t="e">
        <f>IF(AD279="",0,IF(LOOKUP(AD279,Espesor!$C$8:$C$41,Espesor!$K$8:$K$41)="en voladizo",MAX(ABS(AL278),ABS(AK279)),-(AK279+AL278)))</f>
        <v>#N/A</v>
      </c>
      <c r="AN278" s="629"/>
      <c r="AO278" s="630" t="str">
        <f t="shared" ref="AO278" si="479">IF(AG278="","",AM278*AG278)</f>
        <v/>
      </c>
      <c r="AP278" s="630"/>
      <c r="AQ278" s="630" t="e">
        <f t="shared" ref="AQ278" si="480">IF(AI278="","",AM278*AI278)</f>
        <v>#N/A</v>
      </c>
      <c r="AR278" s="630"/>
      <c r="AS278" s="631" t="e">
        <f>-IF(AM278="","",IF(AL278="",IF(AO278="",0,AO278),IF(AO278="",AL278,AL278+AO278)))</f>
        <v>#N/A</v>
      </c>
      <c r="AT278" s="632"/>
      <c r="AU278" s="341" t="e">
        <f>+AS278</f>
        <v>#N/A</v>
      </c>
      <c r="AV278" s="332" t="str">
        <f>IF(N272="","",IF(L247="X - X",VLOOKUP(N272,'Moms de Empt'!$P$3:$T$36,2,0),VLOOKUP(N272,'Moms de Empt'!$P$3:$T$36,4,0)))</f>
        <v/>
      </c>
      <c r="AW278" s="635" t="str">
        <f>IF(AV278="","",IF(AV279="","",ROUND(AV278/(AV278+AV279),3)))</f>
        <v/>
      </c>
      <c r="AX278" s="633"/>
      <c r="AY278" s="635" t="str">
        <f>IF(AV279="","",IF(AV278="","",ROUND(AV279/(AV279+AV278),3)))</f>
        <v/>
      </c>
      <c r="AZ278" s="633"/>
      <c r="BA278" s="331" t="str">
        <f t="shared" si="473"/>
        <v/>
      </c>
      <c r="BC278" s="401"/>
      <c r="BD278" s="398"/>
      <c r="BE278" s="391"/>
    </row>
    <row r="279" spans="1:90" ht="21.75" customHeight="1">
      <c r="A279" s="253" t="s">
        <v>126</v>
      </c>
      <c r="B279" s="29"/>
      <c r="C279" s="30"/>
      <c r="D279" s="254">
        <f>IF(D276="","",D278*D276)</f>
        <v>0</v>
      </c>
      <c r="E279" s="30">
        <f>IF(E276="","",D278*E276)</f>
        <v>0</v>
      </c>
      <c r="F279" s="30"/>
      <c r="G279" s="277">
        <f>IF(G276="","",G278*G276)</f>
        <v>0</v>
      </c>
      <c r="H279" s="278">
        <f>IF(H276="","",G278*H276)</f>
        <v>0</v>
      </c>
      <c r="I279" s="30"/>
      <c r="J279" s="254">
        <f>IF(J276="","",J278*J276)</f>
        <v>0</v>
      </c>
      <c r="K279" s="30">
        <f>IF(K276="","",J278*K276)</f>
        <v>0</v>
      </c>
      <c r="L279" s="30"/>
      <c r="M279" s="254">
        <f>IF(M276="","",M278*M276)</f>
        <v>0</v>
      </c>
      <c r="N279" s="30">
        <f>IF(N276="","",M278*N276)</f>
        <v>0</v>
      </c>
      <c r="O279" s="30"/>
      <c r="P279" s="254">
        <f>IF(P276="","",P278*P276)</f>
        <v>0</v>
      </c>
      <c r="Q279" s="30">
        <f>IF(Q276="","",P278*Q276)</f>
        <v>0</v>
      </c>
      <c r="R279" s="30"/>
      <c r="S279" s="254">
        <f>IF(S276="","",S278*S276)</f>
        <v>0</v>
      </c>
      <c r="T279" s="30">
        <f>IF(T276="","",S278*T276)</f>
        <v>0</v>
      </c>
      <c r="U279" s="30"/>
      <c r="V279" s="254">
        <f>IF(V276="","",V278*V276)</f>
        <v>0</v>
      </c>
      <c r="W279" s="30">
        <f>IF(W276="","",V278*W276)</f>
        <v>0</v>
      </c>
      <c r="X279" s="30"/>
      <c r="Y279" s="254">
        <f>IF(Y276="","",Y278*Y276)</f>
        <v>0</v>
      </c>
      <c r="Z279" s="30">
        <f>IF(Z276="","",Y278*Z276)</f>
        <v>0</v>
      </c>
      <c r="AA279" s="30"/>
      <c r="AB279" s="31"/>
      <c r="AD279" s="321">
        <f>+IF(AJ272="","",AJ272)</f>
        <v>0</v>
      </c>
      <c r="AE279" s="324" t="str">
        <f>IF(Q272="","",IF($K$2="X - X",VLOOKUP(Q272,Espesor!$C$8:$E$41,2,0),VLOOKUP(Q272,Espesor!$C$8:$E$41,3,0)))</f>
        <v/>
      </c>
      <c r="AF279" s="319" t="e">
        <f>IF(AD279="","",IF(LOOKUP(AD279,Espesor!$C$8:$C$41,Espesor!$K$8:$K$41)="en voladizo","",IF(AD280="",0.75/AE279,1/AE279)))</f>
        <v>#N/A</v>
      </c>
      <c r="AG279" s="634"/>
      <c r="AH279" s="634" t="e">
        <f>IF(AF279="","",IF(AF280="","",ROUND(AF279/(AF279+AF280),3)))</f>
        <v>#N/A</v>
      </c>
      <c r="AI279" s="634"/>
      <c r="AJ279" s="634" t="e">
        <f>IF(AF279="","",IF(AF280="","",ROUND(AF280/(AF279+AF280),3)))</f>
        <v>#N/A</v>
      </c>
      <c r="AK279" s="317" t="e">
        <f>IF(G247="",0,IF($K$2="X - X",VLOOKUP(G247,'Moms de Empt'!$P$3:$T$36,3,0),VLOOKUP(G247,'Moms de Empt'!$P$3:$T$36,5,0)))</f>
        <v>#N/A</v>
      </c>
      <c r="AL279" s="317">
        <f t="shared" si="475"/>
        <v>0</v>
      </c>
      <c r="AM279" s="629"/>
      <c r="AN279" s="629">
        <f>IF(AD280="",0,IF(LOOKUP(AD280,Espesor!$C$8:$C$41,Espesor!$K$8:$K$41)="en voladizo",MAX(ABS(AL279),ABS(AK280)),-(AK280+AL279)))</f>
        <v>0</v>
      </c>
      <c r="AO279" s="630"/>
      <c r="AP279" s="630" t="e">
        <f t="shared" ref="AP279" si="481">IF(AH279="","",AN279*AH279)</f>
        <v>#N/A</v>
      </c>
      <c r="AQ279" s="630"/>
      <c r="AR279" s="630" t="e">
        <f t="shared" ref="AR279" si="482">IF(AJ279="","",AN279*AJ279)</f>
        <v>#N/A</v>
      </c>
      <c r="AS279" s="632"/>
      <c r="AT279" s="631" t="e">
        <f t="shared" ref="AT279" si="483">-IF(AN279="","",IF(AL279="",IF(AP279="",0,AP279),IF(AP279="",AL279,AL279+AP279)))</f>
        <v>#N/A</v>
      </c>
      <c r="AU279" s="341" t="e">
        <f>+AT279</f>
        <v>#N/A</v>
      </c>
      <c r="AV279" s="332" t="str">
        <f>IF(Q272="","",IF(L247="X - X",VLOOKUP(Q272,'Moms de Empt'!$P$3:$T$36,2,0),VLOOKUP(Q272,'Moms de Empt'!$P$3:$T$36,4,0)))</f>
        <v/>
      </c>
      <c r="AW279" s="635"/>
      <c r="AX279" s="633" t="str">
        <f>IF(AV279="","",IF(AV280="","",ROUND(AV279/(AV279+AV280),3)))</f>
        <v/>
      </c>
      <c r="AY279" s="635"/>
      <c r="AZ279" s="633" t="str">
        <f>IF(AV279="","",IF(AV280="","",ROUND(AV280/(AV279+AV280),3)))</f>
        <v/>
      </c>
      <c r="BA279" s="331" t="str">
        <f t="shared" si="473"/>
        <v/>
      </c>
      <c r="BC279" s="401"/>
      <c r="BD279" s="398"/>
      <c r="BE279" s="391"/>
    </row>
    <row r="280" spans="1:90" ht="21.75" customHeight="1" thickBot="1">
      <c r="A280" s="32"/>
      <c r="B280" s="29"/>
      <c r="C280" s="30"/>
      <c r="D280" s="255">
        <f>IF(D278="",0,IF(D277="",IF(D279="",0,D279),IF(D279="",D277,D277+D279)))</f>
        <v>0</v>
      </c>
      <c r="E280" s="256">
        <f>IF(D278="",0,IF(E277="",IF(E279="",0,E279),IF(E279="",E277,E277+E279)))</f>
        <v>0</v>
      </c>
      <c r="F280" s="30"/>
      <c r="G280" s="276">
        <f>IF(G278="",0,IF(G277="",IF(G279="",0,G279),IF(G279="",G277,G277+G279)))</f>
        <v>0</v>
      </c>
      <c r="H280" s="256">
        <f>IF(G278="",0,IF(H277="",IF(H279="",0,H279),IF(H279="",H277,H277+H279)))</f>
        <v>0</v>
      </c>
      <c r="I280" s="30"/>
      <c r="J280" s="276">
        <f>IF(J278="",0,IF(J277="",IF(J279="",0,J279),IF(J279="",J277,J277+J279)))</f>
        <v>0</v>
      </c>
      <c r="K280" s="256">
        <f>IF(J278="",0,IF(K277="",IF(K279="",0,K279),IF(K279="",K277,K277+K279)))</f>
        <v>0</v>
      </c>
      <c r="L280" s="30"/>
      <c r="M280" s="276">
        <f>IF(M278="",0,IF(M277="",IF(M279="",0,M279),IF(M279="",M277,M277+M279)))</f>
        <v>0</v>
      </c>
      <c r="N280" s="256">
        <f>IF(M278="",0,IF(N277="",IF(N279="",0,N279),IF(N279="",N277,N277+N279)))</f>
        <v>0</v>
      </c>
      <c r="O280" s="30"/>
      <c r="P280" s="276">
        <f>IF(P278="",0,IF(P277="",IF(P279="",0,P279),IF(P279="",P277,P277+P279)))</f>
        <v>0</v>
      </c>
      <c r="Q280" s="256">
        <f>IF(P278="",0,IF(Q277="",IF(Q279="",0,Q279),IF(Q279="",Q277,Q277+Q279)))</f>
        <v>0</v>
      </c>
      <c r="R280" s="30"/>
      <c r="S280" s="276">
        <f>IF(S278="",0,IF(S277="",IF(S279="",0,S279),IF(S279="",S277,S277+S279)))</f>
        <v>0</v>
      </c>
      <c r="T280" s="256">
        <f>IF(S278="",0,IF(T277="",IF(T279="",0,T279),IF(T279="",T277,T277+T279)))</f>
        <v>0</v>
      </c>
      <c r="U280" s="30"/>
      <c r="V280" s="276">
        <f>IF(V278="",0,IF(V277="",IF(V279="",0,V279),IF(V279="",V277,V277+V279)))</f>
        <v>0</v>
      </c>
      <c r="W280" s="256">
        <f>IF(V278="",0,IF(W277="",IF(W279="",0,W279),IF(W279="",W277,W277+W279)))</f>
        <v>0</v>
      </c>
      <c r="X280" s="30"/>
      <c r="Y280" s="276">
        <f>IF(Y278="",0,IF(Y277="",IF(Y279="",0,Y279),IF(Y279="",Y277,Y277+Y279)))</f>
        <v>0</v>
      </c>
      <c r="Z280" s="256">
        <f>IF(Y278="",0,IF(Z277="",IF(Z279="",0,Z279),IF(Z279="",Z277,Z277+Z279)))</f>
        <v>0</v>
      </c>
      <c r="AA280" s="30"/>
      <c r="AB280" s="31"/>
      <c r="AD280" s="321" t="str">
        <f>+IF(AK272="","",AK272)</f>
        <v/>
      </c>
      <c r="AE280" s="324" t="str">
        <f>IF(T272="","",IF($K$2="X - X",VLOOKUP(T272,Espesor!$C$8:$E$41,2,0),VLOOKUP(T272,Espesor!$C$8:$E$41,3,0)))</f>
        <v/>
      </c>
      <c r="AF280" s="319" t="str">
        <f>IF(AD280="","",IF(LOOKUP(AD280,Espesor!$C$8:$C$41,Espesor!$K$8:$K$41)="en voladizo","",IF(AD281="",0.75/AE280,1/AE280)))</f>
        <v/>
      </c>
      <c r="AG280" s="634" t="str">
        <f>IF(AF280="","",IF(AF281="","",ROUND(AF280/(AF280+AF281),3)))</f>
        <v/>
      </c>
      <c r="AH280" s="634"/>
      <c r="AI280" s="634" t="str">
        <f>IF(AF281="","",IF(AF280="","",ROUND(AF281/(AF281+AF280),3)))</f>
        <v/>
      </c>
      <c r="AJ280" s="634"/>
      <c r="AK280" s="317">
        <f>IF(H247="",0,IF($K$2="X - X",VLOOKUP(H247,'Moms de Empt'!$P$3:$T$36,3,0),VLOOKUP(H247,'Moms de Empt'!$P$3:$T$36,5,0)))</f>
        <v>0</v>
      </c>
      <c r="AL280" s="317">
        <f>+IF(AD281="",0,-AK280)</f>
        <v>0</v>
      </c>
      <c r="AM280" s="629">
        <f>IF(AD281="",0,IF(LOOKUP(AD281,Espesor!$C$8:$C$41,Espesor!$K$8:$K$41)="en voladizo",MAX(ABS(AL280),ABS(AK281)),-(AK281+AL280)))</f>
        <v>0</v>
      </c>
      <c r="AN280" s="629"/>
      <c r="AO280" s="630" t="str">
        <f>IF(AG280="","",AM280*AG280)</f>
        <v/>
      </c>
      <c r="AP280" s="630"/>
      <c r="AQ280" s="630" t="str">
        <f t="shared" ref="AQ280" si="484">IF(AI280="","",AM280*AI280)</f>
        <v/>
      </c>
      <c r="AR280" s="630"/>
      <c r="AS280" s="631">
        <f>-IF(AM280="","",IF(AL280="",IF(AO280="",0,AO280),IF(AO280="",AL280,AL280+AO280)))</f>
        <v>0</v>
      </c>
      <c r="AT280" s="632"/>
      <c r="AU280" s="341">
        <f>+AS280</f>
        <v>0</v>
      </c>
      <c r="AV280" s="332" t="str">
        <f>IF(T272="","",IF(L247="X - X",VLOOKUP(T272,'Moms de Empt'!$P$3:$T$36,2,0),VLOOKUP(T272,'Moms de Empt'!$P$3:$T$36,4,0)))</f>
        <v/>
      </c>
      <c r="AW280" s="635" t="str">
        <f>IF(AV280="","",IF(AV281="","",ROUND(AV280/(AV280+AV281),3)))</f>
        <v/>
      </c>
      <c r="AX280" s="633"/>
      <c r="AY280" s="635" t="str">
        <f>IF(AV281="","",IF(AV280="","",ROUND(AV281/(AV281+AV280),3)))</f>
        <v/>
      </c>
      <c r="AZ280" s="633"/>
      <c r="BA280" s="331" t="str">
        <f t="shared" si="473"/>
        <v/>
      </c>
      <c r="BC280" s="401"/>
      <c r="BD280" s="398"/>
      <c r="BE280" s="391"/>
    </row>
    <row r="281" spans="1:90" ht="21.75" customHeight="1" thickBot="1">
      <c r="A281" s="36" t="s">
        <v>66</v>
      </c>
      <c r="B281" s="273"/>
      <c r="C281" s="36"/>
      <c r="D281" s="672">
        <f>IF(E273="",0,IF(D280=0,IF(E280=0,MAX(ABS(D277),ABS(E277)),E280),MAX(ABS(D280),ABS(E280))))</f>
        <v>0</v>
      </c>
      <c r="E281" s="674"/>
      <c r="F281" s="36"/>
      <c r="G281" s="672">
        <f>IF(H273="",0,IF(G280=0,IF(H280=0,MAX(ABS(G277),ABS(H277)),H280),MAX(ABS(G280),ABS(H280))))</f>
        <v>0</v>
      </c>
      <c r="H281" s="674"/>
      <c r="I281" s="36"/>
      <c r="J281" s="672">
        <f>IF(K273="",0,IF(J280=0,IF(K280=0,MAX(ABS(J277),ABS(K277)),K280),MAX(ABS(J280),ABS(K280))))</f>
        <v>0</v>
      </c>
      <c r="K281" s="674"/>
      <c r="L281" s="36"/>
      <c r="M281" s="672">
        <f>IF(N273="",0,IF(M280=0,IF(N280=0,MAX(ABS(M277),ABS(N277)),N280),MAX(ABS(M280),ABS(N280))))</f>
        <v>0</v>
      </c>
      <c r="N281" s="674"/>
      <c r="O281" s="36"/>
      <c r="P281" s="672">
        <f>IF(Q273="",0,IF(P280=0,IF(Q280=0,MAX(ABS(P277),ABS(Q277)),Q280),MAX(ABS(P280),ABS(Q280))))</f>
        <v>0</v>
      </c>
      <c r="Q281" s="674"/>
      <c r="R281" s="36"/>
      <c r="S281" s="672">
        <f>IF(T273="",0,IF(S280=0,IF(T280=0,MAX(ABS(S277),ABS(T277)),T280),MAX(ABS(S280),ABS(T280))))</f>
        <v>0</v>
      </c>
      <c r="T281" s="674"/>
      <c r="U281" s="265"/>
      <c r="V281" s="672">
        <f>IF(W273="",0,IF(V280=0,IF(W280=0,MAX(ABS(V277),ABS(W277)),W280),MAX(ABS(V280),ABS(W280))))</f>
        <v>0</v>
      </c>
      <c r="W281" s="674"/>
      <c r="X281" s="36"/>
      <c r="Y281" s="672">
        <f>IF(Z273="",0,IF(Y280=0,IF(Z280=0,MAX(ABS(Y277),ABS(Z277)),Z280),MAX(ABS(Y280),ABS(Z280))))</f>
        <v>0</v>
      </c>
      <c r="Z281" s="674"/>
      <c r="AA281" s="37"/>
      <c r="AB281" s="38"/>
      <c r="AD281" s="321" t="str">
        <f>+IF(AL272="","",AL272)</f>
        <v/>
      </c>
      <c r="AE281" s="324" t="str">
        <f>IF(W272="","",IF($K$2="X - X",VLOOKUP(W272,Espesor!$C$8:$E$41,2,0),VLOOKUP(W272,Espesor!$C$8:$E$41,3,0)))</f>
        <v/>
      </c>
      <c r="AF281" s="319" t="str">
        <f>IF(AD281="","",IF(LOOKUP(AD281,Espesor!$C$8:$C$41,Espesor!$K$8:$K$41)="en voladizo","",IF(AD282="",0.75/AE281,1/AE281)))</f>
        <v/>
      </c>
      <c r="AG281" s="634"/>
      <c r="AH281" s="634" t="str">
        <f>IF(AF281="","",IF(AF282="","",ROUND(AF281/(AF281+AF282),3)))</f>
        <v/>
      </c>
      <c r="AI281" s="634"/>
      <c r="AJ281" s="634" t="str">
        <f>IF(AF281="","",IF(AF282="","",ROUND(AF282/(AF281+AF282),3)))</f>
        <v/>
      </c>
      <c r="AK281" s="317">
        <f>IF(I247="",0,IF($K$2="X - X",VLOOKUP(I247,'Moms de Empt'!$P$3:$T$36,3,0),VLOOKUP(I247,'Moms de Empt'!$P$3:$T$36,5,0)))</f>
        <v>0</v>
      </c>
      <c r="AL281" s="317">
        <f t="shared" ref="AL281:AL282" si="485">+IF(AD282="",0,-AK281)</f>
        <v>0</v>
      </c>
      <c r="AM281" s="629"/>
      <c r="AN281" s="629" t="e">
        <f>IF(AD282="",0,IF(LOOKUP(AD282,Espesor!$C$8:$C$41,Espesor!$K$8:$K$41)="en voladizo",MAX(ABS(AL281),ABS(AK282)),-(AK282+AL281)))</f>
        <v>#N/A</v>
      </c>
      <c r="AO281" s="630"/>
      <c r="AP281" s="630" t="str">
        <f t="shared" ref="AP281" si="486">IF(AH281="","",AN281*AH281)</f>
        <v/>
      </c>
      <c r="AQ281" s="630"/>
      <c r="AR281" s="630" t="str">
        <f t="shared" ref="AR281" si="487">IF(AJ281="","",AN281*AJ281)</f>
        <v/>
      </c>
      <c r="AS281" s="632"/>
      <c r="AT281" s="631" t="e">
        <f t="shared" ref="AT281" si="488">-IF(AN281="","",IF(AL281="",IF(AP281="",0,AP281),IF(AP281="",AL281,AL281+AP281)))</f>
        <v>#N/A</v>
      </c>
      <c r="AU281" s="341" t="e">
        <f>+AT281</f>
        <v>#N/A</v>
      </c>
      <c r="AV281" s="332" t="str">
        <f>IF(W272="","",IF(L247="X - X",VLOOKUP(W272,'Moms de Empt'!$P$3:$T$36,2,0),VLOOKUP(W272,'Moms de Empt'!$P$3:$T$36,4,0)))</f>
        <v/>
      </c>
      <c r="AW281" s="635"/>
      <c r="AX281" s="633" t="str">
        <f>IF(AV281="","",IF(AV282="","",ROUND(AV281/(AV281+AV282),3)))</f>
        <v/>
      </c>
      <c r="AY281" s="635"/>
      <c r="AZ281" s="633" t="str">
        <f>IF(AV281="","",IF(AV282="","",ROUND(AV282/(AV281+AV282),3)))</f>
        <v/>
      </c>
      <c r="BA281" s="331" t="str">
        <f t="shared" si="473"/>
        <v/>
      </c>
      <c r="BC281" s="401"/>
      <c r="BD281" s="398"/>
      <c r="BE281" s="391"/>
    </row>
    <row r="282" spans="1:90" ht="21.75" customHeight="1" thickBot="1">
      <c r="A282" s="36"/>
      <c r="B282" s="274"/>
      <c r="C282" s="36"/>
      <c r="D282" s="690">
        <f>IF(D281="","",D281*100000)</f>
        <v>0</v>
      </c>
      <c r="E282" s="690"/>
      <c r="F282" s="36"/>
      <c r="G282" s="690">
        <f>IF(G281="","",G281*100000)</f>
        <v>0</v>
      </c>
      <c r="H282" s="690"/>
      <c r="I282" s="388"/>
      <c r="J282" s="690">
        <f>IF(J281="","",J281*100000)</f>
        <v>0</v>
      </c>
      <c r="K282" s="690"/>
      <c r="L282" s="388"/>
      <c r="M282" s="690">
        <f>IF(M281="","",M281*100000)</f>
        <v>0</v>
      </c>
      <c r="N282" s="690"/>
      <c r="O282" s="388"/>
      <c r="P282" s="690">
        <f>IF(P281="","",P281*100000)</f>
        <v>0</v>
      </c>
      <c r="Q282" s="690"/>
      <c r="R282" s="388"/>
      <c r="S282" s="690">
        <f>IF(S281="","",S281*100000)</f>
        <v>0</v>
      </c>
      <c r="T282" s="690"/>
      <c r="U282" s="387"/>
      <c r="V282" s="690">
        <f>IF(V281="","",V281*100000)</f>
        <v>0</v>
      </c>
      <c r="W282" s="690"/>
      <c r="X282" s="388"/>
      <c r="Y282" s="690">
        <f>IF(Y281="","",Y281*100000)</f>
        <v>0</v>
      </c>
      <c r="Z282" s="690"/>
      <c r="AA282" s="37"/>
      <c r="AB282" s="275"/>
      <c r="AD282" s="321">
        <f>+IF(AM272="","",AM272)</f>
        <v>0</v>
      </c>
      <c r="AE282" s="324" t="str">
        <f>IF(Z272="","",IF($K$2="X - X",VLOOKUP(Z272,Espesor!$C$8:$E$41,2,0),VLOOKUP(Z272,Espesor!$C$8:$E$41,3,0)))</f>
        <v/>
      </c>
      <c r="AF282" s="319" t="e">
        <f>IF(AD282="","",IF(LOOKUP(AD282,Espesor!$C$8:$C$41,Espesor!$K$8:$K$41)="en voladizo","",IF(AD283="",0.75/AE282,1/AE282)))</f>
        <v>#N/A</v>
      </c>
      <c r="AG282" s="344" t="e">
        <f>IF(AF282="","",IF(AK256="","",ROUND(AF282/(AF282+AK256),3)))</f>
        <v>#N/A</v>
      </c>
      <c r="AH282" s="634"/>
      <c r="AI282" s="344" t="e">
        <f>IF(AK256="","",IF(AF282="","",ROUND(AK256/(AK256+AF282),3)))</f>
        <v>#N/A</v>
      </c>
      <c r="AJ282" s="634"/>
      <c r="AK282" s="317" t="e">
        <f>IF(J247="",0,IF($K$2="X - X",VLOOKUP(J247,'Moms de Empt'!$P$3:$T$36,3,0),VLOOKUP(J247,'Moms de Empt'!$P$3:$T$36,5,0)))</f>
        <v>#N/A</v>
      </c>
      <c r="AL282" s="317">
        <f t="shared" si="485"/>
        <v>0</v>
      </c>
      <c r="AM282" s="307" t="str">
        <f>IF(AI256="","",IF(LOOKUP(AI256,[6]Espesor!$C$8:$C$41,[6]Espesor!$K$8:$K$41)="en voladizo",MAX(ABS(AL282),ABS(AQ256)),-(AQ256-AL282)))</f>
        <v/>
      </c>
      <c r="AN282" s="629"/>
      <c r="AO282" s="340" t="e">
        <f t="shared" ref="AO282" si="489">IF(AG282="","",AM282*AG282)</f>
        <v>#N/A</v>
      </c>
      <c r="AP282" s="630"/>
      <c r="AQ282" s="315" t="e">
        <f t="shared" ref="AQ282" si="490">IF(AI282="","",AM282*AI282)</f>
        <v>#N/A</v>
      </c>
      <c r="AR282" s="630"/>
      <c r="AS282" s="312" t="str">
        <f t="shared" ref="AS282" si="491">IF(AM282="","",IF(AL282="",IF(AO282="",0,AO282),IF(AO282="",AL282,AL282+AO282)))</f>
        <v/>
      </c>
      <c r="AT282" s="632"/>
      <c r="AU282" s="341"/>
      <c r="AV282" s="333" t="str">
        <f>IF(Z272="","",IF(L247="X - X",VLOOKUP(Z272,'Moms de Empt'!$P$3:$T$36,2,0),VLOOKUP(Z272,'Moms de Empt'!$P$3:$T$36,4,0)))</f>
        <v/>
      </c>
      <c r="AW282" s="337" t="str">
        <f>IF(AV282="","",IF(BA256="","",ROUND(AV282/(AV282+BA256),3)))</f>
        <v/>
      </c>
      <c r="AX282" s="633"/>
      <c r="AY282" s="337" t="str">
        <f>IF(BA256="","",IF(AV282="","",ROUND(BA256/(BA256+AV282),3)))</f>
        <v/>
      </c>
      <c r="AZ282" s="633"/>
      <c r="BA282" s="331"/>
      <c r="BC282" s="401"/>
      <c r="BD282" s="398"/>
      <c r="BE282" s="391"/>
    </row>
    <row r="283" spans="1:90" ht="21.75" customHeight="1" thickBot="1">
      <c r="A283" s="257" t="s">
        <v>127</v>
      </c>
      <c r="B283" s="675" t="str">
        <f>+IF(B273="","",VLOOKUP(B273,'Moms de Empt'!$P$3:$T$36,4,0))</f>
        <v/>
      </c>
      <c r="C283" s="676"/>
      <c r="D283" s="677"/>
      <c r="E283" s="675" t="str">
        <f>+IF(E273="","",VLOOKUP(E273,'Moms de Empt'!$P$3:$T$36,4,0))</f>
        <v/>
      </c>
      <c r="F283" s="676"/>
      <c r="G283" s="677"/>
      <c r="H283" s="675" t="str">
        <f>+IF(H273="","",VLOOKUP(H273,'Moms de Empt'!$P$3:$T$36,4,0))</f>
        <v/>
      </c>
      <c r="I283" s="676"/>
      <c r="J283" s="677"/>
      <c r="K283" s="675" t="str">
        <f>+IF(K273="","",VLOOKUP(K273,'Moms de Empt'!$P$3:$T$36,4,0))</f>
        <v/>
      </c>
      <c r="L283" s="676"/>
      <c r="M283" s="677"/>
      <c r="N283" s="675" t="str">
        <f>+IF(N273="","",VLOOKUP(N273,'Moms de Empt'!$P$3:$T$36,4,0))</f>
        <v/>
      </c>
      <c r="O283" s="676"/>
      <c r="P283" s="677"/>
      <c r="Q283" s="675" t="str">
        <f>+IF(Q273="","",VLOOKUP(Q273,'Moms de Empt'!$P$3:$T$36,4,0))</f>
        <v/>
      </c>
      <c r="R283" s="676"/>
      <c r="S283" s="677"/>
      <c r="T283" s="675" t="str">
        <f>+IF(T273="","",VLOOKUP(T273,'Moms de Empt'!$P$3:$T$36,4,0))</f>
        <v/>
      </c>
      <c r="U283" s="676"/>
      <c r="V283" s="677"/>
      <c r="W283" s="675" t="str">
        <f>+IF(W273="","",VLOOKUP(W273,'Moms de Empt'!$P$3:$T$36,4,0))</f>
        <v/>
      </c>
      <c r="X283" s="676"/>
      <c r="Y283" s="677"/>
      <c r="Z283" s="675" t="str">
        <f>+IF(Z273="","",VLOOKUP(Z273,'Moms de Empt'!$P$3:$T$36,4,0))</f>
        <v/>
      </c>
      <c r="AA283" s="676"/>
      <c r="AB283" s="677"/>
      <c r="AD283" s="210"/>
      <c r="AE283" s="210"/>
      <c r="AF283" s="210"/>
      <c r="AG283" s="210"/>
      <c r="AH283" s="210"/>
      <c r="AI283" s="210"/>
      <c r="AJ283" s="210"/>
      <c r="AK283" s="40"/>
      <c r="AL283" s="210"/>
      <c r="AM283" s="40"/>
      <c r="AN283" s="40"/>
      <c r="AO283" s="40"/>
      <c r="AP283" s="40"/>
      <c r="AQ283" s="40"/>
      <c r="AR283" s="40"/>
      <c r="AS283" s="40"/>
      <c r="AT283" s="40"/>
      <c r="AU283" s="210"/>
      <c r="AV283" s="210"/>
      <c r="AW283" s="210"/>
      <c r="AX283" s="210"/>
      <c r="AY283" s="210"/>
      <c r="AZ283" s="210"/>
      <c r="BA283" s="210"/>
      <c r="BC283" s="401"/>
      <c r="BD283" s="398"/>
      <c r="BE283" s="391"/>
    </row>
    <row r="284" spans="1:90" ht="21.75" customHeight="1" thickBot="1">
      <c r="A284" s="258"/>
      <c r="B284" s="209"/>
      <c r="C284" s="209"/>
      <c r="D284" s="209" t="str">
        <f>IF(B275="","",IF(D277="","",IF(ABS(D281)&gt;ABS(D277),-0.5*ABS(D279),0.5*ABS(D279))))</f>
        <v/>
      </c>
      <c r="E284" s="209" t="str">
        <f>IF(E275="","",IF(E277="","",IF(ABS(D281)&gt;ABS(E277),-0.5*ABS(E279),0.5*ABS(E279))))</f>
        <v/>
      </c>
      <c r="F284" s="209"/>
      <c r="G284" s="209" t="str">
        <f>IF(E275="","",IF(G277="","",IF(ABS(G281)&gt;ABS(G277),-0.5*ABS(G279),0.5*ABS(G279))))</f>
        <v/>
      </c>
      <c r="H284" s="209" t="str">
        <f>IF(H275="","",IF(H277="","",IF(ABS(G281)&gt;ABS(H277),-0.5*ABS(H279),0.5*ABS(H279))))</f>
        <v/>
      </c>
      <c r="I284" s="209"/>
      <c r="J284" s="209" t="str">
        <f>IF(H275="","",IF(J277="","",IF(ABS(J281)&gt;ABS(J277),-0.5*ABS(J279),0.5*ABS(J279))))</f>
        <v/>
      </c>
      <c r="K284" s="209" t="str">
        <f>IF(K275="","",IF(K277="","",IF(ABS(J281)&gt;ABS(K277),-0.5*ABS(K279),0.5*ABS(K279))))</f>
        <v/>
      </c>
      <c r="L284" s="209"/>
      <c r="M284" s="209" t="str">
        <f>IF(K275="","",IF(M277="","",IF(ABS(M281)&gt;ABS(M277),-0.5*ABS(M279),0.5*ABS(M279))))</f>
        <v/>
      </c>
      <c r="N284" s="209" t="str">
        <f>IF(N275="","",IF(N277="","",IF(ABS(M281)&gt;ABS(N277),-0.5*ABS(N279),0.5*ABS(N279))))</f>
        <v/>
      </c>
      <c r="O284" s="209"/>
      <c r="P284" s="209" t="str">
        <f>IF(N275="","",IF(P277="","",IF(ABS(P281)&gt;ABS(P277),-0.5*ABS(P279),0.5*ABS(P279))))</f>
        <v/>
      </c>
      <c r="Q284" s="209" t="str">
        <f>IF(Q275="","",IF(Q277="","",IF(ABS(P281)&gt;ABS(Q277),-0.5*ABS(Q279),0.5*ABS(Q279))))</f>
        <v/>
      </c>
      <c r="R284" s="209"/>
      <c r="S284" s="209" t="str">
        <f>IF(Q275="","",IF(S277="","",IF(ABS(S281)&gt;ABS(S277),-0.5*ABS(S279),0.5*ABS(S279))))</f>
        <v/>
      </c>
      <c r="T284" s="209" t="str">
        <f>IF(T275="","",IF(T277="","",IF(ABS(S281)&gt;ABS(T277),-0.5*ABS(T279),0.5*ABS(T279))))</f>
        <v/>
      </c>
      <c r="U284" s="209"/>
      <c r="V284" s="209" t="str">
        <f>IF(T275="","",IF(V277="","",IF(ABS(V281)&gt;ABS(V277),-0.5*ABS(V279),0.5*ABS(V279))))</f>
        <v/>
      </c>
      <c r="W284" s="209" t="str">
        <f>IF(W275="","",IF(W277="","",IF(ABS(V281)&gt;ABS(W277),-0.5*ABS(W279),0.5*ABS(W279))))</f>
        <v/>
      </c>
      <c r="X284" s="209"/>
      <c r="Y284" s="209" t="str">
        <f>IF(W275="","",IF(Y277="","",IF(ABS(Y281)&gt;ABS(Y277),-0.5*ABS(Y279),0.5*ABS(Y279))))</f>
        <v/>
      </c>
      <c r="Z284" s="209" t="str">
        <f>IF(Z275="","",IF(Z277="","",IF(ABS(Y281)&gt;ABS(Z277),-0.5*ABS(Z279),0.5*ABS(Z279))))</f>
        <v/>
      </c>
      <c r="AA284" s="209"/>
      <c r="AB284" s="209" t="str">
        <f>IF(Z275="","",IF(AB277="","",IF(AB281&gt;-AB277,IF(AB279&lt;0,0.5*AB279,-0.5*AB279),0.5*AB279)))</f>
        <v/>
      </c>
      <c r="AD284" s="260"/>
      <c r="AE284" s="260"/>
      <c r="AF284" s="260"/>
      <c r="AG284" s="260"/>
      <c r="AH284" s="260"/>
      <c r="AI284" s="260"/>
      <c r="AJ284" s="260"/>
      <c r="AK284" s="39"/>
      <c r="AL284" s="39"/>
      <c r="AM284" s="260"/>
      <c r="AN284" s="260"/>
      <c r="AO284" s="39"/>
      <c r="AP284" s="39"/>
      <c r="AQ284" s="39"/>
      <c r="AR284" s="39"/>
      <c r="AS284" s="260"/>
      <c r="AT284" s="260"/>
      <c r="AU284" s="260"/>
      <c r="AV284" s="260"/>
      <c r="AW284" s="260"/>
      <c r="AX284" s="260"/>
      <c r="AY284" s="260"/>
      <c r="AZ284" s="260"/>
      <c r="BA284" s="260"/>
      <c r="BC284" s="401"/>
      <c r="BD284" s="398"/>
      <c r="BE284" s="391"/>
    </row>
    <row r="285" spans="1:90" ht="21.75" customHeight="1" thickBot="1">
      <c r="A285" s="259" t="s">
        <v>128</v>
      </c>
      <c r="B285" s="672" t="str">
        <f>IF(B284="",IF(D284="",B283,B283+D284),IF(D284="",B283+B284,B283+B284+D284))</f>
        <v/>
      </c>
      <c r="C285" s="673"/>
      <c r="D285" s="674"/>
      <c r="E285" s="672" t="str">
        <f>IF(E284="",IF(G284="",E283,E283+G284),IF(G284="",E283+E284,E283+E284+G284))</f>
        <v/>
      </c>
      <c r="F285" s="673"/>
      <c r="G285" s="674"/>
      <c r="H285" s="672" t="str">
        <f>IF(H284="",IF(J284="",H283,H283+J284),IF(J284="",H283+H284,H283+H284+J284))</f>
        <v/>
      </c>
      <c r="I285" s="673"/>
      <c r="J285" s="674"/>
      <c r="K285" s="672" t="str">
        <f>IF(K284="",IF(M284="",K283,K283+M284),IF(M284="",K283+K284,K283+K284+M284))</f>
        <v/>
      </c>
      <c r="L285" s="673"/>
      <c r="M285" s="674"/>
      <c r="N285" s="672" t="str">
        <f>IF(N284="",IF(P284="",N283,N283+P284),IF(P284="",N283+N284,N283+N284+P284))</f>
        <v/>
      </c>
      <c r="O285" s="673"/>
      <c r="P285" s="674"/>
      <c r="Q285" s="672" t="str">
        <f>IF(Q284="",IF(S284="",Q283,Q283+S284),IF(S284="",Q283+Q284,Q283+Q284+S284))</f>
        <v/>
      </c>
      <c r="R285" s="673"/>
      <c r="S285" s="674"/>
      <c r="T285" s="672" t="str">
        <f>IF(T284="",IF(V284="",T283,T283+V284),IF(V284="",T283+T284,T283+T284+V284))</f>
        <v/>
      </c>
      <c r="U285" s="673"/>
      <c r="V285" s="674"/>
      <c r="W285" s="672" t="str">
        <f>IF(W284="",IF(Y284="",W283,W283+Y284),IF(Y284="",W283+W284,W283+W284+Y284))</f>
        <v/>
      </c>
      <c r="X285" s="673"/>
      <c r="Y285" s="674"/>
      <c r="Z285" s="672" t="str">
        <f>IF(Z284="",IF(AB284="",Z283,Z283+AB284),IF(AB284="",Z283+Z284,Z283+Z284+AB284))</f>
        <v/>
      </c>
      <c r="AA285" s="673"/>
      <c r="AB285" s="674"/>
      <c r="BC285" s="401"/>
      <c r="BD285" s="398"/>
      <c r="BE285" s="391"/>
    </row>
    <row r="286" spans="1:90" ht="21.75" customHeight="1">
      <c r="BC286" s="401"/>
      <c r="BD286" s="398"/>
      <c r="BE286" s="391"/>
    </row>
    <row r="287" spans="1:90" ht="21.75" customHeight="1" thickBot="1">
      <c r="A287" s="626">
        <f>A18</f>
        <v>6</v>
      </c>
      <c r="B287" s="626"/>
      <c r="C287" s="626"/>
      <c r="D287" s="626"/>
      <c r="E287" s="626"/>
      <c r="F287" s="627"/>
      <c r="G287" s="627"/>
      <c r="H287" s="627"/>
      <c r="I287" s="627"/>
      <c r="J287" s="628" t="s">
        <v>134</v>
      </c>
      <c r="K287" s="628"/>
      <c r="L287" s="271" t="str">
        <f>+K18</f>
        <v>Y - Y</v>
      </c>
      <c r="M287" s="262"/>
      <c r="N287" s="404"/>
      <c r="O287" s="402"/>
      <c r="P287" s="262"/>
      <c r="Q287" s="263"/>
      <c r="R287" s="263"/>
      <c r="S287" s="263"/>
      <c r="T287" s="263"/>
      <c r="U287" s="263"/>
      <c r="V287" s="263"/>
      <c r="W287" s="263"/>
      <c r="X287" s="263"/>
      <c r="Y287" s="263"/>
      <c r="Z287" s="263"/>
      <c r="AA287" s="263"/>
      <c r="AB287" s="263"/>
      <c r="AD287" s="263"/>
      <c r="AE287" s="263"/>
      <c r="AF287" s="263"/>
      <c r="AG287" s="263"/>
      <c r="AH287" s="263"/>
      <c r="AI287" s="263"/>
      <c r="AJ287" s="263"/>
      <c r="AK287" s="263"/>
      <c r="AL287" s="263"/>
      <c r="AM287" s="263"/>
      <c r="AN287" s="263"/>
      <c r="AO287" s="263"/>
      <c r="AP287" s="263"/>
      <c r="AQ287" s="263"/>
      <c r="AR287" s="263"/>
      <c r="AS287" s="263"/>
      <c r="AT287" s="263"/>
      <c r="AU287" s="263"/>
      <c r="AV287" s="263"/>
      <c r="AW287" s="263"/>
      <c r="AX287" s="263"/>
      <c r="AY287" s="263"/>
      <c r="AZ287" s="263"/>
      <c r="BA287" s="263"/>
      <c r="BC287" s="401"/>
      <c r="BD287" s="398"/>
      <c r="BE287" s="391"/>
    </row>
    <row r="288" spans="1:90" ht="21.75" customHeight="1" thickTop="1">
      <c r="A288" s="686" t="str">
        <f>+Espesor!$J$3</f>
        <v>Techo</v>
      </c>
      <c r="B288" s="686"/>
      <c r="C288" s="687" t="s">
        <v>136</v>
      </c>
      <c r="D288" s="687"/>
      <c r="E288" s="264" t="str">
        <f>IF(B18="","",B18)</f>
        <v/>
      </c>
      <c r="F288" s="264" t="str">
        <f t="shared" ref="F288:M288" si="492">IF(C18="","",C18)</f>
        <v/>
      </c>
      <c r="G288" s="264" t="str">
        <f t="shared" si="492"/>
        <v/>
      </c>
      <c r="H288" s="264" t="str">
        <f t="shared" si="492"/>
        <v/>
      </c>
      <c r="I288" s="264" t="str">
        <f t="shared" si="492"/>
        <v/>
      </c>
      <c r="J288" s="264" t="str">
        <f t="shared" si="492"/>
        <v/>
      </c>
      <c r="K288" s="264" t="str">
        <f t="shared" si="492"/>
        <v/>
      </c>
      <c r="L288" s="264" t="str">
        <f t="shared" si="492"/>
        <v/>
      </c>
      <c r="M288" s="264" t="str">
        <f t="shared" si="492"/>
        <v/>
      </c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  <c r="AA288" s="264"/>
      <c r="AB288" s="263"/>
      <c r="AD288" s="263"/>
      <c r="AE288" s="263"/>
      <c r="AF288" s="263"/>
      <c r="AG288" s="263"/>
      <c r="AH288" s="263"/>
      <c r="AI288" s="263"/>
      <c r="AJ288" s="263"/>
      <c r="AK288" s="263"/>
      <c r="AL288" s="263"/>
      <c r="AM288" s="263"/>
      <c r="AN288" s="263"/>
      <c r="AO288" s="263"/>
      <c r="AP288" s="263"/>
      <c r="AQ288" s="263"/>
      <c r="AR288" s="263"/>
      <c r="AS288" s="263"/>
      <c r="AT288" s="263"/>
      <c r="AU288" s="263"/>
      <c r="AV288" s="263"/>
      <c r="AW288" s="263"/>
      <c r="AX288" s="263"/>
      <c r="AY288" s="263"/>
      <c r="AZ288" s="263"/>
      <c r="BA288" s="263"/>
      <c r="BC288" s="401"/>
      <c r="BD288" s="398"/>
      <c r="BE288" s="391"/>
    </row>
    <row r="289" spans="1:90" ht="21.75" customHeight="1">
      <c r="A289" s="689"/>
      <c r="B289" s="689"/>
      <c r="C289" s="689"/>
      <c r="D289" s="689"/>
      <c r="E289" s="689"/>
      <c r="F289" s="689"/>
      <c r="G289" s="689"/>
      <c r="H289" s="689"/>
      <c r="I289" s="689"/>
      <c r="J289" s="689"/>
      <c r="K289" s="689"/>
      <c r="L289" s="689"/>
      <c r="M289" s="689"/>
      <c r="N289" s="689"/>
      <c r="O289" s="689"/>
      <c r="P289" s="689"/>
      <c r="Q289" s="689"/>
      <c r="R289" s="689"/>
      <c r="S289" s="689"/>
      <c r="T289" s="689"/>
      <c r="U289" s="689"/>
      <c r="V289" s="689"/>
      <c r="W289" s="689"/>
      <c r="X289" s="689"/>
      <c r="Y289" s="689"/>
      <c r="Z289" s="689"/>
      <c r="AA289" s="689"/>
      <c r="AB289" s="689"/>
      <c r="AD289" s="624" t="s">
        <v>64</v>
      </c>
      <c r="AE289" s="624"/>
      <c r="AF289" s="624"/>
      <c r="AG289" s="624"/>
      <c r="AH289" s="624"/>
      <c r="AI289" s="624"/>
      <c r="AJ289" s="624"/>
      <c r="AK289" s="624"/>
      <c r="AL289" s="624"/>
      <c r="BC289" s="401"/>
      <c r="BD289" s="398"/>
      <c r="BE289" s="391"/>
    </row>
    <row r="290" spans="1:90" ht="21.75" customHeight="1" thickBot="1">
      <c r="A290" s="360"/>
      <c r="B290" s="682" t="str">
        <f>IF($E288="","",$E288)</f>
        <v/>
      </c>
      <c r="C290" s="682"/>
      <c r="D290" s="682"/>
      <c r="E290" s="682" t="str">
        <f>IF($F288="","",$F288)</f>
        <v/>
      </c>
      <c r="F290" s="682"/>
      <c r="G290" s="682"/>
      <c r="H290" s="682" t="str">
        <f>IF($G288="","",$G288)</f>
        <v/>
      </c>
      <c r="I290" s="682"/>
      <c r="J290" s="682"/>
      <c r="K290" s="682" t="str">
        <f>IF($H288="","",$H288)</f>
        <v/>
      </c>
      <c r="L290" s="682"/>
      <c r="M290" s="682"/>
      <c r="N290" s="682" t="str">
        <f>IF($I288="","",$I288)</f>
        <v/>
      </c>
      <c r="O290" s="682"/>
      <c r="P290" s="682"/>
      <c r="Q290" s="682" t="str">
        <f>IF($J288="","",$J288)</f>
        <v/>
      </c>
      <c r="R290" s="682"/>
      <c r="S290" s="682"/>
      <c r="T290" s="682" t="str">
        <f>IF($K288="","",$K288)</f>
        <v/>
      </c>
      <c r="U290" s="682"/>
      <c r="V290" s="682"/>
      <c r="W290" s="682" t="str">
        <f>IF($L288="","",$L288)</f>
        <v/>
      </c>
      <c r="X290" s="682"/>
      <c r="Y290" s="682"/>
      <c r="Z290" s="682" t="str">
        <f>IF($M288="","",$M288)</f>
        <v/>
      </c>
      <c r="AA290" s="682"/>
      <c r="AB290" s="682"/>
      <c r="AD290" s="287" t="str">
        <f>+A265</f>
        <v>M+ =</v>
      </c>
      <c r="AE290" s="325" t="str">
        <f>+IF(B265="","",B265)</f>
        <v/>
      </c>
      <c r="AF290" s="325" t="str">
        <f>+IF(C265="","",C265)</f>
        <v/>
      </c>
      <c r="AG290" s="325" t="str">
        <f t="shared" ref="AG290" si="493">+IF(D265="","",D265)</f>
        <v/>
      </c>
      <c r="AH290" s="325" t="str">
        <f t="shared" ref="AH290" si="494">+IF(E265="","",E265)</f>
        <v/>
      </c>
      <c r="AI290" s="325" t="str">
        <f t="shared" ref="AI290" si="495">+IF(F265="","",F265)</f>
        <v/>
      </c>
      <c r="AJ290" s="325" t="str">
        <f t="shared" ref="AJ290" si="496">+IF(G265="","",G265)</f>
        <v/>
      </c>
      <c r="AK290" s="325" t="str">
        <f t="shared" ref="AK290" si="497">+IF(H265="","",H265)</f>
        <v/>
      </c>
      <c r="AL290" s="325" t="str">
        <f t="shared" ref="AL290" si="498">+IF(I265="","",I265)</f>
        <v/>
      </c>
      <c r="AM290" s="325" t="str">
        <f t="shared" ref="AM290" si="499">+IF(J265="","",J265)</f>
        <v/>
      </c>
      <c r="AN290" s="242"/>
      <c r="AO290" s="242"/>
      <c r="AP290" s="242"/>
      <c r="AQ290" s="242"/>
      <c r="AR290" s="242"/>
      <c r="AS290" s="242"/>
      <c r="AT290" s="242"/>
      <c r="AU290" s="242"/>
      <c r="AV290" s="242"/>
      <c r="AW290" s="242"/>
      <c r="AX290" s="242"/>
      <c r="AY290" s="242"/>
      <c r="AZ290" s="242"/>
      <c r="BA290" s="242"/>
      <c r="BC290" s="401"/>
      <c r="BD290" s="398"/>
      <c r="BE290" s="428">
        <f>BE$27</f>
        <v>1</v>
      </c>
      <c r="BF290" s="428">
        <f t="shared" ref="BF290:CL290" si="500">BF$27</f>
        <v>2</v>
      </c>
      <c r="BG290" s="428">
        <f t="shared" si="500"/>
        <v>3</v>
      </c>
      <c r="BH290" s="428">
        <f t="shared" si="500"/>
        <v>4</v>
      </c>
      <c r="BI290" s="428">
        <f t="shared" si="500"/>
        <v>5</v>
      </c>
      <c r="BJ290" s="428">
        <f t="shared" si="500"/>
        <v>6</v>
      </c>
      <c r="BK290" s="428">
        <f t="shared" si="500"/>
        <v>7</v>
      </c>
      <c r="BL290" s="428">
        <f t="shared" si="500"/>
        <v>8</v>
      </c>
      <c r="BM290" s="428">
        <f t="shared" si="500"/>
        <v>9</v>
      </c>
      <c r="BN290" s="428">
        <f t="shared" si="500"/>
        <v>10</v>
      </c>
      <c r="BO290" s="428">
        <f t="shared" si="500"/>
        <v>11</v>
      </c>
      <c r="BP290" s="428">
        <f t="shared" si="500"/>
        <v>12</v>
      </c>
      <c r="BQ290" s="428">
        <f t="shared" si="500"/>
        <v>13</v>
      </c>
      <c r="BR290" s="428">
        <f t="shared" si="500"/>
        <v>14</v>
      </c>
      <c r="BS290" s="428">
        <f t="shared" si="500"/>
        <v>15</v>
      </c>
      <c r="BT290" s="428">
        <f t="shared" si="500"/>
        <v>16</v>
      </c>
      <c r="BU290" s="428">
        <f t="shared" si="500"/>
        <v>17</v>
      </c>
      <c r="BV290" s="428">
        <f t="shared" si="500"/>
        <v>18</v>
      </c>
      <c r="BW290" s="428">
        <f t="shared" si="500"/>
        <v>19</v>
      </c>
      <c r="BX290" s="428">
        <f t="shared" si="500"/>
        <v>20</v>
      </c>
      <c r="BY290" s="428">
        <f t="shared" si="500"/>
        <v>21</v>
      </c>
      <c r="BZ290" s="428">
        <f t="shared" si="500"/>
        <v>22</v>
      </c>
      <c r="CA290" s="428">
        <f t="shared" si="500"/>
        <v>23</v>
      </c>
      <c r="CB290" s="428">
        <f t="shared" si="500"/>
        <v>24</v>
      </c>
      <c r="CC290" s="428">
        <f t="shared" si="500"/>
        <v>25</v>
      </c>
      <c r="CD290" s="428">
        <f t="shared" si="500"/>
        <v>26</v>
      </c>
      <c r="CE290" s="428">
        <f t="shared" si="500"/>
        <v>27</v>
      </c>
      <c r="CF290" s="428">
        <f t="shared" si="500"/>
        <v>28</v>
      </c>
      <c r="CG290" s="428">
        <f t="shared" si="500"/>
        <v>29</v>
      </c>
      <c r="CH290" s="428">
        <f t="shared" si="500"/>
        <v>30</v>
      </c>
      <c r="CI290" s="428">
        <f t="shared" si="500"/>
        <v>31</v>
      </c>
      <c r="CJ290" s="428">
        <f t="shared" si="500"/>
        <v>32</v>
      </c>
      <c r="CK290" s="428">
        <f t="shared" si="500"/>
        <v>33</v>
      </c>
      <c r="CL290" s="428">
        <f t="shared" si="500"/>
        <v>34</v>
      </c>
    </row>
    <row r="291" spans="1:90" ht="21.75" customHeight="1" thickBot="1">
      <c r="A291" s="413" t="s">
        <v>3</v>
      </c>
      <c r="B291" s="683" t="str">
        <f>IF(B290="","",VLOOKUP(B290,Espesor!$C$8:$E$41,3,0))</f>
        <v/>
      </c>
      <c r="C291" s="684"/>
      <c r="D291" s="685"/>
      <c r="E291" s="683" t="str">
        <f>IF(E290="","",VLOOKUP(E290,Espesor!$C$8:$E$41,3,0))</f>
        <v/>
      </c>
      <c r="F291" s="684"/>
      <c r="G291" s="685"/>
      <c r="H291" s="683" t="str">
        <f>IF(H290="","",VLOOKUP(H290,Espesor!$C$8:$E$41,3,0))</f>
        <v/>
      </c>
      <c r="I291" s="684"/>
      <c r="J291" s="685"/>
      <c r="K291" s="683" t="str">
        <f>IF(K290="","",VLOOKUP(K290,Espesor!$C$8:$E$41,3,0))</f>
        <v/>
      </c>
      <c r="L291" s="684"/>
      <c r="M291" s="685"/>
      <c r="N291" s="683" t="str">
        <f>IF(N290="","",VLOOKUP(N290,Espesor!$C$8:$E$41,3,0))</f>
        <v/>
      </c>
      <c r="O291" s="684"/>
      <c r="P291" s="685"/>
      <c r="Q291" s="683" t="str">
        <f>IF(Q290="","",VLOOKUP(Q290,Espesor!$C$8:$E$41,3,0))</f>
        <v/>
      </c>
      <c r="R291" s="684"/>
      <c r="S291" s="685"/>
      <c r="T291" s="683" t="str">
        <f>IF(T290="","",VLOOKUP(T290,Espesor!$C$8:$E$41,3,0))</f>
        <v/>
      </c>
      <c r="U291" s="684"/>
      <c r="V291" s="685"/>
      <c r="W291" s="683" t="str">
        <f>IF(W290="","",VLOOKUP(W290,Espesor!$C$8:$E$41,3,0))</f>
        <v/>
      </c>
      <c r="X291" s="684"/>
      <c r="Y291" s="685"/>
      <c r="Z291" s="683" t="str">
        <f>IF(Z290="","",VLOOKUP(Z290,Espesor!$C$8:$E$41,3,0))</f>
        <v/>
      </c>
      <c r="AA291" s="684"/>
      <c r="AB291" s="685"/>
      <c r="AD291" s="338" t="s">
        <v>4</v>
      </c>
      <c r="AE291" s="322" t="s">
        <v>3</v>
      </c>
      <c r="AF291" s="339" t="s">
        <v>138</v>
      </c>
      <c r="AG291" s="637" t="s">
        <v>139</v>
      </c>
      <c r="AH291" s="638"/>
      <c r="AI291" s="638"/>
      <c r="AJ291" s="639"/>
      <c r="AK291" s="640" t="s">
        <v>142</v>
      </c>
      <c r="AL291" s="641"/>
      <c r="AM291" s="637" t="s">
        <v>143</v>
      </c>
      <c r="AN291" s="639"/>
      <c r="AO291" s="642" t="s">
        <v>144</v>
      </c>
      <c r="AP291" s="643"/>
      <c r="AQ291" s="643"/>
      <c r="AR291" s="644"/>
      <c r="AS291" s="642" t="s">
        <v>145</v>
      </c>
      <c r="AT291" s="643"/>
      <c r="AU291" s="644"/>
      <c r="AV291" s="645" t="s">
        <v>157</v>
      </c>
      <c r="AW291" s="646"/>
      <c r="AX291" s="646"/>
      <c r="AY291" s="646"/>
      <c r="AZ291" s="646"/>
      <c r="BA291" s="647"/>
      <c r="BC291" s="422">
        <f>+A287</f>
        <v>6</v>
      </c>
      <c r="BD291" s="433" t="s">
        <v>183</v>
      </c>
      <c r="BE291" s="429">
        <f>IF(BE290=$B$290,$B$302,IF(BE290=$E$290,$E$302,IF(BE290=$H$290,$H$302,IF(BE290=$K$290,$K$302,IF(BE290=$N$290,$N$302,IF(BE290=$Q$290,$Q$302,IF(BE290=$T$290,$T$302,IF(BE290=$W$290,$W$302,IF(BE290=$Z$290,$Z$302,0)))))))))</f>
        <v>0</v>
      </c>
      <c r="BF291" s="429">
        <f t="shared" ref="BF291:CL291" si="501">IF(BF290=$B$290,$B$302,IF(BF290=$E$290,$E$302,IF(BF290=$H$290,$H$302,IF(BF290=$K$290,$K$302,IF(BF290=$N$290,$N$302,IF(BF290=$Q$290,$Q$302,IF(BF290=$T$290,$T$302,IF(BF290=$W$290,$W$302,IF(BF290=$Z$290,$Z$302,0)))))))))</f>
        <v>0</v>
      </c>
      <c r="BG291" s="429">
        <f t="shared" si="501"/>
        <v>0</v>
      </c>
      <c r="BH291" s="429">
        <f t="shared" si="501"/>
        <v>0</v>
      </c>
      <c r="BI291" s="429">
        <f t="shared" si="501"/>
        <v>0</v>
      </c>
      <c r="BJ291" s="429">
        <f t="shared" si="501"/>
        <v>0</v>
      </c>
      <c r="BK291" s="429">
        <f t="shared" si="501"/>
        <v>0</v>
      </c>
      <c r="BL291" s="429">
        <f t="shared" si="501"/>
        <v>0</v>
      </c>
      <c r="BM291" s="429">
        <f t="shared" si="501"/>
        <v>0</v>
      </c>
      <c r="BN291" s="429">
        <f t="shared" si="501"/>
        <v>0</v>
      </c>
      <c r="BO291" s="429">
        <f t="shared" si="501"/>
        <v>0</v>
      </c>
      <c r="BP291" s="429">
        <f t="shared" si="501"/>
        <v>0</v>
      </c>
      <c r="BQ291" s="429">
        <f t="shared" si="501"/>
        <v>0</v>
      </c>
      <c r="BR291" s="429">
        <f t="shared" si="501"/>
        <v>0</v>
      </c>
      <c r="BS291" s="429">
        <f t="shared" si="501"/>
        <v>0</v>
      </c>
      <c r="BT291" s="429">
        <f t="shared" si="501"/>
        <v>0</v>
      </c>
      <c r="BU291" s="429">
        <f t="shared" si="501"/>
        <v>0</v>
      </c>
      <c r="BV291" s="429">
        <f t="shared" si="501"/>
        <v>0</v>
      </c>
      <c r="BW291" s="429">
        <f t="shared" si="501"/>
        <v>0</v>
      </c>
      <c r="BX291" s="429">
        <f t="shared" si="501"/>
        <v>0</v>
      </c>
      <c r="BY291" s="429">
        <f t="shared" si="501"/>
        <v>0</v>
      </c>
      <c r="BZ291" s="429">
        <f t="shared" si="501"/>
        <v>0</v>
      </c>
      <c r="CA291" s="429">
        <f t="shared" si="501"/>
        <v>0</v>
      </c>
      <c r="CB291" s="429">
        <f t="shared" si="501"/>
        <v>0</v>
      </c>
      <c r="CC291" s="429">
        <f t="shared" si="501"/>
        <v>0</v>
      </c>
      <c r="CD291" s="429">
        <f t="shared" si="501"/>
        <v>0</v>
      </c>
      <c r="CE291" s="429">
        <f t="shared" si="501"/>
        <v>0</v>
      </c>
      <c r="CF291" s="429">
        <f t="shared" si="501"/>
        <v>0</v>
      </c>
      <c r="CG291" s="429">
        <f t="shared" si="501"/>
        <v>0</v>
      </c>
      <c r="CH291" s="429">
        <f t="shared" si="501"/>
        <v>0</v>
      </c>
      <c r="CI291" s="429">
        <f t="shared" si="501"/>
        <v>0</v>
      </c>
      <c r="CJ291" s="429">
        <f t="shared" si="501"/>
        <v>0</v>
      </c>
      <c r="CK291" s="429">
        <f t="shared" si="501"/>
        <v>0</v>
      </c>
      <c r="CL291" s="429">
        <f t="shared" si="501"/>
        <v>0</v>
      </c>
    </row>
    <row r="292" spans="1:90" ht="21.75" customHeight="1">
      <c r="A292" s="257" t="s">
        <v>65</v>
      </c>
      <c r="B292" s="679" t="str">
        <f>+IF(B290="","",IF(LOOKUP(B290,Espesor!$C$8:$C$41,Espesor!$K$8:$K$41)="en voladizo","",0.75/B291))</f>
        <v/>
      </c>
      <c r="C292" s="680"/>
      <c r="D292" s="681"/>
      <c r="E292" s="679" t="str">
        <f>IF(E290="","",IF(LOOKUP(E290,Espesor!$C$8:$C$41,Espesor!$K$8:$K$41)="en voladizo","",IF(H290="",0.75/E291,1/E291)))</f>
        <v/>
      </c>
      <c r="F292" s="680"/>
      <c r="G292" s="681"/>
      <c r="H292" s="679" t="str">
        <f>IF(H290="","",IF(LOOKUP(H290,Espesor!$C$8:$C$41,Espesor!$K$8:$K$41)="en voladizo","",IF(K290="",0.75/H291,1/H291)))</f>
        <v/>
      </c>
      <c r="I292" s="680"/>
      <c r="J292" s="681"/>
      <c r="K292" s="679" t="str">
        <f>IF(K290="","",IF(LOOKUP(K290,Espesor!$C$8:$C$41,Espesor!$K$8:$K$41)="en voladizo","",IF(N290="",0.75/K291,1/K291)))</f>
        <v/>
      </c>
      <c r="L292" s="680"/>
      <c r="M292" s="681"/>
      <c r="N292" s="679" t="str">
        <f>IF(N290="","",IF(LOOKUP(N290,Espesor!$C$8:$C$41,Espesor!$K$8:$K$41)="en voladizo","",IF(Q290="",0.75/N291,1/N291)))</f>
        <v/>
      </c>
      <c r="O292" s="680"/>
      <c r="P292" s="681"/>
      <c r="Q292" s="679" t="str">
        <f>IF(Q290="","",IF(LOOKUP(Q290,Espesor!$C$8:$C$41,Espesor!$K$8:$K$41)="en voladizo","",IF(T290="",0.75/Q291,1/Q291)))</f>
        <v/>
      </c>
      <c r="R292" s="680"/>
      <c r="S292" s="681"/>
      <c r="T292" s="679" t="str">
        <f>IF(T290="","",IF(LOOKUP(T290,Espesor!$C$8:$C$41,Espesor!$K$8:$K$41)="en voladizo","",IF(W290="",0.75/T291,1/T291)))</f>
        <v/>
      </c>
      <c r="U292" s="680"/>
      <c r="V292" s="681"/>
      <c r="W292" s="679" t="str">
        <f>IF(W290="","",IF(LOOKUP(W290,Espesor!$C$8:$C$41,Espesor!$K$8:$K$41)="en voladizo","",IF(Z290="",0.75/W291,1/W291)))</f>
        <v/>
      </c>
      <c r="X292" s="680"/>
      <c r="Y292" s="681"/>
      <c r="Z292" s="679" t="str">
        <f>IF(Z290="","",IF(LOOKUP(Z290,Espesor!$C$8:$C$41,Espesor!$K$8:$K$41)="en voladizo","",IF(AC290="",0.75/Z291,1/Z291)))</f>
        <v/>
      </c>
      <c r="AA292" s="680"/>
      <c r="AB292" s="681"/>
      <c r="AD292" s="320" t="str">
        <f>+IF(AE290="","",AE290)</f>
        <v/>
      </c>
      <c r="AE292" s="323" t="str">
        <f>IF(B266="","",IF($K$2="X - X",VLOOKUP(B266,Espesor!$C$8:$E$41,2,0),VLOOKUP(B266,Espesor!$C$8:$E$41,3,0)))</f>
        <v/>
      </c>
      <c r="AF292" s="318" t="str">
        <f>+IF(AD292="","",IF(LOOKUP(AD292,Espesor!$C$8:$C$41,Espesor!$K$8:$K$41)="en voladizo","",0.75/AE292))</f>
        <v/>
      </c>
      <c r="AG292" s="648" t="str">
        <f>IF(AF292="","",IF(AF293="","",ROUND(AF292/(AF292+AF293),3)))</f>
        <v/>
      </c>
      <c r="AH292" s="343"/>
      <c r="AI292" s="648" t="str">
        <f>IF(AF293="","",IF(AF292="","",ROUND(AF293/(AF293+AF292),3)))</f>
        <v/>
      </c>
      <c r="AJ292" s="343"/>
      <c r="AK292" s="342">
        <v>0</v>
      </c>
      <c r="AL292" s="316" t="e">
        <f>-IF(B265="","",IF($K$2="X - X",VLOOKUP(B265,'Moms de Empt'!$P$3:$T$36,3,0),VLOOKUP(B265,'Moms de Empt'!$P$3:$T$36,5,0)))</f>
        <v>#VALUE!</v>
      </c>
      <c r="AM292" s="649">
        <f>IF(AD293="",0,IF(LOOKUP(AD293,Espesor!$C$8:$C$41,Espesor!$K$8:$K$41)="en voladizo",MAX(ABS(AL292),ABS(AK293)),-(AK293+AL292)))</f>
        <v>0</v>
      </c>
      <c r="AN292" s="345"/>
      <c r="AO292" s="650" t="str">
        <f>IF(AG292="","",AM292*AG292)</f>
        <v/>
      </c>
      <c r="AP292" s="342"/>
      <c r="AQ292" s="650" t="str">
        <f>IF(AI292="","",AM292*AI292)</f>
        <v/>
      </c>
      <c r="AR292" s="342"/>
      <c r="AS292" s="651" t="e">
        <f>-IF(AM292="","",IF(AL292="",IF(AO292="",0,AO292),IF(AO292="",AL292,AL292+AO292)))</f>
        <v>#VALUE!</v>
      </c>
      <c r="AT292" s="341"/>
      <c r="AU292" s="341" t="e">
        <f>+AS292</f>
        <v>#VALUE!</v>
      </c>
      <c r="AV292" s="329" t="str">
        <f>IF(B265="","",IF(L265="X - X",VLOOKUP(B290,'Moms de Empt'!$P$3:$T$36,2,0),VLOOKUP(B290,'Moms de Empt'!$P$3:$T$36,4,0)))</f>
        <v/>
      </c>
      <c r="AW292" s="653" t="str">
        <f>IF(B292="","",IF(D294="","",IF(ABS(D298)&gt;ABS(D294),-0.5*ABS(D296),0.5*ABS(D296))))</f>
        <v/>
      </c>
      <c r="AX292" s="330"/>
      <c r="AY292" s="653" t="str">
        <f>IF(AV293="","",IF(AV292="","",ROUND(AV293/(AV293+AV292),3)))</f>
        <v/>
      </c>
      <c r="AZ292" s="330"/>
      <c r="BA292" s="331" t="str">
        <f t="shared" ref="BA292:BA299" si="502">+AV292</f>
        <v/>
      </c>
      <c r="BC292" s="422"/>
      <c r="BD292" s="398"/>
      <c r="BE292" s="429"/>
    </row>
    <row r="293" spans="1:90" ht="21.75" customHeight="1">
      <c r="A293" s="247" t="s">
        <v>123</v>
      </c>
      <c r="B293" s="29"/>
      <c r="C293" s="30"/>
      <c r="D293" s="31">
        <f>IF(B292="",0,IF(E292="",0,ROUND(B292/(B292+E292),3)))</f>
        <v>0</v>
      </c>
      <c r="E293" s="29">
        <f>IF(E292="",0,IF(B292="",0,ROUND(E292/(E292+B292),3)))</f>
        <v>0</v>
      </c>
      <c r="F293" s="30"/>
      <c r="G293" s="31">
        <f>IF(E292="",0,IF(H292="",0,ROUND(E292/(E292+H292),3)))</f>
        <v>0</v>
      </c>
      <c r="H293" s="29">
        <f>IF(H292="",0,IF(E292="",0,ROUND(H292/(H292+E292),3)))</f>
        <v>0</v>
      </c>
      <c r="I293" s="30"/>
      <c r="J293" s="31">
        <f>IF(H292="",0,IF(K292="",0,ROUND(H292/(H292+K292),3)))</f>
        <v>0</v>
      </c>
      <c r="K293" s="29">
        <f>IF(K292="",0,IF(H292="",0,ROUND(K292/(K292+H292),3)))</f>
        <v>0</v>
      </c>
      <c r="L293" s="30"/>
      <c r="M293" s="31">
        <f>IF(K292="",0,IF(N292="",0,ROUND(K292/(K292+N292),3)))</f>
        <v>0</v>
      </c>
      <c r="N293" s="29">
        <f>IF(N292="",0,IF(K292="",0,ROUND(N292/(N292+K292),3)))</f>
        <v>0</v>
      </c>
      <c r="O293" s="30"/>
      <c r="P293" s="31">
        <f>IF(N292="",0,IF(Q292="",0,ROUND(N292/(N292+Q292),3)))</f>
        <v>0</v>
      </c>
      <c r="Q293" s="29">
        <f>IF(Q292="",0,IF(N292="",0,ROUND(Q292/(Q292+N292),3)))</f>
        <v>0</v>
      </c>
      <c r="R293" s="30"/>
      <c r="S293" s="31">
        <f>IF(Q292="",0,IF(T292="",0,ROUND(Q292/(Q292+T292),3)))</f>
        <v>0</v>
      </c>
      <c r="T293" s="29">
        <f>IF(T292="",0,IF(Q292="",0,ROUND(T292/(T292+Q292),3)))</f>
        <v>0</v>
      </c>
      <c r="U293" s="30"/>
      <c r="V293" s="31">
        <f>IF(T292="",0,IF(W292="",0,ROUND(T292/(T292+W292),3)))</f>
        <v>0</v>
      </c>
      <c r="W293" s="29">
        <f>IF(W292="",0,IF(T292="",0,ROUND(W292/(W292+T292),3)))</f>
        <v>0</v>
      </c>
      <c r="X293" s="30"/>
      <c r="Y293" s="31">
        <f>IF(W292="",0,IF(Z292="",0,ROUND(W292/(W292+Z292),3)))</f>
        <v>0</v>
      </c>
      <c r="Z293" s="29">
        <f>IF(Z292="",0,IF(W292="",0,ROUND(Z292/(Z292+W292),3)))</f>
        <v>0</v>
      </c>
      <c r="AA293" s="30"/>
      <c r="AB293" s="31">
        <f>IF(Z292="",0,IF(AC292="",0,ROUND(Z292/(Z292+AC292),3)))</f>
        <v>0</v>
      </c>
      <c r="AD293" s="321" t="str">
        <f>+IF(AF290="","",AF290)</f>
        <v/>
      </c>
      <c r="AE293" s="324" t="str">
        <f>IF(C265="","",IF($K$2="X - X",VLOOKUP(C265,Espesor!$C$8:$E$41,2,0),VLOOKUP(C265,Espesor!$C$8:$E$41,3,0)))</f>
        <v/>
      </c>
      <c r="AF293" s="319" t="str">
        <f>IF(AD293="","",IF(LOOKUP(AD293,Espesor!$C$8:$C$41,Espesor!$K$8:$K$41)="en voladizo","",IF(AD294="",0.75/AE293,1/AE293)))</f>
        <v/>
      </c>
      <c r="AG293" s="634"/>
      <c r="AH293" s="634" t="str">
        <f>IF(AF293="","",IF(AF294="","",ROUND(AF293/(AF293+AF294),3)))</f>
        <v/>
      </c>
      <c r="AI293" s="634"/>
      <c r="AJ293" s="634" t="str">
        <f>IF(AF293="","",IF(AF294="","",ROUND(AF294/(AF293+AF294),3)))</f>
        <v/>
      </c>
      <c r="AK293" s="317">
        <f>IF(C265="",0,IF($K$2="X - X",VLOOKUP(C265,'Moms de Empt'!$P$3:$T$36,3,0),VLOOKUP(C265,'Moms de Empt'!$P$3:$T$36,5,0)))</f>
        <v>0</v>
      </c>
      <c r="AL293" s="317">
        <f>+IF(AD294="",0,-AK293)</f>
        <v>0</v>
      </c>
      <c r="AM293" s="629"/>
      <c r="AN293" s="629">
        <f>IF(AD294="",0,IF(LOOKUP(AD294,Espesor!$C$8:$C$41,Espesor!$K$8:$K$41)="en voladizo",MAX(ABS(AL293),ABS(AK294)),-(AK294+AL293)))</f>
        <v>0</v>
      </c>
      <c r="AO293" s="630"/>
      <c r="AP293" s="630" t="str">
        <f>IF(AH293="","",AN293*AH293)</f>
        <v/>
      </c>
      <c r="AQ293" s="630"/>
      <c r="AR293" s="630" t="str">
        <f>IF(AJ293="","",AN293*AJ293)</f>
        <v/>
      </c>
      <c r="AS293" s="652"/>
      <c r="AT293" s="631">
        <f>-IF(AN293="","",IF(AL293="",IF(AP293="",0,AP293),IF(AP293="",AL293,AL293+AP293)))</f>
        <v>0</v>
      </c>
      <c r="AU293" s="341">
        <f>+AT293</f>
        <v>0</v>
      </c>
      <c r="AV293" s="332" t="str">
        <f>IF(E290="","",IF(L265="X - X",VLOOKUP(E290,'Moms de Empt'!$P$3:$T$36,2,0),VLOOKUP(E290,'Moms de Empt'!$P$3:$T$36,4,0)))</f>
        <v/>
      </c>
      <c r="AW293" s="635"/>
      <c r="AX293" s="633" t="str">
        <f>IF(AV293="","",IF(AV294="","",ROUND(AV293/(AV293+AV294),3)))</f>
        <v/>
      </c>
      <c r="AY293" s="635"/>
      <c r="AZ293" s="633" t="str">
        <f>IF(AV293="","",IF(AV294="","",ROUND(AV294/(AV293+AV294),3)))</f>
        <v/>
      </c>
      <c r="BA293" s="331" t="str">
        <f t="shared" si="502"/>
        <v/>
      </c>
      <c r="BC293" s="422"/>
      <c r="BD293" s="398"/>
      <c r="BE293" s="429"/>
    </row>
    <row r="294" spans="1:90" ht="21.75" customHeight="1">
      <c r="A294" s="248" t="s">
        <v>124</v>
      </c>
      <c r="B294" s="249"/>
      <c r="C294" s="34"/>
      <c r="D294" s="33" t="str">
        <f>IF(B290="","",-VLOOKUP(B290,'Moms de Empt'!$P$3:$T$36,5,0))</f>
        <v/>
      </c>
      <c r="E294" s="33" t="str">
        <f>IF(E290="","",VLOOKUP(E290,'Moms de Empt'!$P$3:$T$36,5,0))</f>
        <v/>
      </c>
      <c r="F294" s="34"/>
      <c r="G294" s="33" t="str">
        <f>IF(E290="","",-VLOOKUP(E290,'Moms de Empt'!$P$3:$T$36,5,0))</f>
        <v/>
      </c>
      <c r="H294" s="33" t="str">
        <f>IF(H290="","",VLOOKUP(H290,'Moms de Empt'!$P$3:$T$36,5,0))</f>
        <v/>
      </c>
      <c r="I294" s="34"/>
      <c r="J294" s="33" t="str">
        <f>IF(H290="","",-VLOOKUP(H290,'Moms de Empt'!$P$3:$T$36,5,0))</f>
        <v/>
      </c>
      <c r="K294" s="33" t="str">
        <f>IF(K290="","",VLOOKUP(K290,'Moms de Empt'!$P$3:$T$36,5,0))</f>
        <v/>
      </c>
      <c r="L294" s="34"/>
      <c r="M294" s="33" t="str">
        <f>IF(K290="","",-VLOOKUP(K290,'Moms de Empt'!$P$3:$T$36,5,0))</f>
        <v/>
      </c>
      <c r="N294" s="33" t="str">
        <f>IF(N290="","",VLOOKUP(N290,'Moms de Empt'!$P$3:$T$36,5,0))</f>
        <v/>
      </c>
      <c r="O294" s="34"/>
      <c r="P294" s="33" t="str">
        <f>IF(N290="","",-VLOOKUP(N290,'Moms de Empt'!$P$3:$T$36,5,0))</f>
        <v/>
      </c>
      <c r="Q294" s="33" t="str">
        <f>IF(Q290="","",VLOOKUP(Q290,'Moms de Empt'!$P$3:$T$36,5,0))</f>
        <v/>
      </c>
      <c r="R294" s="34"/>
      <c r="S294" s="33" t="str">
        <f>IF(Q290="","",-VLOOKUP(Q290,'Moms de Empt'!$P$3:$T$36,5,0))</f>
        <v/>
      </c>
      <c r="T294" s="33" t="str">
        <f>IF(T290="","",VLOOKUP(T290,'Moms de Empt'!$P$3:$T$36,5,0))</f>
        <v/>
      </c>
      <c r="U294" s="34"/>
      <c r="V294" s="33" t="str">
        <f>IF(T290="","",-VLOOKUP(T290,'Moms de Empt'!$P$3:$T$36,5,0))</f>
        <v/>
      </c>
      <c r="W294" s="33" t="str">
        <f>IF(W290="","",VLOOKUP(W290,'Moms de Empt'!$P$3:$T$36,5,0))</f>
        <v/>
      </c>
      <c r="X294" s="34"/>
      <c r="Y294" s="33" t="str">
        <f>IF(W290="","",-VLOOKUP(W290,'Moms de Empt'!$P$3:$T$36,5,0))</f>
        <v/>
      </c>
      <c r="Z294" s="33" t="str">
        <f>IF(Z290="","",VLOOKUP(Z290,'Moms de Empt'!$P$3:$T$36,5,0))</f>
        <v/>
      </c>
      <c r="AA294" s="34"/>
      <c r="AB294" s="33"/>
      <c r="AD294" s="321" t="str">
        <f>+IF(AG290="","",AG290)</f>
        <v/>
      </c>
      <c r="AE294" s="324" t="str">
        <f>IF(C266="","",IF($K$2="X - X",VLOOKUP(C266,Espesor!$C$8:$E$41,2,0),VLOOKUP(C266,Espesor!$C$8:$E$41,3,0)))</f>
        <v/>
      </c>
      <c r="AF294" s="319" t="str">
        <f>IF(AD294="","",IF(LOOKUP(AD294,Espesor!$C$8:$C$41,Espesor!$K$8:$K$41)="en voladizo","",IF(AD295="",0.75/AE294,1/AE294)))</f>
        <v/>
      </c>
      <c r="AG294" s="634" t="str">
        <f>IF(AF294="","",IF(AF295="","",ROUND(AF294/(AF294+AF295),3)))</f>
        <v/>
      </c>
      <c r="AH294" s="634"/>
      <c r="AI294" s="634" t="str">
        <f>IF(AF295="","",IF(AF294="","",ROUND(AF295/(AF295+AF294),3)))</f>
        <v/>
      </c>
      <c r="AJ294" s="634"/>
      <c r="AK294" s="317">
        <f>IF(D265="",0,IF($K$2="X - X",VLOOKUP(D265,'Moms de Empt'!$P$3:$T$36,3,0),VLOOKUP(D265,'Moms de Empt'!$P$3:$T$36,5,0)))</f>
        <v>0</v>
      </c>
      <c r="AL294" s="317">
        <f>+IF(AD295="",0,-AK294)</f>
        <v>0</v>
      </c>
      <c r="AM294" s="629">
        <f>IF(AD295="",0,IF(LOOKUP(AD295,Espesor!$C$8:$C$41,Espesor!$K$8:$K$41)="en voladizo",MAX(ABS(AL294),ABS(AK295)),-(AK295+AL294)))</f>
        <v>0</v>
      </c>
      <c r="AN294" s="629"/>
      <c r="AO294" s="630" t="str">
        <f>IF(AG294="","",AM294*AG294)</f>
        <v/>
      </c>
      <c r="AP294" s="630"/>
      <c r="AQ294" s="630" t="str">
        <f>IF(AI294="","",AM294*AI294)</f>
        <v/>
      </c>
      <c r="AR294" s="630"/>
      <c r="AS294" s="631">
        <f>-IF(AM294="","",IF(AL294="",IF(AO294="",0,AO294),IF(AO294="",AL294,AL294+AO294)))</f>
        <v>0</v>
      </c>
      <c r="AT294" s="632"/>
      <c r="AU294" s="341">
        <f>+AS294</f>
        <v>0</v>
      </c>
      <c r="AV294" s="332" t="str">
        <f>IF(H290="","",IF(L265="X - X",VLOOKUP(H290,'Moms de Empt'!$P$3:$T$36,2,0),VLOOKUP(H290,'Moms de Empt'!$P$3:$T$36,4,0)))</f>
        <v/>
      </c>
      <c r="AW294" s="635" t="str">
        <f>IF(AV294="","",IF(AV295="","",ROUND(AV294/(AV294+AV295),3)))</f>
        <v/>
      </c>
      <c r="AX294" s="633"/>
      <c r="AY294" s="635" t="str">
        <f>IF(AV295="","",IF(AV294="","",ROUND(AV295/(AV295+AV294),3)))</f>
        <v/>
      </c>
      <c r="AZ294" s="633"/>
      <c r="BA294" s="331" t="str">
        <f t="shared" si="502"/>
        <v/>
      </c>
      <c r="BC294" s="422"/>
      <c r="BD294" s="398"/>
      <c r="BE294" s="429"/>
    </row>
    <row r="295" spans="1:90" ht="21.75" customHeight="1">
      <c r="A295" s="250" t="s">
        <v>125</v>
      </c>
      <c r="B295" s="272"/>
      <c r="C295" s="406"/>
      <c r="D295" s="678">
        <f>+IF(E290="",0,IF(LOOKUP(E290,Espesor!$C$8:$C$41,Espesor!$K$8:$K$41)="en voladizo",IF(LOOKUP(B290,Espesor!$C$8:$C$41,Espesor!$K$8:$K$41)="en voladizo","Inestable",MAX(ABS(D294),ABS(E294))),IF(LOOKUP(B290,Espesor!$C$8:$C$41,Espesor!$K$8:$K$41)="en voladizo",MAX(ABS(D294),ABS(E294)),-(E294+D294))))</f>
        <v>0</v>
      </c>
      <c r="E295" s="678"/>
      <c r="F295" s="406"/>
      <c r="G295" s="678">
        <f>+IF(H290="",0,IF(LOOKUP(H290,Espesor!$C$8:$C$41,Espesor!$K$8:$K$41)="en voladizo",IF(LOOKUP(E290,Espesor!$C$8:$C$41,Espesor!$K$8:$K$41)="en voladizo","Inestable",MAX(ABS(G294),ABS(H294))),IF(LOOKUP(E290,Espesor!$C$8:$C$41,Espesor!$K$8:$K$41)="en voladizo",MAX(ABS(G294),ABS(H294)),-(H294+G294))))</f>
        <v>0</v>
      </c>
      <c r="H295" s="678"/>
      <c r="I295" s="406"/>
      <c r="J295" s="678">
        <f>+IF(K290="",0,IF(LOOKUP(K290,Espesor!$C$8:$C$41,Espesor!$K$8:$K$41)="en voladizo",IF(LOOKUP(H290,Espesor!$C$8:$C$41,Espesor!$K$8:$K$41)="en voladizo","Inestable",MAX(ABS(J294),ABS(K294))),IF(LOOKUP(H290,Espesor!$C$8:$C$41,Espesor!$K$8:$K$41)="en voladizo",MAX(ABS(J294),ABS(K294)),-(K294+J294))))</f>
        <v>0</v>
      </c>
      <c r="K295" s="678"/>
      <c r="L295" s="406"/>
      <c r="M295" s="678">
        <f>+IF(N290="",0,IF(LOOKUP(N290,Espesor!$C$8:$C$41,Espesor!$K$8:$K$41)="en voladizo",IF(LOOKUP(K290,Espesor!$C$8:$C$41,Espesor!$K$8:$K$41)="en voladizo","Inestable",MAX(ABS(M294),ABS(N294))),IF(LOOKUP(K290,Espesor!$C$8:$C$41,Espesor!$K$8:$K$41)="en voladizo",MAX(ABS(M294),ABS(N294)),-(N294+M294))))</f>
        <v>0</v>
      </c>
      <c r="N295" s="678"/>
      <c r="O295" s="406"/>
      <c r="P295" s="678">
        <f>+IF(Q290="",0,IF(LOOKUP(Q290,Espesor!$C$8:$C$41,Espesor!$K$8:$K$41)="en voladizo",IF(LOOKUP(N290,Espesor!$C$8:$C$41,Espesor!$K$8:$K$41)="en voladizo","Inestable",MAX(ABS(P294),ABS(Q294))),IF(LOOKUP(N290,Espesor!$C$8:$C$41,Espesor!$K$8:$K$41)="en voladizo",MAX(ABS(P294),ABS(Q294)),-(Q294+P294))))</f>
        <v>0</v>
      </c>
      <c r="Q295" s="678"/>
      <c r="R295" s="406"/>
      <c r="S295" s="678">
        <f>+IF(T290="",0,IF(LOOKUP(T290,Espesor!$C$8:$C$41,Espesor!$K$8:$K$41)="en voladizo",IF(LOOKUP(Q290,Espesor!$C$8:$C$41,Espesor!$K$8:$K$41)="en voladizo","Inestable",MAX(ABS(S294),ABS(T294))),IF(LOOKUP(Q290,Espesor!$C$8:$C$41,Espesor!$K$8:$K$41)="en voladizo",MAX(ABS(S294),ABS(T294)),-(T294+S294))))</f>
        <v>0</v>
      </c>
      <c r="T295" s="678"/>
      <c r="U295" s="406"/>
      <c r="V295" s="678">
        <f>+IF(W290="",0,IF(LOOKUP(W290,Espesor!$C$8:$C$41,Espesor!$K$8:$K$41)="en voladizo",IF(LOOKUP(T290,Espesor!$C$8:$C$41,Espesor!$K$8:$K$41)="en voladizo","Inestable",MAX(ABS(V294),ABS(W294))),IF(LOOKUP(T290,Espesor!$C$8:$C$41,Espesor!$K$8:$K$41)="en voladizo",MAX(ABS(V294),ABS(W294)),-(W294+V294))))</f>
        <v>0</v>
      </c>
      <c r="W295" s="678"/>
      <c r="X295" s="406"/>
      <c r="Y295" s="678">
        <f>+IF(Z290="",0,IF(LOOKUP(Z290,Espesor!$C$8:$C$41,Espesor!$K$8:$K$41)="en voladizo",IF(LOOKUP(W290,Espesor!$C$8:$C$41,Espesor!$K$8:$K$41)="en voladizo","Inestable",MAX(ABS(Y294),ABS(Z294))),IF(LOOKUP(W290,Espesor!$C$8:$C$41,Espesor!$K$8:$K$41)="en voladizo",MAX(ABS(Y294),ABS(Z294)),-(Z294+Y294))))</f>
        <v>0</v>
      </c>
      <c r="Z295" s="678"/>
      <c r="AA295" s="406"/>
      <c r="AB295" s="252"/>
      <c r="AD295" s="321" t="str">
        <f>+IF(AH290="","",AH290)</f>
        <v/>
      </c>
      <c r="AE295" s="324" t="str">
        <f>IF(K290="","",IF($K$2="X - X",VLOOKUP(K290,Espesor!$C$8:$E$41,2,0),VLOOKUP(K290,Espesor!$C$8:$E$41,3,0)))</f>
        <v/>
      </c>
      <c r="AF295" s="319" t="str">
        <f>IF(AD295="","",IF(LOOKUP(AD295,Espesor!$C$8:$C$41,Espesor!$K$8:$K$41)="en voladizo","",IF(AD296="",0.75/AE295,1/AE295)))</f>
        <v/>
      </c>
      <c r="AG295" s="634"/>
      <c r="AH295" s="634" t="str">
        <f>IF(AF295="","",IF(AF296="","",ROUND(AF295/(AF295+AF296),3)))</f>
        <v/>
      </c>
      <c r="AI295" s="634"/>
      <c r="AJ295" s="634" t="str">
        <f>IF(AF295="","",IF(AF296="","",ROUND(AF296/(AF295+AF296),3)))</f>
        <v/>
      </c>
      <c r="AK295" s="317">
        <f>IF(E265="",0,IF($K$2="X - X",VLOOKUP(E265,'Moms de Empt'!$P$3:$T$36,3,0),VLOOKUP(E265,'Moms de Empt'!$P$3:$T$36,5,0)))</f>
        <v>0</v>
      </c>
      <c r="AL295" s="317">
        <f t="shared" ref="AL295:AL297" si="503">+IF(AD296="",0,-AK295)</f>
        <v>0</v>
      </c>
      <c r="AM295" s="629"/>
      <c r="AN295" s="629">
        <f>IF(AD296="",0,IF(LOOKUP(AD296,Espesor!$C$8:$C$41,Espesor!$K$8:$K$41)="en voladizo",MAX(ABS(AL295),ABS(AK296)),-(AK296+AL295)))</f>
        <v>0</v>
      </c>
      <c r="AO295" s="630"/>
      <c r="AP295" s="630" t="str">
        <f t="shared" ref="AP295" si="504">IF(AH295="","",AN295*AH295)</f>
        <v/>
      </c>
      <c r="AQ295" s="630"/>
      <c r="AR295" s="630" t="str">
        <f t="shared" ref="AR295" si="505">IF(AJ295="","",AN295*AJ295)</f>
        <v/>
      </c>
      <c r="AS295" s="632"/>
      <c r="AT295" s="631">
        <f t="shared" ref="AT295" si="506">-IF(AN295="","",IF(AL295="",IF(AP295="",0,AP295),IF(AP295="",AL295,AL295+AP295)))</f>
        <v>0</v>
      </c>
      <c r="AU295" s="341">
        <f>+AT295</f>
        <v>0</v>
      </c>
      <c r="AV295" s="332" t="str">
        <f>IF(K290="","",IF(L265="X - X",VLOOKUP(K290,'Moms de Empt'!$P$3:$T$36,2,0),VLOOKUP(K290,'Moms de Empt'!$P$3:$T$36,4,0)))</f>
        <v/>
      </c>
      <c r="AW295" s="635"/>
      <c r="AX295" s="633" t="str">
        <f>IF(AV295="","",IF(AV296="","",ROUND(AV295/(AV295+AV296),3)))</f>
        <v/>
      </c>
      <c r="AY295" s="635"/>
      <c r="AZ295" s="633" t="str">
        <f>IF(AV295="","",IF(AV296="","",ROUND(AV296/(AV295+AV296),3)))</f>
        <v/>
      </c>
      <c r="BA295" s="331" t="str">
        <f t="shared" si="502"/>
        <v/>
      </c>
      <c r="BC295" s="401"/>
      <c r="BD295" s="398"/>
      <c r="BE295" s="391"/>
    </row>
    <row r="296" spans="1:90" ht="21.75" customHeight="1">
      <c r="A296" s="253" t="s">
        <v>126</v>
      </c>
      <c r="B296" s="29"/>
      <c r="C296" s="30"/>
      <c r="D296" s="254">
        <f>IF(D293="","",D295*D293)</f>
        <v>0</v>
      </c>
      <c r="E296" s="30">
        <f>IF(E293="","",D295*E293)</f>
        <v>0</v>
      </c>
      <c r="F296" s="30"/>
      <c r="G296" s="277">
        <f>IF(G293="","",G295*G293)</f>
        <v>0</v>
      </c>
      <c r="H296" s="278">
        <f>IF(H293="","",G295*H293)</f>
        <v>0</v>
      </c>
      <c r="I296" s="30"/>
      <c r="J296" s="254">
        <f>IF(J293="","",J295*J293)</f>
        <v>0</v>
      </c>
      <c r="K296" s="30">
        <f>IF(K293="","",J295*K293)</f>
        <v>0</v>
      </c>
      <c r="L296" s="30"/>
      <c r="M296" s="254">
        <f>IF(M293="","",M295*M293)</f>
        <v>0</v>
      </c>
      <c r="N296" s="30">
        <f>IF(N293="","",M295*N293)</f>
        <v>0</v>
      </c>
      <c r="O296" s="30"/>
      <c r="P296" s="254">
        <f>IF(P293="","",P295*P293)</f>
        <v>0</v>
      </c>
      <c r="Q296" s="30">
        <f>IF(Q293="","",P295*Q293)</f>
        <v>0</v>
      </c>
      <c r="R296" s="30"/>
      <c r="S296" s="254">
        <f>IF(S293="","",S295*S293)</f>
        <v>0</v>
      </c>
      <c r="T296" s="30">
        <f>IF(T293="","",S295*T293)</f>
        <v>0</v>
      </c>
      <c r="U296" s="30"/>
      <c r="V296" s="254">
        <f>IF(V293="","",V295*V293)</f>
        <v>0</v>
      </c>
      <c r="W296" s="30">
        <f>IF(W293="","",V295*W293)</f>
        <v>0</v>
      </c>
      <c r="X296" s="30"/>
      <c r="Y296" s="254">
        <f>IF(Y293="","",Y295*Y293)</f>
        <v>0</v>
      </c>
      <c r="Z296" s="30">
        <f>IF(Z293="","",Y295*Z293)</f>
        <v>0</v>
      </c>
      <c r="AA296" s="30"/>
      <c r="AB296" s="31"/>
      <c r="AD296" s="321" t="str">
        <f>+IF(AI290="","",AI290)</f>
        <v/>
      </c>
      <c r="AE296" s="324" t="str">
        <f>IF(N290="","",IF($K$2="X - X",VLOOKUP(N290,Espesor!$C$8:$E$41,2,0),VLOOKUP(N290,Espesor!$C$8:$E$41,3,0)))</f>
        <v/>
      </c>
      <c r="AF296" s="319" t="str">
        <f>IF(AD296="","",IF(LOOKUP(AD296,Espesor!$C$8:$C$41,Espesor!$K$8:$K$41)="en voladizo","",IF(AD297="",0.75/AE296,1/AE296)))</f>
        <v/>
      </c>
      <c r="AG296" s="634" t="str">
        <f>IF(AF296="","",IF(AF297="","",ROUND(AF296/(AF296+AF297),3)))</f>
        <v/>
      </c>
      <c r="AH296" s="634"/>
      <c r="AI296" s="634" t="str">
        <f>IF(AF297="","",IF(AF296="","",ROUND(AF297/(AF297+AF296),3)))</f>
        <v/>
      </c>
      <c r="AJ296" s="634"/>
      <c r="AK296" s="317">
        <f>IF(F265="",0,IF($K$2="X - X",VLOOKUP(F265,'Moms de Empt'!$P$3:$T$36,3,0),VLOOKUP(F265,'Moms de Empt'!$P$3:$T$36,5,0)))</f>
        <v>0</v>
      </c>
      <c r="AL296" s="317">
        <f t="shared" si="503"/>
        <v>0</v>
      </c>
      <c r="AM296" s="629">
        <f>IF(AD297="",0,IF(LOOKUP(AD297,Espesor!$C$8:$C$41,Espesor!$K$8:$K$41)="en voladizo",MAX(ABS(AL296),ABS(AK297)),-(AK297+AL296)))</f>
        <v>0</v>
      </c>
      <c r="AN296" s="629"/>
      <c r="AO296" s="630" t="str">
        <f t="shared" ref="AO296" si="507">IF(AG296="","",AM296*AG296)</f>
        <v/>
      </c>
      <c r="AP296" s="630"/>
      <c r="AQ296" s="630" t="str">
        <f t="shared" ref="AQ296" si="508">IF(AI296="","",AM296*AI296)</f>
        <v/>
      </c>
      <c r="AR296" s="630"/>
      <c r="AS296" s="631">
        <f>-IF(AM296="","",IF(AL296="",IF(AO296="",0,AO296),IF(AO296="",AL296,AL296+AO296)))</f>
        <v>0</v>
      </c>
      <c r="AT296" s="632"/>
      <c r="AU296" s="341">
        <f>+AS296</f>
        <v>0</v>
      </c>
      <c r="AV296" s="332" t="str">
        <f>IF(N290="","",IF(L265="X - X",VLOOKUP(N290,'Moms de Empt'!$P$3:$T$36,2,0),VLOOKUP(N290,'Moms de Empt'!$P$3:$T$36,4,0)))</f>
        <v/>
      </c>
      <c r="AW296" s="635" t="str">
        <f>IF(AV296="","",IF(AV297="","",ROUND(AV296/(AV296+AV297),3)))</f>
        <v/>
      </c>
      <c r="AX296" s="633"/>
      <c r="AY296" s="635" t="str">
        <f>IF(AV297="","",IF(AV296="","",ROUND(AV297/(AV297+AV296),3)))</f>
        <v/>
      </c>
      <c r="AZ296" s="633"/>
      <c r="BA296" s="331" t="str">
        <f t="shared" si="502"/>
        <v/>
      </c>
      <c r="BC296" s="401"/>
      <c r="BD296" s="398"/>
      <c r="BE296" s="391"/>
    </row>
    <row r="297" spans="1:90" ht="21.75" customHeight="1" thickBot="1">
      <c r="A297" s="32"/>
      <c r="B297" s="29"/>
      <c r="C297" s="30"/>
      <c r="D297" s="255">
        <f>IF(D295="",0,IF(D294="",IF(D296="",0,D296),IF(D296="",D294,D294+D296)))</f>
        <v>0</v>
      </c>
      <c r="E297" s="256">
        <f>IF(D295="",0,IF(E294="",IF(E296="",0,E296),IF(E296="",E294,E294+E296)))</f>
        <v>0</v>
      </c>
      <c r="F297" s="30"/>
      <c r="G297" s="276">
        <f>IF(G295="",0,IF(G294="",IF(G296="",0,G296),IF(G296="",G294,G294+G296)))</f>
        <v>0</v>
      </c>
      <c r="H297" s="256">
        <f>IF(G295="",0,IF(H294="",IF(H296="",0,H296),IF(H296="",H294,H294+H296)))</f>
        <v>0</v>
      </c>
      <c r="I297" s="30"/>
      <c r="J297" s="276">
        <f>IF(J295="",0,IF(J294="",IF(J296="",0,J296),IF(J296="",J294,J294+J296)))</f>
        <v>0</v>
      </c>
      <c r="K297" s="256">
        <f>IF(J295="",0,IF(K294="",IF(K296="",0,K296),IF(K296="",K294,K294+K296)))</f>
        <v>0</v>
      </c>
      <c r="L297" s="30"/>
      <c r="M297" s="276">
        <f>IF(M295="",0,IF(M294="",IF(M296="",0,M296),IF(M296="",M294,M294+M296)))</f>
        <v>0</v>
      </c>
      <c r="N297" s="256">
        <f>IF(M295="",0,IF(N294="",IF(N296="",0,N296),IF(N296="",N294,N294+N296)))</f>
        <v>0</v>
      </c>
      <c r="O297" s="30"/>
      <c r="P297" s="276">
        <f>IF(P295="",0,IF(P294="",IF(P296="",0,P296),IF(P296="",P294,P294+P296)))</f>
        <v>0</v>
      </c>
      <c r="Q297" s="256">
        <f>IF(P295="",0,IF(Q294="",IF(Q296="",0,Q296),IF(Q296="",Q294,Q294+Q296)))</f>
        <v>0</v>
      </c>
      <c r="R297" s="30"/>
      <c r="S297" s="276">
        <f>IF(S295="",0,IF(S294="",IF(S296="",0,S296),IF(S296="",S294,S294+S296)))</f>
        <v>0</v>
      </c>
      <c r="T297" s="256">
        <f>IF(S295="",0,IF(T294="",IF(T296="",0,T296),IF(T296="",T294,T294+T296)))</f>
        <v>0</v>
      </c>
      <c r="U297" s="30"/>
      <c r="V297" s="276">
        <f>IF(V295="",0,IF(V294="",IF(V296="",0,V296),IF(V296="",V294,V294+V296)))</f>
        <v>0</v>
      </c>
      <c r="W297" s="256">
        <f>IF(V295="",0,IF(W294="",IF(W296="",0,W296),IF(W296="",W294,W294+W296)))</f>
        <v>0</v>
      </c>
      <c r="X297" s="30"/>
      <c r="Y297" s="276">
        <f>IF(Y295="",0,IF(Y294="",IF(Y296="",0,Y296),IF(Y296="",Y294,Y294+Y296)))</f>
        <v>0</v>
      </c>
      <c r="Z297" s="256">
        <f>IF(Y295="",0,IF(Z294="",IF(Z296="",0,Z296),IF(Z296="",Z294,Z294+Z296)))</f>
        <v>0</v>
      </c>
      <c r="AA297" s="30"/>
      <c r="AB297" s="31"/>
      <c r="AD297" s="321" t="str">
        <f>+IF(AJ290="","",AJ290)</f>
        <v/>
      </c>
      <c r="AE297" s="324" t="str">
        <f>IF(Q290="","",IF($K$2="X - X",VLOOKUP(Q290,Espesor!$C$8:$E$41,2,0),VLOOKUP(Q290,Espesor!$C$8:$E$41,3,0)))</f>
        <v/>
      </c>
      <c r="AF297" s="319" t="str">
        <f>IF(AD297="","",IF(LOOKUP(AD297,Espesor!$C$8:$C$41,Espesor!$K$8:$K$41)="en voladizo","",IF(AD298="",0.75/AE297,1/AE297)))</f>
        <v/>
      </c>
      <c r="AG297" s="634"/>
      <c r="AH297" s="634" t="str">
        <f>IF(AF297="","",IF(AF298="","",ROUND(AF297/(AF297+AF298),3)))</f>
        <v/>
      </c>
      <c r="AI297" s="634"/>
      <c r="AJ297" s="634" t="str">
        <f>IF(AF297="","",IF(AF298="","",ROUND(AF298/(AF297+AF298),3)))</f>
        <v/>
      </c>
      <c r="AK297" s="317">
        <f>IF(G265="",0,IF($K$2="X - X",VLOOKUP(G265,'Moms de Empt'!$P$3:$T$36,3,0),VLOOKUP(G265,'Moms de Empt'!$P$3:$T$36,5,0)))</f>
        <v>0</v>
      </c>
      <c r="AL297" s="317">
        <f t="shared" si="503"/>
        <v>0</v>
      </c>
      <c r="AM297" s="629"/>
      <c r="AN297" s="629">
        <f>IF(AD298="",0,IF(LOOKUP(AD298,Espesor!$C$8:$C$41,Espesor!$K$8:$K$41)="en voladizo",MAX(ABS(AL297),ABS(AK298)),-(AK298+AL297)))</f>
        <v>0</v>
      </c>
      <c r="AO297" s="630"/>
      <c r="AP297" s="630" t="str">
        <f t="shared" ref="AP297" si="509">IF(AH297="","",AN297*AH297)</f>
        <v/>
      </c>
      <c r="AQ297" s="630"/>
      <c r="AR297" s="630" t="str">
        <f t="shared" ref="AR297" si="510">IF(AJ297="","",AN297*AJ297)</f>
        <v/>
      </c>
      <c r="AS297" s="632"/>
      <c r="AT297" s="631">
        <f t="shared" ref="AT297" si="511">-IF(AN297="","",IF(AL297="",IF(AP297="",0,AP297),IF(AP297="",AL297,AL297+AP297)))</f>
        <v>0</v>
      </c>
      <c r="AU297" s="341">
        <f>+AT297</f>
        <v>0</v>
      </c>
      <c r="AV297" s="332" t="str">
        <f>IF(Q290="","",IF(L265="X - X",VLOOKUP(Q290,'Moms de Empt'!$P$3:$T$36,2,0),VLOOKUP(Q290,'Moms de Empt'!$P$3:$T$36,4,0)))</f>
        <v/>
      </c>
      <c r="AW297" s="635"/>
      <c r="AX297" s="633" t="str">
        <f>IF(AV297="","",IF(AV298="","",ROUND(AV297/(AV297+AV298),3)))</f>
        <v/>
      </c>
      <c r="AY297" s="635"/>
      <c r="AZ297" s="633" t="str">
        <f>IF(AV297="","",IF(AV298="","",ROUND(AV298/(AV297+AV298),3)))</f>
        <v/>
      </c>
      <c r="BA297" s="331" t="str">
        <f t="shared" si="502"/>
        <v/>
      </c>
      <c r="BC297" s="401"/>
      <c r="BD297" s="398"/>
      <c r="BE297" s="391"/>
    </row>
    <row r="298" spans="1:90" ht="21.75" customHeight="1" thickBot="1">
      <c r="A298" s="36" t="s">
        <v>66</v>
      </c>
      <c r="B298" s="273"/>
      <c r="C298" s="36"/>
      <c r="D298" s="672">
        <f>IF(E290="",0,IF(D297=0,IF(E297=0,MAX(ABS(D294),ABS(E294)),E297),MAX(ABS(D297),ABS(E297))))</f>
        <v>0</v>
      </c>
      <c r="E298" s="674"/>
      <c r="F298" s="36"/>
      <c r="G298" s="672">
        <f>IF(H290="",0,IF(G297=0,IF(H297=0,MAX(ABS(G294),ABS(H294)),H297),MAX(ABS(G297),ABS(H297))))</f>
        <v>0</v>
      </c>
      <c r="H298" s="674"/>
      <c r="I298" s="36"/>
      <c r="J298" s="672">
        <f>IF(K290="",0,IF(J297=0,IF(K297=0,MAX(ABS(J294),ABS(K294)),K297),MAX(ABS(J297),ABS(K297))))</f>
        <v>0</v>
      </c>
      <c r="K298" s="674"/>
      <c r="L298" s="36"/>
      <c r="M298" s="672">
        <f>IF(N290="",0,IF(M297=0,IF(N297=0,MAX(ABS(M294),ABS(N294)),N297),MAX(ABS(M297),ABS(N297))))</f>
        <v>0</v>
      </c>
      <c r="N298" s="674"/>
      <c r="O298" s="36"/>
      <c r="P298" s="672">
        <f>IF(Q290="",0,IF(P297=0,IF(Q297=0,MAX(ABS(P294),ABS(Q294)),Q297),MAX(ABS(P297),ABS(Q297))))</f>
        <v>0</v>
      </c>
      <c r="Q298" s="674"/>
      <c r="R298" s="36"/>
      <c r="S298" s="672">
        <f>IF(T290="",0,IF(S297=0,IF(T297=0,MAX(ABS(S294),ABS(T294)),T297),MAX(ABS(S297),ABS(T297))))</f>
        <v>0</v>
      </c>
      <c r="T298" s="674"/>
      <c r="U298" s="265"/>
      <c r="V298" s="672">
        <f>IF(W290="",0,IF(V297=0,IF(W297=0,MAX(ABS(V294),ABS(W294)),W297),MAX(ABS(V297),ABS(W297))))</f>
        <v>0</v>
      </c>
      <c r="W298" s="674"/>
      <c r="X298" s="36"/>
      <c r="Y298" s="672">
        <f>IF(Z290="",0,IF(Y297=0,IF(Z297=0,MAX(ABS(Y294),ABS(Z294)),Z297),MAX(ABS(Y297),ABS(Z297))))</f>
        <v>0</v>
      </c>
      <c r="Z298" s="674"/>
      <c r="AA298" s="37"/>
      <c r="AB298" s="38"/>
      <c r="AD298" s="321" t="str">
        <f>+IF(AK290="","",AK290)</f>
        <v/>
      </c>
      <c r="AE298" s="324" t="str">
        <f>IF(T290="","",IF($K$2="X - X",VLOOKUP(T290,Espesor!$C$8:$E$41,2,0),VLOOKUP(T290,Espesor!$C$8:$E$41,3,0)))</f>
        <v/>
      </c>
      <c r="AF298" s="319" t="str">
        <f>IF(AD298="","",IF(LOOKUP(AD298,Espesor!$C$8:$C$41,Espesor!$K$8:$K$41)="en voladizo","",IF(AD299="",0.75/AE298,1/AE298)))</f>
        <v/>
      </c>
      <c r="AG298" s="634" t="str">
        <f>IF(AF298="","",IF(AF299="","",ROUND(AF298/(AF298+AF299),3)))</f>
        <v/>
      </c>
      <c r="AH298" s="634"/>
      <c r="AI298" s="634" t="str">
        <f>IF(AF299="","",IF(AF298="","",ROUND(AF299/(AF299+AF298),3)))</f>
        <v/>
      </c>
      <c r="AJ298" s="634"/>
      <c r="AK298" s="317">
        <f>IF(H265="",0,IF($K$2="X - X",VLOOKUP(H265,'Moms de Empt'!$P$3:$T$36,3,0),VLOOKUP(H265,'Moms de Empt'!$P$3:$T$36,5,0)))</f>
        <v>0</v>
      </c>
      <c r="AL298" s="317">
        <f>+IF(AD299="",0,-AK298)</f>
        <v>0</v>
      </c>
      <c r="AM298" s="629">
        <f>IF(AD299="",0,IF(LOOKUP(AD299,Espesor!$C$8:$C$41,Espesor!$K$8:$K$41)="en voladizo",MAX(ABS(AL298),ABS(AK299)),-(AK299+AL298)))</f>
        <v>0</v>
      </c>
      <c r="AN298" s="629"/>
      <c r="AO298" s="630" t="str">
        <f>IF(AG298="","",AM298*AG298)</f>
        <v/>
      </c>
      <c r="AP298" s="630"/>
      <c r="AQ298" s="630" t="str">
        <f t="shared" ref="AQ298" si="512">IF(AI298="","",AM298*AI298)</f>
        <v/>
      </c>
      <c r="AR298" s="630"/>
      <c r="AS298" s="631">
        <f>-IF(AM298="","",IF(AL298="",IF(AO298="",0,AO298),IF(AO298="",AL298,AL298+AO298)))</f>
        <v>0</v>
      </c>
      <c r="AT298" s="632"/>
      <c r="AU298" s="341">
        <f>+AS298</f>
        <v>0</v>
      </c>
      <c r="AV298" s="332" t="str">
        <f>IF(T290="","",IF(L265="X - X",VLOOKUP(T290,'Moms de Empt'!$P$3:$T$36,2,0),VLOOKUP(T290,'Moms de Empt'!$P$3:$T$36,4,0)))</f>
        <v/>
      </c>
      <c r="AW298" s="635" t="str">
        <f>IF(AV298="","",IF(AV299="","",ROUND(AV298/(AV298+AV299),3)))</f>
        <v/>
      </c>
      <c r="AX298" s="633"/>
      <c r="AY298" s="635" t="str">
        <f>IF(AV299="","",IF(AV298="","",ROUND(AV299/(AV299+AV298),3)))</f>
        <v/>
      </c>
      <c r="AZ298" s="633"/>
      <c r="BA298" s="331" t="str">
        <f t="shared" si="502"/>
        <v/>
      </c>
      <c r="BC298" s="401"/>
      <c r="BD298" s="398"/>
      <c r="BE298" s="391"/>
    </row>
    <row r="299" spans="1:90" ht="21.75" customHeight="1" thickBot="1">
      <c r="A299" s="36"/>
      <c r="B299" s="274"/>
      <c r="C299" s="36"/>
      <c r="D299" s="690">
        <f>IF(D298="","",D298*100000)</f>
        <v>0</v>
      </c>
      <c r="E299" s="690"/>
      <c r="F299" s="36"/>
      <c r="G299" s="690">
        <f>IF(G298="","",G298*100000)</f>
        <v>0</v>
      </c>
      <c r="H299" s="690"/>
      <c r="I299" s="388"/>
      <c r="J299" s="690">
        <f>IF(J298="","",J298*100000)</f>
        <v>0</v>
      </c>
      <c r="K299" s="690"/>
      <c r="L299" s="388"/>
      <c r="M299" s="690">
        <f>IF(M298="","",M298*100000)</f>
        <v>0</v>
      </c>
      <c r="N299" s="690"/>
      <c r="O299" s="388"/>
      <c r="P299" s="690">
        <f>IF(P298="","",P298*100000)</f>
        <v>0</v>
      </c>
      <c r="Q299" s="690"/>
      <c r="R299" s="388"/>
      <c r="S299" s="690">
        <f>IF(S298="","",S298*100000)</f>
        <v>0</v>
      </c>
      <c r="T299" s="690"/>
      <c r="U299" s="387"/>
      <c r="V299" s="690">
        <f>IF(V298="","",V298*100000)</f>
        <v>0</v>
      </c>
      <c r="W299" s="690"/>
      <c r="X299" s="388"/>
      <c r="Y299" s="690">
        <f>IF(Y298="","",Y298*100000)</f>
        <v>0</v>
      </c>
      <c r="Z299" s="690"/>
      <c r="AA299" s="37"/>
      <c r="AB299" s="275"/>
      <c r="AD299" s="321" t="str">
        <f>+IF(AL290="","",AL290)</f>
        <v/>
      </c>
      <c r="AE299" s="324" t="str">
        <f>IF(W290="","",IF($K$2="X - X",VLOOKUP(W290,Espesor!$C$8:$E$41,2,0),VLOOKUP(W290,Espesor!$C$8:$E$41,3,0)))</f>
        <v/>
      </c>
      <c r="AF299" s="319" t="str">
        <f>IF(AD299="","",IF(LOOKUP(AD299,Espesor!$C$8:$C$41,Espesor!$K$8:$K$41)="en voladizo","",IF(AD300="",0.75/AE299,1/AE299)))</f>
        <v/>
      </c>
      <c r="AG299" s="634"/>
      <c r="AH299" s="634" t="str">
        <f>IF(AF299="","",IF(AF300="","",ROUND(AF299/(AF299+AF300),3)))</f>
        <v/>
      </c>
      <c r="AI299" s="634"/>
      <c r="AJ299" s="634" t="str">
        <f>IF(AF299="","",IF(AF300="","",ROUND(AF300/(AF299+AF300),3)))</f>
        <v/>
      </c>
      <c r="AK299" s="317">
        <f>IF(I265="",0,IF($K$2="X - X",VLOOKUP(I265,'Moms de Empt'!$P$3:$T$36,3,0),VLOOKUP(I265,'Moms de Empt'!$P$3:$T$36,5,0)))</f>
        <v>0</v>
      </c>
      <c r="AL299" s="317">
        <f t="shared" ref="AL299:AL300" si="513">+IF(AD300="",0,-AK299)</f>
        <v>0</v>
      </c>
      <c r="AM299" s="629"/>
      <c r="AN299" s="629">
        <f>IF(AD300="",0,IF(LOOKUP(AD300,Espesor!$C$8:$C$41,Espesor!$K$8:$K$41)="en voladizo",MAX(ABS(AL299),ABS(AK300)),-(AK300+AL299)))</f>
        <v>0</v>
      </c>
      <c r="AO299" s="630"/>
      <c r="AP299" s="630" t="str">
        <f t="shared" ref="AP299" si="514">IF(AH299="","",AN299*AH299)</f>
        <v/>
      </c>
      <c r="AQ299" s="630"/>
      <c r="AR299" s="630" t="str">
        <f t="shared" ref="AR299" si="515">IF(AJ299="","",AN299*AJ299)</f>
        <v/>
      </c>
      <c r="AS299" s="632"/>
      <c r="AT299" s="631">
        <f t="shared" ref="AT299" si="516">-IF(AN299="","",IF(AL299="",IF(AP299="",0,AP299),IF(AP299="",AL299,AL299+AP299)))</f>
        <v>0</v>
      </c>
      <c r="AU299" s="341">
        <f>+AT299</f>
        <v>0</v>
      </c>
      <c r="AV299" s="332" t="str">
        <f>IF(W290="","",IF(L265="X - X",VLOOKUP(W290,'Moms de Empt'!$P$3:$T$36,2,0),VLOOKUP(W290,'Moms de Empt'!$P$3:$T$36,4,0)))</f>
        <v/>
      </c>
      <c r="AW299" s="635"/>
      <c r="AX299" s="633" t="str">
        <f>IF(AV299="","",IF(AV300="","",ROUND(AV299/(AV299+AV300),3)))</f>
        <v/>
      </c>
      <c r="AY299" s="635"/>
      <c r="AZ299" s="633" t="str">
        <f>IF(AV299="","",IF(AV300="","",ROUND(AV300/(AV299+AV300),3)))</f>
        <v/>
      </c>
      <c r="BA299" s="331" t="str">
        <f t="shared" si="502"/>
        <v/>
      </c>
      <c r="BC299" s="401"/>
      <c r="BD299" s="398"/>
      <c r="BE299" s="391"/>
    </row>
    <row r="300" spans="1:90" ht="21.75" customHeight="1" thickBot="1">
      <c r="A300" s="257" t="s">
        <v>127</v>
      </c>
      <c r="B300" s="675" t="str">
        <f>+IF(B290="","",VLOOKUP(B290,'Moms de Empt'!$P$3:$T$36,4,0))</f>
        <v/>
      </c>
      <c r="C300" s="676"/>
      <c r="D300" s="677"/>
      <c r="E300" s="675" t="str">
        <f>+IF(E290="","",VLOOKUP(E290,'Moms de Empt'!$P$3:$T$36,4,0))</f>
        <v/>
      </c>
      <c r="F300" s="676"/>
      <c r="G300" s="677"/>
      <c r="H300" s="675" t="str">
        <f>+IF(H290="","",VLOOKUP(H290,'Moms de Empt'!$P$3:$T$36,4,0))</f>
        <v/>
      </c>
      <c r="I300" s="676"/>
      <c r="J300" s="677"/>
      <c r="K300" s="675" t="str">
        <f>+IF(K290="","",VLOOKUP(K290,'Moms de Empt'!$P$3:$T$36,4,0))</f>
        <v/>
      </c>
      <c r="L300" s="676"/>
      <c r="M300" s="677"/>
      <c r="N300" s="675" t="str">
        <f>+IF(N290="","",VLOOKUP(N290,'Moms de Empt'!$P$3:$T$36,4,0))</f>
        <v/>
      </c>
      <c r="O300" s="676"/>
      <c r="P300" s="677"/>
      <c r="Q300" s="675" t="str">
        <f>+IF(Q290="","",VLOOKUP(Q290,'Moms de Empt'!$P$3:$T$36,4,0))</f>
        <v/>
      </c>
      <c r="R300" s="676"/>
      <c r="S300" s="677"/>
      <c r="T300" s="675" t="str">
        <f>+IF(T290="","",VLOOKUP(T290,'Moms de Empt'!$P$3:$T$36,4,0))</f>
        <v/>
      </c>
      <c r="U300" s="676"/>
      <c r="V300" s="677"/>
      <c r="W300" s="675" t="str">
        <f>+IF(W290="","",VLOOKUP(W290,'Moms de Empt'!$P$3:$T$36,4,0))</f>
        <v/>
      </c>
      <c r="X300" s="676"/>
      <c r="Y300" s="677"/>
      <c r="Z300" s="675" t="str">
        <f>+IF(Z290="","",VLOOKUP(Z290,'Moms de Empt'!$P$3:$T$36,4,0))</f>
        <v/>
      </c>
      <c r="AA300" s="676"/>
      <c r="AB300" s="677"/>
      <c r="AD300" s="321" t="str">
        <f>+IF(AM290="","",AM290)</f>
        <v/>
      </c>
      <c r="AE300" s="324" t="str">
        <f>IF(Z290="","",IF($K$2="X - X",VLOOKUP(Z290,Espesor!$C$8:$E$41,2,0),VLOOKUP(Z290,Espesor!$C$8:$E$41,3,0)))</f>
        <v/>
      </c>
      <c r="AF300" s="319" t="str">
        <f>IF(AD300="","",IF(LOOKUP(AD300,Espesor!$C$8:$C$41,Espesor!$K$8:$K$41)="en voladizo","",IF(AD301="",0.75/AE300,1/AE300)))</f>
        <v/>
      </c>
      <c r="AG300" s="344" t="str">
        <f>IF(AF300="","",IF(AK274="","",ROUND(AF300/(AF300+AK274),3)))</f>
        <v/>
      </c>
      <c r="AH300" s="634"/>
      <c r="AI300" s="344" t="str">
        <f>IF(AK274="","",IF(AF300="","",ROUND(AK274/(AK274+AF300),3)))</f>
        <v/>
      </c>
      <c r="AJ300" s="634"/>
      <c r="AK300" s="317">
        <f>IF(J265="",0,IF($K$2="X - X",VLOOKUP(J265,'Moms de Empt'!$P$3:$T$36,3,0),VLOOKUP(J265,'Moms de Empt'!$P$3:$T$36,5,0)))</f>
        <v>0</v>
      </c>
      <c r="AL300" s="317">
        <f t="shared" si="513"/>
        <v>0</v>
      </c>
      <c r="AM300" s="307" t="str">
        <f>IF(AI274="","",IF(LOOKUP(AI274,[6]Espesor!$C$8:$C$41,[6]Espesor!$K$8:$K$41)="en voladizo",MAX(ABS(AL300),ABS(AQ274)),-(AQ274-AL300)))</f>
        <v/>
      </c>
      <c r="AN300" s="629"/>
      <c r="AO300" s="340" t="str">
        <f t="shared" ref="AO300" si="517">IF(AG300="","",AM300*AG300)</f>
        <v/>
      </c>
      <c r="AP300" s="630"/>
      <c r="AQ300" s="315" t="str">
        <f t="shared" ref="AQ300" si="518">IF(AI300="","",AM300*AI300)</f>
        <v/>
      </c>
      <c r="AR300" s="630"/>
      <c r="AS300" s="312" t="str">
        <f t="shared" ref="AS300" si="519">IF(AM300="","",IF(AL300="",IF(AO300="",0,AO300),IF(AO300="",AL300,AL300+AO300)))</f>
        <v/>
      </c>
      <c r="AT300" s="632"/>
      <c r="AU300" s="341"/>
      <c r="AV300" s="333" t="str">
        <f>IF(Z290="","",IF(L265="X - X",VLOOKUP(Z290,'Moms de Empt'!$P$3:$T$36,2,0),VLOOKUP(Z290,'Moms de Empt'!$P$3:$T$36,4,0)))</f>
        <v/>
      </c>
      <c r="AW300" s="337" t="str">
        <f>IF(AV300="","",IF(BA274="","",ROUND(AV300/(AV300+BA274),3)))</f>
        <v/>
      </c>
      <c r="AX300" s="633"/>
      <c r="AY300" s="337" t="str">
        <f>IF(BA274="","",IF(AV300="","",ROUND(BA274/(BA274+AV300),3)))</f>
        <v/>
      </c>
      <c r="AZ300" s="633"/>
      <c r="BA300" s="331"/>
      <c r="BC300" s="401"/>
      <c r="BD300" s="398"/>
      <c r="BE300" s="391"/>
    </row>
    <row r="301" spans="1:90" ht="21.75" customHeight="1" thickBot="1">
      <c r="A301" s="258"/>
      <c r="B301" s="209"/>
      <c r="C301" s="209"/>
      <c r="D301" s="209" t="str">
        <f>IF(B292="","",IF(D294="","",IF(ABS(D298)&gt;ABS(D294),-0.5*ABS(D296),0.5*ABS(D296))))</f>
        <v/>
      </c>
      <c r="E301" s="209" t="str">
        <f>IF(E292="","",IF(E294="","",IF(ABS(D298)&gt;ABS(E294),-0.5*ABS(E296),0.5*ABS(E296))))</f>
        <v/>
      </c>
      <c r="F301" s="209"/>
      <c r="G301" s="209" t="str">
        <f>IF(E292="","",IF(G294="","",IF(ABS(G298)&gt;ABS(G294),-0.5*ABS(G296),0.5*ABS(G296))))</f>
        <v/>
      </c>
      <c r="H301" s="209" t="str">
        <f>IF(H292="","",IF(H294="","",IF(ABS(G298)&gt;ABS(H294),-0.5*ABS(H296),0.5*ABS(H296))))</f>
        <v/>
      </c>
      <c r="I301" s="209"/>
      <c r="J301" s="209" t="str">
        <f>IF(H292="","",IF(J294="","",IF(ABS(J298)&gt;ABS(J294),-0.5*ABS(J296),0.5*ABS(J296))))</f>
        <v/>
      </c>
      <c r="K301" s="209" t="str">
        <f>IF(K292="","",IF(K294="","",IF(ABS(J298)&gt;ABS(K294),-0.5*ABS(K296),0.5*ABS(K296))))</f>
        <v/>
      </c>
      <c r="L301" s="209"/>
      <c r="M301" s="209" t="str">
        <f>IF(K292="","",IF(M294="","",IF(ABS(M298)&gt;ABS(M294),-0.5*ABS(M296),0.5*ABS(M296))))</f>
        <v/>
      </c>
      <c r="N301" s="209" t="str">
        <f>IF(N292="","",IF(N294="","",IF(ABS(M298)&gt;ABS(N294),-0.5*ABS(N296),0.5*ABS(N296))))</f>
        <v/>
      </c>
      <c r="O301" s="209"/>
      <c r="P301" s="209" t="str">
        <f>IF(N292="","",IF(P294="","",IF(ABS(P298)&gt;ABS(P294),-0.5*ABS(P296),0.5*ABS(P296))))</f>
        <v/>
      </c>
      <c r="Q301" s="209" t="str">
        <f>IF(Q292="","",IF(Q294="","",IF(ABS(P298)&gt;ABS(Q294),-0.5*ABS(Q296),0.5*ABS(Q296))))</f>
        <v/>
      </c>
      <c r="R301" s="209"/>
      <c r="S301" s="209" t="str">
        <f>IF(Q292="","",IF(S294="","",IF(ABS(S298)&gt;ABS(S294),-0.5*ABS(S296),0.5*ABS(S296))))</f>
        <v/>
      </c>
      <c r="T301" s="209" t="str">
        <f>IF(T292="","",IF(T294="","",IF(ABS(S298)&gt;ABS(T294),-0.5*ABS(T296),0.5*ABS(T296))))</f>
        <v/>
      </c>
      <c r="U301" s="209"/>
      <c r="V301" s="209" t="str">
        <f>IF(T292="","",IF(V294="","",IF(ABS(V298)&gt;ABS(V294),-0.5*ABS(V296),0.5*ABS(V296))))</f>
        <v/>
      </c>
      <c r="W301" s="209" t="str">
        <f>IF(W292="","",IF(W294="","",IF(ABS(V298)&gt;ABS(W294),-0.5*ABS(W296),0.5*ABS(W296))))</f>
        <v/>
      </c>
      <c r="X301" s="209"/>
      <c r="Y301" s="209" t="str">
        <f>IF(W292="","",IF(Y294="","",IF(ABS(Y298)&gt;ABS(Y294),-0.5*ABS(Y296),0.5*ABS(Y296))))</f>
        <v/>
      </c>
      <c r="Z301" s="209" t="str">
        <f>IF(Z292="","",IF(Z294="","",IF(ABS(Y298)&gt;ABS(Z294),-0.5*ABS(Z296),0.5*ABS(Z296))))</f>
        <v/>
      </c>
      <c r="AA301" s="209"/>
      <c r="AB301" s="209" t="str">
        <f>IF(Z292="","",IF(AB294="","",IF(AB298&gt;-AB294,IF(AB296&lt;0,0.5*AB296,-0.5*AB296),0.5*AB296)))</f>
        <v/>
      </c>
      <c r="BC301" s="401"/>
      <c r="BD301" s="398"/>
      <c r="BE301" s="391"/>
    </row>
    <row r="302" spans="1:90" ht="21.75" customHeight="1" thickBot="1">
      <c r="A302" s="259" t="s">
        <v>128</v>
      </c>
      <c r="B302" s="672" t="str">
        <f>IF(B301="",IF(D301="",B300,B300+D301),IF(D301="",B300+B301,B300+B301+D301))</f>
        <v/>
      </c>
      <c r="C302" s="673"/>
      <c r="D302" s="674"/>
      <c r="E302" s="672" t="str">
        <f>IF(E301="",IF(G301="",E300,E300+G301),IF(G301="",E300+E301,E300+E301+G301))</f>
        <v/>
      </c>
      <c r="F302" s="673"/>
      <c r="G302" s="674"/>
      <c r="H302" s="672" t="str">
        <f>IF(H301="",IF(J301="",H300,H300+J301),IF(J301="",H300+H301,H300+H301+J301))</f>
        <v/>
      </c>
      <c r="I302" s="673"/>
      <c r="J302" s="674"/>
      <c r="K302" s="672" t="str">
        <f>IF(K301="",IF(M301="",K300,K300+M301),IF(M301="",K300+K301,K300+K301+M301))</f>
        <v/>
      </c>
      <c r="L302" s="673"/>
      <c r="M302" s="674"/>
      <c r="N302" s="672" t="str">
        <f>IF(N301="",IF(P301="",N300,N300+P301),IF(P301="",N300+N301,N300+N301+P301))</f>
        <v/>
      </c>
      <c r="O302" s="673"/>
      <c r="P302" s="674"/>
      <c r="Q302" s="672" t="str">
        <f>IF(Q301="",IF(S301="",Q300,Q300+S301),IF(S301="",Q300+Q301,Q300+Q301+S301))</f>
        <v/>
      </c>
      <c r="R302" s="673"/>
      <c r="S302" s="674"/>
      <c r="T302" s="672" t="str">
        <f>IF(T301="",IF(V301="",T300,T300+V301),IF(V301="",T300+T301,T300+T301+V301))</f>
        <v/>
      </c>
      <c r="U302" s="673"/>
      <c r="V302" s="674"/>
      <c r="W302" s="672" t="str">
        <f>IF(W301="",IF(Y301="",W300,W300+Y301),IF(Y301="",W300+W301,W300+W301+Y301))</f>
        <v/>
      </c>
      <c r="X302" s="673"/>
      <c r="Y302" s="674"/>
      <c r="Z302" s="672" t="str">
        <f>IF(Z301="",IF(AB301="",Z300,Z300+AB301),IF(AB301="",Z300+Z301,Z300+Z301+AB301))</f>
        <v/>
      </c>
      <c r="AA302" s="673"/>
      <c r="AB302" s="674"/>
      <c r="BC302" s="401"/>
      <c r="BD302" s="398"/>
      <c r="BE302" s="391"/>
    </row>
    <row r="303" spans="1:90" ht="21.75" customHeight="1">
      <c r="BC303" s="401"/>
      <c r="BD303" s="398"/>
      <c r="BE303" s="391"/>
    </row>
    <row r="304" spans="1:90" ht="21.75" customHeight="1">
      <c r="BC304" s="401"/>
      <c r="BD304" s="398"/>
      <c r="BE304" s="391"/>
    </row>
    <row r="305" spans="1:90" ht="21.75" customHeight="1" thickBot="1">
      <c r="A305" s="626">
        <f>A19</f>
        <v>7</v>
      </c>
      <c r="B305" s="626"/>
      <c r="C305" s="626"/>
      <c r="D305" s="626"/>
      <c r="E305" s="626"/>
      <c r="F305" s="262"/>
      <c r="G305" s="262"/>
      <c r="H305" s="262"/>
      <c r="I305" s="262"/>
      <c r="J305" s="628" t="s">
        <v>134</v>
      </c>
      <c r="K305" s="628"/>
      <c r="L305" s="271" t="str">
        <f>+K19</f>
        <v>Y - Y</v>
      </c>
      <c r="M305" s="262"/>
      <c r="N305" s="404"/>
      <c r="O305" s="402"/>
      <c r="P305" s="262"/>
      <c r="Q305" s="263"/>
      <c r="R305" s="263"/>
      <c r="S305" s="263"/>
      <c r="T305" s="263"/>
      <c r="U305" s="263"/>
      <c r="V305" s="263"/>
      <c r="W305" s="263"/>
      <c r="X305" s="263"/>
      <c r="Y305" s="263"/>
      <c r="Z305" s="263"/>
      <c r="AA305" s="263"/>
      <c r="AB305" s="263"/>
      <c r="BC305" s="401"/>
      <c r="BD305" s="398"/>
      <c r="BE305" s="391"/>
    </row>
    <row r="306" spans="1:90" ht="21.75" customHeight="1" thickTop="1">
      <c r="A306" s="686" t="str">
        <f>+Espesor!$J$3</f>
        <v>Techo</v>
      </c>
      <c r="B306" s="686"/>
      <c r="C306" s="688" t="s">
        <v>136</v>
      </c>
      <c r="D306" s="688"/>
      <c r="E306" s="264" t="str">
        <f>IF(B19="","",B19)</f>
        <v/>
      </c>
      <c r="F306" s="264" t="str">
        <f t="shared" ref="F306:K306" si="520">IF(C19="","",C19)</f>
        <v/>
      </c>
      <c r="G306" s="264" t="str">
        <f t="shared" si="520"/>
        <v/>
      </c>
      <c r="H306" s="264" t="str">
        <f t="shared" si="520"/>
        <v/>
      </c>
      <c r="I306" s="264" t="str">
        <f t="shared" si="520"/>
        <v/>
      </c>
      <c r="J306" s="264" t="str">
        <f t="shared" si="520"/>
        <v/>
      </c>
      <c r="K306" s="264" t="str">
        <f t="shared" si="520"/>
        <v/>
      </c>
      <c r="L306" s="264" t="str">
        <f>IF(I19="","",I19)</f>
        <v/>
      </c>
      <c r="M306" s="264" t="str">
        <f t="shared" ref="M306" si="521">IF(J19="","",J19)</f>
        <v/>
      </c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  <c r="AA306" s="264"/>
      <c r="AB306" s="263"/>
      <c r="BC306" s="401"/>
      <c r="BD306" s="398"/>
      <c r="BE306" s="391"/>
    </row>
    <row r="307" spans="1:90" ht="21.75" customHeight="1">
      <c r="A307" s="689"/>
      <c r="B307" s="689"/>
      <c r="C307" s="689"/>
      <c r="D307" s="689"/>
      <c r="E307" s="689"/>
      <c r="F307" s="689"/>
      <c r="G307" s="689"/>
      <c r="H307" s="689"/>
      <c r="I307" s="689"/>
      <c r="J307" s="689"/>
      <c r="K307" s="689"/>
      <c r="L307" s="689"/>
      <c r="M307" s="689"/>
      <c r="N307" s="689"/>
      <c r="O307" s="689"/>
      <c r="P307" s="689"/>
      <c r="Q307" s="689"/>
      <c r="R307" s="689"/>
      <c r="S307" s="689"/>
      <c r="T307" s="689"/>
      <c r="U307" s="689"/>
      <c r="V307" s="689"/>
      <c r="W307" s="689"/>
      <c r="X307" s="689"/>
      <c r="Y307" s="689"/>
      <c r="Z307" s="689"/>
      <c r="AA307" s="689"/>
      <c r="AB307" s="689"/>
      <c r="AD307" s="624" t="s">
        <v>64</v>
      </c>
      <c r="AE307" s="624"/>
      <c r="AF307" s="624"/>
      <c r="AG307" s="624"/>
      <c r="AH307" s="624"/>
      <c r="AI307" s="624"/>
      <c r="AJ307" s="624"/>
      <c r="AK307" s="624"/>
      <c r="AL307" s="624"/>
      <c r="BC307" s="401"/>
      <c r="BD307" s="398"/>
      <c r="BE307" s="391"/>
    </row>
    <row r="308" spans="1:90" ht="21.75" customHeight="1" thickBot="1">
      <c r="A308" s="360"/>
      <c r="B308" s="682" t="str">
        <f>IF($E306="","",$E306)</f>
        <v/>
      </c>
      <c r="C308" s="682"/>
      <c r="D308" s="682"/>
      <c r="E308" s="682" t="str">
        <f>IF($F306="","",$F306)</f>
        <v/>
      </c>
      <c r="F308" s="682"/>
      <c r="G308" s="682"/>
      <c r="H308" s="682" t="str">
        <f>IF($G306="","",$G306)</f>
        <v/>
      </c>
      <c r="I308" s="682"/>
      <c r="J308" s="682"/>
      <c r="K308" s="682" t="str">
        <f>IF($H306="","",$H306)</f>
        <v/>
      </c>
      <c r="L308" s="682"/>
      <c r="M308" s="682"/>
      <c r="N308" s="682" t="str">
        <f>IF($I306="","",$I306)</f>
        <v/>
      </c>
      <c r="O308" s="682"/>
      <c r="P308" s="682"/>
      <c r="Q308" s="682" t="str">
        <f>IF($J306="","",$J306)</f>
        <v/>
      </c>
      <c r="R308" s="682"/>
      <c r="S308" s="682"/>
      <c r="T308" s="682" t="str">
        <f>IF($K306="","",$K306)</f>
        <v/>
      </c>
      <c r="U308" s="682"/>
      <c r="V308" s="682"/>
      <c r="W308" s="682" t="str">
        <f>IF($L306="","",$L306)</f>
        <v/>
      </c>
      <c r="X308" s="682"/>
      <c r="Y308" s="682"/>
      <c r="Z308" s="682" t="str">
        <f>IF($M306="","",$M306)</f>
        <v/>
      </c>
      <c r="AA308" s="682"/>
      <c r="AB308" s="682"/>
      <c r="AD308" s="287" t="str">
        <f>+A283</f>
        <v>M+ =</v>
      </c>
      <c r="AE308" s="325" t="str">
        <f>+IF(B283="","",B283)</f>
        <v/>
      </c>
      <c r="AF308" s="325" t="str">
        <f>+IF(C283="","",C283)</f>
        <v/>
      </c>
      <c r="AG308" s="325" t="str">
        <f t="shared" ref="AG308" si="522">+IF(D283="","",D283)</f>
        <v/>
      </c>
      <c r="AH308" s="325" t="str">
        <f t="shared" ref="AH308" si="523">+IF(E283="","",E283)</f>
        <v/>
      </c>
      <c r="AI308" s="325" t="str">
        <f t="shared" ref="AI308" si="524">+IF(F283="","",F283)</f>
        <v/>
      </c>
      <c r="AJ308" s="325" t="str">
        <f t="shared" ref="AJ308" si="525">+IF(G283="","",G283)</f>
        <v/>
      </c>
      <c r="AK308" s="325" t="str">
        <f t="shared" ref="AK308" si="526">+IF(H283="","",H283)</f>
        <v/>
      </c>
      <c r="AL308" s="325" t="str">
        <f t="shared" ref="AL308" si="527">+IF(I283="","",I283)</f>
        <v/>
      </c>
      <c r="AM308" s="325" t="str">
        <f t="shared" ref="AM308" si="528">+IF(J283="","",J283)</f>
        <v/>
      </c>
      <c r="AN308" s="242"/>
      <c r="AO308" s="242"/>
      <c r="AP308" s="242"/>
      <c r="AQ308" s="242"/>
      <c r="AR308" s="242"/>
      <c r="AS308" s="242"/>
      <c r="AT308" s="242"/>
      <c r="AU308" s="242"/>
      <c r="AV308" s="242"/>
      <c r="AW308" s="242"/>
      <c r="AX308" s="242"/>
      <c r="AY308" s="242"/>
      <c r="AZ308" s="242"/>
      <c r="BA308" s="242"/>
      <c r="BC308" s="401"/>
      <c r="BD308" s="398"/>
      <c r="BE308" s="428">
        <f>BE$27</f>
        <v>1</v>
      </c>
      <c r="BF308" s="428">
        <f t="shared" ref="BF308:CL308" si="529">BF$27</f>
        <v>2</v>
      </c>
      <c r="BG308" s="428">
        <f t="shared" si="529"/>
        <v>3</v>
      </c>
      <c r="BH308" s="428">
        <f t="shared" si="529"/>
        <v>4</v>
      </c>
      <c r="BI308" s="428">
        <f t="shared" si="529"/>
        <v>5</v>
      </c>
      <c r="BJ308" s="428">
        <f t="shared" si="529"/>
        <v>6</v>
      </c>
      <c r="BK308" s="428">
        <f t="shared" si="529"/>
        <v>7</v>
      </c>
      <c r="BL308" s="428">
        <f t="shared" si="529"/>
        <v>8</v>
      </c>
      <c r="BM308" s="428">
        <f t="shared" si="529"/>
        <v>9</v>
      </c>
      <c r="BN308" s="428">
        <f t="shared" si="529"/>
        <v>10</v>
      </c>
      <c r="BO308" s="428">
        <f t="shared" si="529"/>
        <v>11</v>
      </c>
      <c r="BP308" s="428">
        <f t="shared" si="529"/>
        <v>12</v>
      </c>
      <c r="BQ308" s="428">
        <f t="shared" si="529"/>
        <v>13</v>
      </c>
      <c r="BR308" s="428">
        <f t="shared" si="529"/>
        <v>14</v>
      </c>
      <c r="BS308" s="428">
        <f t="shared" si="529"/>
        <v>15</v>
      </c>
      <c r="BT308" s="428">
        <f t="shared" si="529"/>
        <v>16</v>
      </c>
      <c r="BU308" s="428">
        <f t="shared" si="529"/>
        <v>17</v>
      </c>
      <c r="BV308" s="428">
        <f t="shared" si="529"/>
        <v>18</v>
      </c>
      <c r="BW308" s="428">
        <f t="shared" si="529"/>
        <v>19</v>
      </c>
      <c r="BX308" s="428">
        <f t="shared" si="529"/>
        <v>20</v>
      </c>
      <c r="BY308" s="428">
        <f t="shared" si="529"/>
        <v>21</v>
      </c>
      <c r="BZ308" s="428">
        <f t="shared" si="529"/>
        <v>22</v>
      </c>
      <c r="CA308" s="428">
        <f t="shared" si="529"/>
        <v>23</v>
      </c>
      <c r="CB308" s="428">
        <f t="shared" si="529"/>
        <v>24</v>
      </c>
      <c r="CC308" s="428">
        <f t="shared" si="529"/>
        <v>25</v>
      </c>
      <c r="CD308" s="428">
        <f t="shared" si="529"/>
        <v>26</v>
      </c>
      <c r="CE308" s="428">
        <f t="shared" si="529"/>
        <v>27</v>
      </c>
      <c r="CF308" s="428">
        <f t="shared" si="529"/>
        <v>28</v>
      </c>
      <c r="CG308" s="428">
        <f t="shared" si="529"/>
        <v>29</v>
      </c>
      <c r="CH308" s="428">
        <f t="shared" si="529"/>
        <v>30</v>
      </c>
      <c r="CI308" s="428">
        <f t="shared" si="529"/>
        <v>31</v>
      </c>
      <c r="CJ308" s="428">
        <f t="shared" si="529"/>
        <v>32</v>
      </c>
      <c r="CK308" s="428">
        <f t="shared" si="529"/>
        <v>33</v>
      </c>
      <c r="CL308" s="428">
        <f t="shared" si="529"/>
        <v>34</v>
      </c>
    </row>
    <row r="309" spans="1:90" ht="21.75" customHeight="1" thickBot="1">
      <c r="A309" s="413" t="s">
        <v>3</v>
      </c>
      <c r="B309" s="683" t="str">
        <f>IF(B308="","",VLOOKUP(B308,Espesor!$C$8:$E$41,3,0))</f>
        <v/>
      </c>
      <c r="C309" s="684"/>
      <c r="D309" s="685"/>
      <c r="E309" s="683" t="str">
        <f>IF(E308="","",VLOOKUP(E308,Espesor!$C$8:$E$41,3,0))</f>
        <v/>
      </c>
      <c r="F309" s="684"/>
      <c r="G309" s="685"/>
      <c r="H309" s="683" t="str">
        <f>IF(H308="","",VLOOKUP(H308,Espesor!$C$8:$E$41,3,0))</f>
        <v/>
      </c>
      <c r="I309" s="684"/>
      <c r="J309" s="685"/>
      <c r="K309" s="683" t="str">
        <f>IF(K308="","",VLOOKUP(K308,Espesor!$C$8:$E$41,3,0))</f>
        <v/>
      </c>
      <c r="L309" s="684"/>
      <c r="M309" s="685"/>
      <c r="N309" s="683" t="str">
        <f>IF(N308="","",VLOOKUP(N308,Espesor!$C$8:$E$41,3,0))</f>
        <v/>
      </c>
      <c r="O309" s="684"/>
      <c r="P309" s="685"/>
      <c r="Q309" s="683" t="str">
        <f>IF(Q308="","",VLOOKUP(Q308,Espesor!$C$8:$E$41,3,0))</f>
        <v/>
      </c>
      <c r="R309" s="684"/>
      <c r="S309" s="685"/>
      <c r="T309" s="683" t="str">
        <f>IF(T308="","",VLOOKUP(T308,Espesor!$C$8:$E$41,3,0))</f>
        <v/>
      </c>
      <c r="U309" s="684"/>
      <c r="V309" s="685"/>
      <c r="W309" s="683" t="str">
        <f>IF(W308="","",VLOOKUP(W308,Espesor!$C$8:$E$41,3,0))</f>
        <v/>
      </c>
      <c r="X309" s="684"/>
      <c r="Y309" s="685"/>
      <c r="Z309" s="683" t="str">
        <f>IF(Z308="","",VLOOKUP(Z308,Espesor!$C$8:$E$41,3,0))</f>
        <v/>
      </c>
      <c r="AA309" s="684"/>
      <c r="AB309" s="685"/>
      <c r="AD309" s="338" t="s">
        <v>4</v>
      </c>
      <c r="AE309" s="322" t="s">
        <v>3</v>
      </c>
      <c r="AF309" s="339" t="s">
        <v>138</v>
      </c>
      <c r="AG309" s="637" t="s">
        <v>139</v>
      </c>
      <c r="AH309" s="638"/>
      <c r="AI309" s="638"/>
      <c r="AJ309" s="639"/>
      <c r="AK309" s="640" t="s">
        <v>142</v>
      </c>
      <c r="AL309" s="641"/>
      <c r="AM309" s="637" t="s">
        <v>143</v>
      </c>
      <c r="AN309" s="639"/>
      <c r="AO309" s="642" t="s">
        <v>144</v>
      </c>
      <c r="AP309" s="643"/>
      <c r="AQ309" s="643"/>
      <c r="AR309" s="644"/>
      <c r="AS309" s="642" t="s">
        <v>145</v>
      </c>
      <c r="AT309" s="643"/>
      <c r="AU309" s="644"/>
      <c r="AV309" s="645" t="s">
        <v>157</v>
      </c>
      <c r="AW309" s="646"/>
      <c r="AX309" s="646"/>
      <c r="AY309" s="646"/>
      <c r="AZ309" s="646"/>
      <c r="BA309" s="647"/>
      <c r="BC309" s="422">
        <f>+A305</f>
        <v>7</v>
      </c>
      <c r="BD309" s="433" t="s">
        <v>183</v>
      </c>
      <c r="BE309" s="429">
        <f>IF(BE308=$B$308,$B$320,IF(BE308=$E$308,$E$320,IF(BE308=$H$308,$H$320,IF(BE308=$K$308,$K$320,IF(BE308=$N$308,$N$320,IF(BE308=$Q$308,$Q$320,IF(BE308=$T$308,$T$320,IF(BE308=$W$308,$W$320,IF(BE308=$Z$308,$Z$320,0)))))))))</f>
        <v>0</v>
      </c>
      <c r="BF309" s="429">
        <f t="shared" ref="BF309:CL309" si="530">IF(BF308=$B$308,$B$320,IF(BF308=$E$308,$E$320,IF(BF308=$H$308,$H$320,IF(BF308=$K$308,$K$320,IF(BF308=$N$308,$N$320,IF(BF308=$Q$308,$Q$320,IF(BF308=$T$308,$T$320,IF(BF308=$W$308,$W$320,IF(BF308=$Z$308,$Z$320,0)))))))))</f>
        <v>0</v>
      </c>
      <c r="BG309" s="429">
        <f t="shared" si="530"/>
        <v>0</v>
      </c>
      <c r="BH309" s="429">
        <f t="shared" si="530"/>
        <v>0</v>
      </c>
      <c r="BI309" s="429">
        <f t="shared" si="530"/>
        <v>0</v>
      </c>
      <c r="BJ309" s="429">
        <f t="shared" si="530"/>
        <v>0</v>
      </c>
      <c r="BK309" s="429">
        <f t="shared" si="530"/>
        <v>0</v>
      </c>
      <c r="BL309" s="429">
        <f t="shared" si="530"/>
        <v>0</v>
      </c>
      <c r="BM309" s="429">
        <f t="shared" si="530"/>
        <v>0</v>
      </c>
      <c r="BN309" s="429">
        <f t="shared" si="530"/>
        <v>0</v>
      </c>
      <c r="BO309" s="429">
        <f t="shared" si="530"/>
        <v>0</v>
      </c>
      <c r="BP309" s="429">
        <f t="shared" si="530"/>
        <v>0</v>
      </c>
      <c r="BQ309" s="429">
        <f t="shared" si="530"/>
        <v>0</v>
      </c>
      <c r="BR309" s="429">
        <f t="shared" si="530"/>
        <v>0</v>
      </c>
      <c r="BS309" s="429">
        <f t="shared" si="530"/>
        <v>0</v>
      </c>
      <c r="BT309" s="429">
        <f t="shared" si="530"/>
        <v>0</v>
      </c>
      <c r="BU309" s="429">
        <f t="shared" si="530"/>
        <v>0</v>
      </c>
      <c r="BV309" s="429">
        <f t="shared" si="530"/>
        <v>0</v>
      </c>
      <c r="BW309" s="429">
        <f t="shared" si="530"/>
        <v>0</v>
      </c>
      <c r="BX309" s="429">
        <f t="shared" si="530"/>
        <v>0</v>
      </c>
      <c r="BY309" s="429">
        <f t="shared" si="530"/>
        <v>0</v>
      </c>
      <c r="BZ309" s="429">
        <f t="shared" si="530"/>
        <v>0</v>
      </c>
      <c r="CA309" s="429">
        <f t="shared" si="530"/>
        <v>0</v>
      </c>
      <c r="CB309" s="429">
        <f t="shared" si="530"/>
        <v>0</v>
      </c>
      <c r="CC309" s="429">
        <f t="shared" si="530"/>
        <v>0</v>
      </c>
      <c r="CD309" s="429">
        <f t="shared" si="530"/>
        <v>0</v>
      </c>
      <c r="CE309" s="429">
        <f t="shared" si="530"/>
        <v>0</v>
      </c>
      <c r="CF309" s="429">
        <f t="shared" si="530"/>
        <v>0</v>
      </c>
      <c r="CG309" s="429">
        <f t="shared" si="530"/>
        <v>0</v>
      </c>
      <c r="CH309" s="429">
        <f t="shared" si="530"/>
        <v>0</v>
      </c>
      <c r="CI309" s="429">
        <f t="shared" si="530"/>
        <v>0</v>
      </c>
      <c r="CJ309" s="429">
        <f t="shared" si="530"/>
        <v>0</v>
      </c>
      <c r="CK309" s="429">
        <f t="shared" si="530"/>
        <v>0</v>
      </c>
      <c r="CL309" s="429">
        <f t="shared" si="530"/>
        <v>0</v>
      </c>
    </row>
    <row r="310" spans="1:90" ht="21.75" customHeight="1">
      <c r="A310" s="257" t="s">
        <v>65</v>
      </c>
      <c r="B310" s="679" t="str">
        <f>+IF(B308="","",IF(LOOKUP(B308,Espesor!$C$8:$C$41,Espesor!$K$8:$K$41)="en voladizo","",0.75/B309))</f>
        <v/>
      </c>
      <c r="C310" s="680"/>
      <c r="D310" s="681"/>
      <c r="E310" s="679" t="str">
        <f>IF(E308="","",IF(LOOKUP(E308,Espesor!$C$8:$C$41,Espesor!$K$8:$K$41)="en voladizo","",IF(H308="",0.75/E309,1/E309)))</f>
        <v/>
      </c>
      <c r="F310" s="680"/>
      <c r="G310" s="681"/>
      <c r="H310" s="679" t="str">
        <f>IF(H308="","",IF(LOOKUP(H308,Espesor!$C$8:$C$41,Espesor!$K$8:$K$41)="en voladizo","",IF(K308="",0.75/H309,1/H309)))</f>
        <v/>
      </c>
      <c r="I310" s="680"/>
      <c r="J310" s="681"/>
      <c r="K310" s="679" t="str">
        <f>IF(K308="","",IF(LOOKUP(K308,Espesor!$C$8:$C$41,Espesor!$K$8:$K$41)="en voladizo","",IF(N308="",0.75/K309,1/K309)))</f>
        <v/>
      </c>
      <c r="L310" s="680"/>
      <c r="M310" s="681"/>
      <c r="N310" s="679" t="str">
        <f>IF(N308="","",IF(LOOKUP(N308,Espesor!$C$8:$C$41,Espesor!$K$8:$K$41)="en voladizo","",IF(Q308="",0.75/N309,1/N309)))</f>
        <v/>
      </c>
      <c r="O310" s="680"/>
      <c r="P310" s="681"/>
      <c r="Q310" s="679" t="str">
        <f>IF(Q308="","",IF(LOOKUP(Q308,Espesor!$C$8:$C$41,Espesor!$K$8:$K$41)="en voladizo","",IF(T308="",0.75/Q309,1/Q309)))</f>
        <v/>
      </c>
      <c r="R310" s="680"/>
      <c r="S310" s="681"/>
      <c r="T310" s="679" t="str">
        <f>IF(T308="","",IF(LOOKUP(T308,Espesor!$C$8:$C$41,Espesor!$K$8:$K$41)="en voladizo","",IF(W308="",0.75/T309,1/T309)))</f>
        <v/>
      </c>
      <c r="U310" s="680"/>
      <c r="V310" s="681"/>
      <c r="W310" s="679" t="str">
        <f>IF(W308="","",IF(LOOKUP(W308,Espesor!$C$8:$C$41,Espesor!$K$8:$K$41)="en voladizo","",IF(Z308="",0.75/W309,1/W309)))</f>
        <v/>
      </c>
      <c r="X310" s="680"/>
      <c r="Y310" s="681"/>
      <c r="Z310" s="679" t="str">
        <f>IF(Z308="","",IF(LOOKUP(Z308,Espesor!$C$8:$C$41,Espesor!$K$8:$K$41)="en voladizo","",IF(AC308="",0.75/Z309,1/Z309)))</f>
        <v/>
      </c>
      <c r="AA310" s="680"/>
      <c r="AB310" s="681"/>
      <c r="AD310" s="320" t="str">
        <f>+IF(AE308="","",AE308)</f>
        <v/>
      </c>
      <c r="AE310" s="323" t="str">
        <f>IF(B284="","",IF($K$2="X - X",VLOOKUP(B284,Espesor!$C$8:$E$41,2,0),VLOOKUP(B284,Espesor!$C$8:$E$41,3,0)))</f>
        <v/>
      </c>
      <c r="AF310" s="318" t="str">
        <f>+IF(AD310="","",IF(LOOKUP(AD310,Espesor!$C$8:$C$41,Espesor!$K$8:$K$41)="en voladizo","",0.75/AE310))</f>
        <v/>
      </c>
      <c r="AG310" s="648" t="str">
        <f>IF(AF310="","",IF(AF311="","",ROUND(AF310/(AF310+AF311),3)))</f>
        <v/>
      </c>
      <c r="AH310" s="343"/>
      <c r="AI310" s="648" t="str">
        <f>IF(AF311="","",IF(AF310="","",ROUND(AF311/(AF311+AF310),3)))</f>
        <v/>
      </c>
      <c r="AJ310" s="343"/>
      <c r="AK310" s="342">
        <v>0</v>
      </c>
      <c r="AL310" s="316" t="e">
        <f>-IF(B283="","",IF($K$2="X - X",VLOOKUP(B283,'Moms de Empt'!$P$3:$T$36,3,0),VLOOKUP(B283,'Moms de Empt'!$P$3:$T$36,5,0)))</f>
        <v>#VALUE!</v>
      </c>
      <c r="AM310" s="649">
        <f>IF(AD311="",0,IF(LOOKUP(AD311,Espesor!$C$8:$C$41,Espesor!$K$8:$K$41)="en voladizo",MAX(ABS(AL310),ABS(AK311)),-(AK311+AL310)))</f>
        <v>0</v>
      </c>
      <c r="AN310" s="345"/>
      <c r="AO310" s="650" t="str">
        <f>IF(AG310="","",AM310*AG310)</f>
        <v/>
      </c>
      <c r="AP310" s="342"/>
      <c r="AQ310" s="650" t="str">
        <f>IF(AI310="","",AM310*AI310)</f>
        <v/>
      </c>
      <c r="AR310" s="342"/>
      <c r="AS310" s="651" t="e">
        <f>-IF(AM310="","",IF(AL310="",IF(AO310="",0,AO310),IF(AO310="",AL310,AL310+AO310)))</f>
        <v>#VALUE!</v>
      </c>
      <c r="AT310" s="341"/>
      <c r="AU310" s="341" t="e">
        <f>+AS310</f>
        <v>#VALUE!</v>
      </c>
      <c r="AV310" s="329" t="str">
        <f>IF(B283="","",IF(L283="X - X",VLOOKUP(B308,'Moms de Empt'!$P$3:$T$36,2,0),VLOOKUP(B308,'Moms de Empt'!$P$3:$T$36,4,0)))</f>
        <v/>
      </c>
      <c r="AW310" s="653" t="str">
        <f>IF(B310="","",IF(D312="","",IF(ABS(D316)&gt;ABS(D312),-0.5*ABS(D314),0.5*ABS(D314))))</f>
        <v/>
      </c>
      <c r="AX310" s="330"/>
      <c r="AY310" s="653" t="str">
        <f>IF(AV311="","",IF(AV310="","",ROUND(AV311/(AV311+AV310),3)))</f>
        <v/>
      </c>
      <c r="AZ310" s="330"/>
      <c r="BA310" s="331" t="str">
        <f t="shared" ref="BA310:BA317" si="531">+AV310</f>
        <v/>
      </c>
      <c r="BC310" s="422"/>
      <c r="BD310" s="398"/>
      <c r="BE310" s="429"/>
    </row>
    <row r="311" spans="1:90" ht="21.75" customHeight="1">
      <c r="A311" s="247" t="s">
        <v>123</v>
      </c>
      <c r="B311" s="29"/>
      <c r="C311" s="30"/>
      <c r="D311" s="31">
        <f>IF(B310="",0,IF(E310="",0,ROUND(B310/(B310+E310),3)))</f>
        <v>0</v>
      </c>
      <c r="E311" s="29">
        <f>IF(E310="",0,IF(B310="",0,ROUND(E310/(E310+B310),3)))</f>
        <v>0</v>
      </c>
      <c r="F311" s="30"/>
      <c r="G311" s="31">
        <f>IF(E310="",0,IF(H310="",0,ROUND(E310/(E310+H310),3)))</f>
        <v>0</v>
      </c>
      <c r="H311" s="29">
        <f>IF(H310="",0,IF(E310="",0,ROUND(H310/(H310+E310),3)))</f>
        <v>0</v>
      </c>
      <c r="I311" s="30"/>
      <c r="J311" s="31">
        <f>IF(H310="",0,IF(K310="",0,ROUND(H310/(H310+K310),3)))</f>
        <v>0</v>
      </c>
      <c r="K311" s="29">
        <f>IF(K310="",0,IF(H310="",0,ROUND(K310/(K310+H310),3)))</f>
        <v>0</v>
      </c>
      <c r="L311" s="30"/>
      <c r="M311" s="31">
        <f>IF(K310="",0,IF(N310="",0,ROUND(K310/(K310+N310),3)))</f>
        <v>0</v>
      </c>
      <c r="N311" s="29">
        <f>IF(N310="",0,IF(K310="",0,ROUND(N310/(N310+K310),3)))</f>
        <v>0</v>
      </c>
      <c r="O311" s="30"/>
      <c r="P311" s="31">
        <f>IF(N310="",0,IF(Q310="",0,ROUND(N310/(N310+Q310),3)))</f>
        <v>0</v>
      </c>
      <c r="Q311" s="29">
        <f>IF(Q310="",0,IF(N310="",0,ROUND(Q310/(Q310+N310),3)))</f>
        <v>0</v>
      </c>
      <c r="R311" s="30"/>
      <c r="S311" s="31">
        <f>IF(Q310="",0,IF(T310="",0,ROUND(Q310/(Q310+T310),3)))</f>
        <v>0</v>
      </c>
      <c r="T311" s="29">
        <f>IF(T310="",0,IF(Q310="",0,ROUND(T310/(T310+Q310),3)))</f>
        <v>0</v>
      </c>
      <c r="U311" s="30"/>
      <c r="V311" s="31">
        <f>IF(T310="",0,IF(W310="",0,ROUND(T310/(T310+W310),3)))</f>
        <v>0</v>
      </c>
      <c r="W311" s="29">
        <f>IF(W310="",0,IF(T310="",0,ROUND(W310/(W310+T310),3)))</f>
        <v>0</v>
      </c>
      <c r="X311" s="30"/>
      <c r="Y311" s="31">
        <f>IF(W310="",0,IF(Z310="",0,ROUND(W310/(W310+Z310),3)))</f>
        <v>0</v>
      </c>
      <c r="Z311" s="29">
        <f>IF(Z310="",0,IF(W310="",0,ROUND(Z310/(Z310+W310),3)))</f>
        <v>0</v>
      </c>
      <c r="AA311" s="30"/>
      <c r="AB311" s="31">
        <f>IF(Z310="",0,IF(AC310="",0,ROUND(Z310/(Z310+AC310),3)))</f>
        <v>0</v>
      </c>
      <c r="AD311" s="321" t="str">
        <f>+IF(AF308="","",AF308)</f>
        <v/>
      </c>
      <c r="AE311" s="324" t="str">
        <f>IF(C283="","",IF($K$2="X - X",VLOOKUP(C283,Espesor!$C$8:$E$41,2,0),VLOOKUP(C283,Espesor!$C$8:$E$41,3,0)))</f>
        <v/>
      </c>
      <c r="AF311" s="319" t="str">
        <f>IF(AD311="","",IF(LOOKUP(AD311,Espesor!$C$8:$C$41,Espesor!$K$8:$K$41)="en voladizo","",IF(AD312="",0.75/AE311,1/AE311)))</f>
        <v/>
      </c>
      <c r="AG311" s="634"/>
      <c r="AH311" s="634" t="str">
        <f>IF(AF311="","",IF(AF312="","",ROUND(AF311/(AF311+AF312),3)))</f>
        <v/>
      </c>
      <c r="AI311" s="634"/>
      <c r="AJ311" s="634" t="str">
        <f>IF(AF311="","",IF(AF312="","",ROUND(AF312/(AF311+AF312),3)))</f>
        <v/>
      </c>
      <c r="AK311" s="317">
        <f>IF(C283="",0,IF($K$2="X - X",VLOOKUP(C283,'Moms de Empt'!$P$3:$T$36,3,0),VLOOKUP(C283,'Moms de Empt'!$P$3:$T$36,5,0)))</f>
        <v>0</v>
      </c>
      <c r="AL311" s="317">
        <f>+IF(AD312="",0,-AK311)</f>
        <v>0</v>
      </c>
      <c r="AM311" s="629"/>
      <c r="AN311" s="629">
        <f>IF(AD312="",0,IF(LOOKUP(AD312,Espesor!$C$8:$C$41,Espesor!$K$8:$K$41)="en voladizo",MAX(ABS(AL311),ABS(AK312)),-(AK312+AL311)))</f>
        <v>0</v>
      </c>
      <c r="AO311" s="630"/>
      <c r="AP311" s="630" t="str">
        <f>IF(AH311="","",AN311*AH311)</f>
        <v/>
      </c>
      <c r="AQ311" s="630"/>
      <c r="AR311" s="630" t="str">
        <f>IF(AJ311="","",AN311*AJ311)</f>
        <v/>
      </c>
      <c r="AS311" s="652"/>
      <c r="AT311" s="631">
        <f>-IF(AN311="","",IF(AL311="",IF(AP311="",0,AP311),IF(AP311="",AL311,AL311+AP311)))</f>
        <v>0</v>
      </c>
      <c r="AU311" s="341">
        <f>+AT311</f>
        <v>0</v>
      </c>
      <c r="AV311" s="332" t="str">
        <f>IF(E308="","",IF(L283="X - X",VLOOKUP(E308,'Moms de Empt'!$P$3:$T$36,2,0),VLOOKUP(E308,'Moms de Empt'!$P$3:$T$36,4,0)))</f>
        <v/>
      </c>
      <c r="AW311" s="635"/>
      <c r="AX311" s="633" t="str">
        <f>IF(AV311="","",IF(AV312="","",ROUND(AV311/(AV311+AV312),3)))</f>
        <v/>
      </c>
      <c r="AY311" s="635"/>
      <c r="AZ311" s="633" t="str">
        <f>IF(AV311="","",IF(AV312="","",ROUND(AV312/(AV311+AV312),3)))</f>
        <v/>
      </c>
      <c r="BA311" s="331" t="str">
        <f t="shared" si="531"/>
        <v/>
      </c>
      <c r="BC311" s="422"/>
      <c r="BD311" s="398"/>
      <c r="BE311" s="429"/>
    </row>
    <row r="312" spans="1:90" ht="21.75" customHeight="1">
      <c r="A312" s="248" t="s">
        <v>124</v>
      </c>
      <c r="B312" s="249"/>
      <c r="C312" s="34"/>
      <c r="D312" s="33" t="str">
        <f>IF(B308="","",-VLOOKUP(B308,'Moms de Empt'!$P$3:$T$36,5,0))</f>
        <v/>
      </c>
      <c r="E312" s="33" t="str">
        <f>IF(E308="","",VLOOKUP(E308,'Moms de Empt'!$P$3:$T$36,5,0))</f>
        <v/>
      </c>
      <c r="F312" s="34"/>
      <c r="G312" s="33" t="str">
        <f>IF(E308="","",-VLOOKUP(E308,'Moms de Empt'!$P$3:$T$36,5,0))</f>
        <v/>
      </c>
      <c r="H312" s="33" t="str">
        <f>IF(H308="","",VLOOKUP(H308,'Moms de Empt'!$P$3:$T$36,5,0))</f>
        <v/>
      </c>
      <c r="I312" s="34"/>
      <c r="J312" s="33" t="str">
        <f>IF(H308="","",-VLOOKUP(H308,'Moms de Empt'!$P$3:$T$36,5,0))</f>
        <v/>
      </c>
      <c r="K312" s="33" t="str">
        <f>IF(K308="","",VLOOKUP(K308,'Moms de Empt'!$P$3:$T$36,5,0))</f>
        <v/>
      </c>
      <c r="L312" s="34"/>
      <c r="M312" s="33" t="str">
        <f>IF(K308="","",-VLOOKUP(K308,'Moms de Empt'!$P$3:$T$36,5,0))</f>
        <v/>
      </c>
      <c r="N312" s="33" t="str">
        <f>IF(N308="","",VLOOKUP(N308,'Moms de Empt'!$P$3:$T$36,5,0))</f>
        <v/>
      </c>
      <c r="O312" s="34"/>
      <c r="P312" s="33" t="str">
        <f>IF(N308="","",-VLOOKUP(N308,'Moms de Empt'!$P$3:$T$36,5,0))</f>
        <v/>
      </c>
      <c r="Q312" s="33" t="str">
        <f>IF(Q308="","",VLOOKUP(Q308,'Moms de Empt'!$P$3:$T$36,5,0))</f>
        <v/>
      </c>
      <c r="R312" s="34"/>
      <c r="S312" s="33" t="str">
        <f>IF(Q308="","",-VLOOKUP(Q308,'Moms de Empt'!$P$3:$T$36,5,0))</f>
        <v/>
      </c>
      <c r="T312" s="33" t="str">
        <f>IF(T308="","",VLOOKUP(T308,'Moms de Empt'!$P$3:$T$36,5,0))</f>
        <v/>
      </c>
      <c r="U312" s="34"/>
      <c r="V312" s="33" t="str">
        <f>IF(T308="","",-VLOOKUP(T308,'Moms de Empt'!$P$3:$T$36,5,0))</f>
        <v/>
      </c>
      <c r="W312" s="33" t="str">
        <f>IF(W308="","",VLOOKUP(W308,'Moms de Empt'!$P$3:$T$36,5,0))</f>
        <v/>
      </c>
      <c r="X312" s="34"/>
      <c r="Y312" s="33" t="str">
        <f>IF(W308="","",-VLOOKUP(W308,'Moms de Empt'!$P$3:$T$36,5,0))</f>
        <v/>
      </c>
      <c r="Z312" s="33" t="str">
        <f>IF(Z308="","",VLOOKUP(Z308,'Moms de Empt'!$P$3:$T$36,5,0))</f>
        <v/>
      </c>
      <c r="AA312" s="34"/>
      <c r="AB312" s="33"/>
      <c r="AD312" s="321" t="str">
        <f>+IF(AG308="","",AG308)</f>
        <v/>
      </c>
      <c r="AE312" s="324" t="str">
        <f>IF(C284="","",IF($K$2="X - X",VLOOKUP(C284,Espesor!$C$8:$E$41,2,0),VLOOKUP(C284,Espesor!$C$8:$E$41,3,0)))</f>
        <v/>
      </c>
      <c r="AF312" s="319" t="str">
        <f>IF(AD312="","",IF(LOOKUP(AD312,Espesor!$C$8:$C$41,Espesor!$K$8:$K$41)="en voladizo","",IF(AD313="",0.75/AE312,1/AE312)))</f>
        <v/>
      </c>
      <c r="AG312" s="634" t="str">
        <f>IF(AF312="","",IF(AF313="","",ROUND(AF312/(AF312+AF313),3)))</f>
        <v/>
      </c>
      <c r="AH312" s="634"/>
      <c r="AI312" s="634" t="str">
        <f>IF(AF313="","",IF(AF312="","",ROUND(AF313/(AF313+AF312),3)))</f>
        <v/>
      </c>
      <c r="AJ312" s="634"/>
      <c r="AK312" s="317">
        <f>IF(D283="",0,IF($K$2="X - X",VLOOKUP(D283,'Moms de Empt'!$P$3:$T$36,3,0),VLOOKUP(D283,'Moms de Empt'!$P$3:$T$36,5,0)))</f>
        <v>0</v>
      </c>
      <c r="AL312" s="317">
        <f>+IF(AD313="",0,-AK312)</f>
        <v>0</v>
      </c>
      <c r="AM312" s="629">
        <f>IF(AD313="",0,IF(LOOKUP(AD313,Espesor!$C$8:$C$41,Espesor!$K$8:$K$41)="en voladizo",MAX(ABS(AL312),ABS(AK313)),-(AK313+AL312)))</f>
        <v>0</v>
      </c>
      <c r="AN312" s="629"/>
      <c r="AO312" s="630" t="str">
        <f>IF(AG312="","",AM312*AG312)</f>
        <v/>
      </c>
      <c r="AP312" s="630"/>
      <c r="AQ312" s="630" t="str">
        <f>IF(AI312="","",AM312*AI312)</f>
        <v/>
      </c>
      <c r="AR312" s="630"/>
      <c r="AS312" s="631">
        <f>-IF(AM312="","",IF(AL312="",IF(AO312="",0,AO312),IF(AO312="",AL312,AL312+AO312)))</f>
        <v>0</v>
      </c>
      <c r="AT312" s="632"/>
      <c r="AU312" s="341">
        <f>+AS312</f>
        <v>0</v>
      </c>
      <c r="AV312" s="332" t="str">
        <f>IF(H308="","",IF(L283="X - X",VLOOKUP(H308,'Moms de Empt'!$P$3:$T$36,2,0),VLOOKUP(H308,'Moms de Empt'!$P$3:$T$36,4,0)))</f>
        <v/>
      </c>
      <c r="AW312" s="635" t="str">
        <f>IF(AV312="","",IF(AV313="","",ROUND(AV312/(AV312+AV313),3)))</f>
        <v/>
      </c>
      <c r="AX312" s="633"/>
      <c r="AY312" s="635" t="str">
        <f>IF(AV313="","",IF(AV312="","",ROUND(AV313/(AV313+AV312),3)))</f>
        <v/>
      </c>
      <c r="AZ312" s="633"/>
      <c r="BA312" s="331" t="str">
        <f t="shared" si="531"/>
        <v/>
      </c>
      <c r="BC312" s="422"/>
      <c r="BD312" s="398"/>
      <c r="BE312" s="429"/>
    </row>
    <row r="313" spans="1:90" ht="21.75" customHeight="1">
      <c r="A313" s="250" t="s">
        <v>125</v>
      </c>
      <c r="B313" s="272"/>
      <c r="C313" s="406"/>
      <c r="D313" s="678">
        <f>+IF(E308="",0,IF(LOOKUP(E308,Espesor!$C$8:$C$41,Espesor!$K$8:$K$41)="en voladizo",IF(LOOKUP(B308,Espesor!$C$8:$C$41,Espesor!$K$8:$K$41)="en voladizo","Inestable",MAX(ABS(D312),ABS(E312))),IF(LOOKUP(B308,Espesor!$C$8:$C$41,Espesor!$K$8:$K$41)="en voladizo",MAX(ABS(D312),ABS(E312)),-(E312+D312))))</f>
        <v>0</v>
      </c>
      <c r="E313" s="678"/>
      <c r="F313" s="406"/>
      <c r="G313" s="678">
        <f>+IF(H308="",0,IF(LOOKUP(H308,Espesor!$C$8:$C$41,Espesor!$K$8:$K$41)="en voladizo",IF(LOOKUP(E308,Espesor!$C$8:$C$41,Espesor!$K$8:$K$41)="en voladizo","Inestable",MAX(ABS(G312),ABS(H312))),IF(LOOKUP(E308,Espesor!$C$8:$C$41,Espesor!$K$8:$K$41)="en voladizo",MAX(ABS(G312),ABS(H312)),-(H312+G312))))</f>
        <v>0</v>
      </c>
      <c r="H313" s="678"/>
      <c r="I313" s="406"/>
      <c r="J313" s="678">
        <f>+IF(K308="",0,IF(LOOKUP(K308,Espesor!$C$8:$C$41,Espesor!$K$8:$K$41)="en voladizo",IF(LOOKUP(H308,Espesor!$C$8:$C$41,Espesor!$K$8:$K$41)="en voladizo","Inestable",MAX(ABS(J312),ABS(K312))),IF(LOOKUP(H308,Espesor!$C$8:$C$41,Espesor!$K$8:$K$41)="en voladizo",MAX(ABS(J312),ABS(K312)),-(K312+J312))))</f>
        <v>0</v>
      </c>
      <c r="K313" s="678"/>
      <c r="L313" s="406"/>
      <c r="M313" s="678">
        <f>+IF(N308="",0,IF(LOOKUP(N308,Espesor!$C$8:$C$41,Espesor!$K$8:$K$41)="en voladizo",IF(LOOKUP(K308,Espesor!$C$8:$C$41,Espesor!$K$8:$K$41)="en voladizo","Inestable",MAX(ABS(M312),ABS(N312))),IF(LOOKUP(K308,Espesor!$C$8:$C$41,Espesor!$K$8:$K$41)="en voladizo",MAX(ABS(M312),ABS(N312)),-(N312+M312))))</f>
        <v>0</v>
      </c>
      <c r="N313" s="678"/>
      <c r="O313" s="406"/>
      <c r="P313" s="678">
        <f>+IF(Q308="",0,IF(LOOKUP(Q308,Espesor!$C$8:$C$41,Espesor!$K$8:$K$41)="en voladizo",IF(LOOKUP(N308,Espesor!$C$8:$C$41,Espesor!$K$8:$K$41)="en voladizo","Inestable",MAX(ABS(P312),ABS(Q312))),IF(LOOKUP(N308,Espesor!$C$8:$C$41,Espesor!$K$8:$K$41)="en voladizo",MAX(ABS(P312),ABS(Q312)),-(Q312+P312))))</f>
        <v>0</v>
      </c>
      <c r="Q313" s="678"/>
      <c r="R313" s="406"/>
      <c r="S313" s="678">
        <f>+IF(T308="",0,IF(LOOKUP(T308,Espesor!$C$8:$C$41,Espesor!$K$8:$K$41)="en voladizo",IF(LOOKUP(Q308,Espesor!$C$8:$C$41,Espesor!$K$8:$K$41)="en voladizo","Inestable",MAX(ABS(S312),ABS(T312))),IF(LOOKUP(Q308,Espesor!$C$8:$C$41,Espesor!$K$8:$K$41)="en voladizo",MAX(ABS(S312),ABS(T312)),-(T312+S312))))</f>
        <v>0</v>
      </c>
      <c r="T313" s="678"/>
      <c r="U313" s="406"/>
      <c r="V313" s="678">
        <f>+IF(W308="",0,IF(LOOKUP(W308,Espesor!$C$8:$C$41,Espesor!$K$8:$K$41)="en voladizo",IF(LOOKUP(T308,Espesor!$C$8:$C$41,Espesor!$K$8:$K$41)="en voladizo","Inestable",MAX(ABS(V312),ABS(W312))),IF(LOOKUP(T308,Espesor!$C$8:$C$41,Espesor!$K$8:$K$41)="en voladizo",MAX(ABS(V312),ABS(W312)),-(W312+V312))))</f>
        <v>0</v>
      </c>
      <c r="W313" s="678"/>
      <c r="X313" s="406"/>
      <c r="Y313" s="678">
        <f>+IF(Z308="",0,IF(LOOKUP(Z308,Espesor!$C$8:$C$41,Espesor!$K$8:$K$41)="en voladizo",IF(LOOKUP(W308,Espesor!$C$8:$C$41,Espesor!$K$8:$K$41)="en voladizo","Inestable",MAX(ABS(Y312),ABS(Z312))),IF(LOOKUP(W308,Espesor!$C$8:$C$41,Espesor!$K$8:$K$41)="en voladizo",MAX(ABS(Y312),ABS(Z312)),-(Z312+Y312))))</f>
        <v>0</v>
      </c>
      <c r="Z313" s="678"/>
      <c r="AA313" s="406"/>
      <c r="AB313" s="252"/>
      <c r="AD313" s="321" t="str">
        <f>+IF(AH308="","",AH308)</f>
        <v/>
      </c>
      <c r="AE313" s="324" t="str">
        <f>IF(K308="","",IF($K$2="X - X",VLOOKUP(K308,Espesor!$C$8:$E$41,2,0),VLOOKUP(K308,Espesor!$C$8:$E$41,3,0)))</f>
        <v/>
      </c>
      <c r="AF313" s="319" t="str">
        <f>IF(AD313="","",IF(LOOKUP(AD313,Espesor!$C$8:$C$41,Espesor!$K$8:$K$41)="en voladizo","",IF(AD314="",0.75/AE313,1/AE313)))</f>
        <v/>
      </c>
      <c r="AG313" s="634"/>
      <c r="AH313" s="634" t="str">
        <f>IF(AF313="","",IF(AF314="","",ROUND(AF313/(AF313+AF314),3)))</f>
        <v/>
      </c>
      <c r="AI313" s="634"/>
      <c r="AJ313" s="634" t="str">
        <f>IF(AF313="","",IF(AF314="","",ROUND(AF314/(AF313+AF314),3)))</f>
        <v/>
      </c>
      <c r="AK313" s="317">
        <f>IF(E283="",0,IF($K$2="X - X",VLOOKUP(E283,'Moms de Empt'!$P$3:$T$36,3,0),VLOOKUP(E283,'Moms de Empt'!$P$3:$T$36,5,0)))</f>
        <v>0</v>
      </c>
      <c r="AL313" s="317">
        <f t="shared" ref="AL313:AL315" si="532">+IF(AD314="",0,-AK313)</f>
        <v>0</v>
      </c>
      <c r="AM313" s="629"/>
      <c r="AN313" s="629">
        <f>IF(AD314="",0,IF(LOOKUP(AD314,Espesor!$C$8:$C$41,Espesor!$K$8:$K$41)="en voladizo",MAX(ABS(AL313),ABS(AK314)),-(AK314+AL313)))</f>
        <v>0</v>
      </c>
      <c r="AO313" s="630"/>
      <c r="AP313" s="630" t="str">
        <f t="shared" ref="AP313" si="533">IF(AH313="","",AN313*AH313)</f>
        <v/>
      </c>
      <c r="AQ313" s="630"/>
      <c r="AR313" s="630" t="str">
        <f t="shared" ref="AR313" si="534">IF(AJ313="","",AN313*AJ313)</f>
        <v/>
      </c>
      <c r="AS313" s="632"/>
      <c r="AT313" s="631">
        <f t="shared" ref="AT313" si="535">-IF(AN313="","",IF(AL313="",IF(AP313="",0,AP313),IF(AP313="",AL313,AL313+AP313)))</f>
        <v>0</v>
      </c>
      <c r="AU313" s="341">
        <f>+AT313</f>
        <v>0</v>
      </c>
      <c r="AV313" s="332" t="str">
        <f>IF(K308="","",IF(L283="X - X",VLOOKUP(K308,'Moms de Empt'!$P$3:$T$36,2,0),VLOOKUP(K308,'Moms de Empt'!$P$3:$T$36,4,0)))</f>
        <v/>
      </c>
      <c r="AW313" s="635"/>
      <c r="AX313" s="633" t="str">
        <f>IF(AV313="","",IF(AV314="","",ROUND(AV313/(AV313+AV314),3)))</f>
        <v/>
      </c>
      <c r="AY313" s="635"/>
      <c r="AZ313" s="633" t="str">
        <f>IF(AV313="","",IF(AV314="","",ROUND(AV314/(AV313+AV314),3)))</f>
        <v/>
      </c>
      <c r="BA313" s="331" t="str">
        <f t="shared" si="531"/>
        <v/>
      </c>
      <c r="BC313" s="401"/>
      <c r="BD313" s="398"/>
      <c r="BE313" s="391"/>
    </row>
    <row r="314" spans="1:90" ht="21.75" customHeight="1">
      <c r="A314" s="253" t="s">
        <v>126</v>
      </c>
      <c r="B314" s="29"/>
      <c r="C314" s="30"/>
      <c r="D314" s="254">
        <f>IF(D311="","",D313*D311)</f>
        <v>0</v>
      </c>
      <c r="E314" s="30">
        <f>IF(E311="","",D313*E311)</f>
        <v>0</v>
      </c>
      <c r="F314" s="30"/>
      <c r="G314" s="277">
        <f>IF(G311="","",G313*G311)</f>
        <v>0</v>
      </c>
      <c r="H314" s="278">
        <f>IF(H311="","",G313*H311)</f>
        <v>0</v>
      </c>
      <c r="I314" s="30"/>
      <c r="J314" s="254">
        <f>IF(J311="","",J313*J311)</f>
        <v>0</v>
      </c>
      <c r="K314" s="30">
        <f>IF(K311="","",J313*K311)</f>
        <v>0</v>
      </c>
      <c r="L314" s="30"/>
      <c r="M314" s="254">
        <f>IF(M311="","",M313*M311)</f>
        <v>0</v>
      </c>
      <c r="N314" s="30">
        <f>IF(N311="","",M313*N311)</f>
        <v>0</v>
      </c>
      <c r="O314" s="30"/>
      <c r="P314" s="254">
        <f>IF(P311="","",P313*P311)</f>
        <v>0</v>
      </c>
      <c r="Q314" s="30">
        <f>IF(Q311="","",P313*Q311)</f>
        <v>0</v>
      </c>
      <c r="R314" s="30"/>
      <c r="S314" s="254">
        <f>IF(S311="","",S313*S311)</f>
        <v>0</v>
      </c>
      <c r="T314" s="30">
        <f>IF(T311="","",S313*T311)</f>
        <v>0</v>
      </c>
      <c r="U314" s="30"/>
      <c r="V314" s="254">
        <f>IF(V311="","",V313*V311)</f>
        <v>0</v>
      </c>
      <c r="W314" s="30">
        <f>IF(W311="","",V313*W311)</f>
        <v>0</v>
      </c>
      <c r="X314" s="30"/>
      <c r="Y314" s="254">
        <f>IF(Y311="","",Y313*Y311)</f>
        <v>0</v>
      </c>
      <c r="Z314" s="30">
        <f>IF(Z311="","",Y313*Z311)</f>
        <v>0</v>
      </c>
      <c r="AA314" s="30"/>
      <c r="AB314" s="31"/>
      <c r="AD314" s="321" t="str">
        <f>+IF(AI308="","",AI308)</f>
        <v/>
      </c>
      <c r="AE314" s="324" t="str">
        <f>IF(N308="","",IF($K$2="X - X",VLOOKUP(N308,Espesor!$C$8:$E$41,2,0),VLOOKUP(N308,Espesor!$C$8:$E$41,3,0)))</f>
        <v/>
      </c>
      <c r="AF314" s="319" t="str">
        <f>IF(AD314="","",IF(LOOKUP(AD314,Espesor!$C$8:$C$41,Espesor!$K$8:$K$41)="en voladizo","",IF(AD315="",0.75/AE314,1/AE314)))</f>
        <v/>
      </c>
      <c r="AG314" s="634" t="str">
        <f>IF(AF314="","",IF(AF315="","",ROUND(AF314/(AF314+AF315),3)))</f>
        <v/>
      </c>
      <c r="AH314" s="634"/>
      <c r="AI314" s="634" t="str">
        <f>IF(AF315="","",IF(AF314="","",ROUND(AF315/(AF315+AF314),3)))</f>
        <v/>
      </c>
      <c r="AJ314" s="634"/>
      <c r="AK314" s="317">
        <f>IF(F283="",0,IF($K$2="X - X",VLOOKUP(F283,'Moms de Empt'!$P$3:$T$36,3,0),VLOOKUP(F283,'Moms de Empt'!$P$3:$T$36,5,0)))</f>
        <v>0</v>
      </c>
      <c r="AL314" s="317">
        <f t="shared" si="532"/>
        <v>0</v>
      </c>
      <c r="AM314" s="629">
        <f>IF(AD315="",0,IF(LOOKUP(AD315,Espesor!$C$8:$C$41,Espesor!$K$8:$K$41)="en voladizo",MAX(ABS(AL314),ABS(AK315)),-(AK315+AL314)))</f>
        <v>0</v>
      </c>
      <c r="AN314" s="629"/>
      <c r="AO314" s="630" t="str">
        <f t="shared" ref="AO314" si="536">IF(AG314="","",AM314*AG314)</f>
        <v/>
      </c>
      <c r="AP314" s="630"/>
      <c r="AQ314" s="630" t="str">
        <f t="shared" ref="AQ314" si="537">IF(AI314="","",AM314*AI314)</f>
        <v/>
      </c>
      <c r="AR314" s="630"/>
      <c r="AS314" s="631">
        <f>-IF(AM314="","",IF(AL314="",IF(AO314="",0,AO314),IF(AO314="",AL314,AL314+AO314)))</f>
        <v>0</v>
      </c>
      <c r="AT314" s="632"/>
      <c r="AU314" s="341">
        <f>+AS314</f>
        <v>0</v>
      </c>
      <c r="AV314" s="332" t="str">
        <f>IF(N308="","",IF(L283="X - X",VLOOKUP(N308,'Moms de Empt'!$P$3:$T$36,2,0),VLOOKUP(N308,'Moms de Empt'!$P$3:$T$36,4,0)))</f>
        <v/>
      </c>
      <c r="AW314" s="635" t="str">
        <f>IF(AV314="","",IF(AV315="","",ROUND(AV314/(AV314+AV315),3)))</f>
        <v/>
      </c>
      <c r="AX314" s="633"/>
      <c r="AY314" s="635" t="str">
        <f>IF(AV315="","",IF(AV314="","",ROUND(AV315/(AV315+AV314),3)))</f>
        <v/>
      </c>
      <c r="AZ314" s="633"/>
      <c r="BA314" s="331" t="str">
        <f t="shared" si="531"/>
        <v/>
      </c>
      <c r="BC314" s="401"/>
      <c r="BD314" s="398"/>
      <c r="BE314" s="391"/>
    </row>
    <row r="315" spans="1:90" ht="21.75" customHeight="1" thickBot="1">
      <c r="A315" s="32"/>
      <c r="B315" s="29"/>
      <c r="C315" s="30"/>
      <c r="D315" s="255">
        <f>IF(D313="",0,IF(D312="",IF(D314="",0,D314),IF(D314="",D312,D312+D314)))</f>
        <v>0</v>
      </c>
      <c r="E315" s="256">
        <f>IF(D313="",0,IF(E312="",IF(E314="",0,E314),IF(E314="",E312,E312+E314)))</f>
        <v>0</v>
      </c>
      <c r="F315" s="30"/>
      <c r="G315" s="276">
        <f>IF(G313="",0,IF(G312="",IF(G314="",0,G314),IF(G314="",G312,G312+G314)))</f>
        <v>0</v>
      </c>
      <c r="H315" s="256">
        <f>IF(G313="",0,IF(H312="",IF(H314="",0,H314),IF(H314="",H312,H312+H314)))</f>
        <v>0</v>
      </c>
      <c r="I315" s="30"/>
      <c r="J315" s="276">
        <f>IF(J313="",0,IF(J312="",IF(J314="",0,J314),IF(J314="",J312,J312+J314)))</f>
        <v>0</v>
      </c>
      <c r="K315" s="256">
        <f>IF(J313="",0,IF(K312="",IF(K314="",0,K314),IF(K314="",K312,K312+K314)))</f>
        <v>0</v>
      </c>
      <c r="L315" s="30"/>
      <c r="M315" s="276">
        <f>IF(M313="",0,IF(M312="",IF(M314="",0,M314),IF(M314="",M312,M312+M314)))</f>
        <v>0</v>
      </c>
      <c r="N315" s="256">
        <f>IF(M313="",0,IF(N312="",IF(N314="",0,N314),IF(N314="",N312,N312+N314)))</f>
        <v>0</v>
      </c>
      <c r="O315" s="30"/>
      <c r="P315" s="276">
        <f>IF(P313="",0,IF(P312="",IF(P314="",0,P314),IF(P314="",P312,P312+P314)))</f>
        <v>0</v>
      </c>
      <c r="Q315" s="256">
        <f>IF(P313="",0,IF(Q312="",IF(Q314="",0,Q314),IF(Q314="",Q312,Q312+Q314)))</f>
        <v>0</v>
      </c>
      <c r="R315" s="30"/>
      <c r="S315" s="276">
        <f>IF(S313="",0,IF(S312="",IF(S314="",0,S314),IF(S314="",S312,S312+S314)))</f>
        <v>0</v>
      </c>
      <c r="T315" s="256">
        <f>IF(S313="",0,IF(T312="",IF(T314="",0,T314),IF(T314="",T312,T312+T314)))</f>
        <v>0</v>
      </c>
      <c r="U315" s="30"/>
      <c r="V315" s="276">
        <f>IF(V313="",0,IF(V312="",IF(V314="",0,V314),IF(V314="",V312,V312+V314)))</f>
        <v>0</v>
      </c>
      <c r="W315" s="256">
        <f>IF(V313="",0,IF(W312="",IF(W314="",0,W314),IF(W314="",W312,W312+W314)))</f>
        <v>0</v>
      </c>
      <c r="X315" s="30"/>
      <c r="Y315" s="276">
        <f>IF(Y313="",0,IF(Y312="",IF(Y314="",0,Y314),IF(Y314="",Y312,Y312+Y314)))</f>
        <v>0</v>
      </c>
      <c r="Z315" s="256">
        <f>IF(Y313="",0,IF(Z312="",IF(Z314="",0,Z314),IF(Z314="",Z312,Z312+Z314)))</f>
        <v>0</v>
      </c>
      <c r="AA315" s="30"/>
      <c r="AB315" s="31"/>
      <c r="AD315" s="321" t="str">
        <f>+IF(AJ308="","",AJ308)</f>
        <v/>
      </c>
      <c r="AE315" s="324" t="str">
        <f>IF(Q308="","",IF($K$2="X - X",VLOOKUP(Q308,Espesor!$C$8:$E$41,2,0),VLOOKUP(Q308,Espesor!$C$8:$E$41,3,0)))</f>
        <v/>
      </c>
      <c r="AF315" s="319" t="str">
        <f>IF(AD315="","",IF(LOOKUP(AD315,Espesor!$C$8:$C$41,Espesor!$K$8:$K$41)="en voladizo","",IF(AD316="",0.75/AE315,1/AE315)))</f>
        <v/>
      </c>
      <c r="AG315" s="634"/>
      <c r="AH315" s="634" t="str">
        <f>IF(AF315="","",IF(AF316="","",ROUND(AF315/(AF315+AF316),3)))</f>
        <v/>
      </c>
      <c r="AI315" s="634"/>
      <c r="AJ315" s="634" t="str">
        <f>IF(AF315="","",IF(AF316="","",ROUND(AF316/(AF315+AF316),3)))</f>
        <v/>
      </c>
      <c r="AK315" s="317">
        <f>IF(G283="",0,IF($K$2="X - X",VLOOKUP(G283,'Moms de Empt'!$P$3:$T$36,3,0),VLOOKUP(G283,'Moms de Empt'!$P$3:$T$36,5,0)))</f>
        <v>0</v>
      </c>
      <c r="AL315" s="317">
        <f t="shared" si="532"/>
        <v>0</v>
      </c>
      <c r="AM315" s="629"/>
      <c r="AN315" s="629">
        <f>IF(AD316="",0,IF(LOOKUP(AD316,Espesor!$C$8:$C$41,Espesor!$K$8:$K$41)="en voladizo",MAX(ABS(AL315),ABS(AK316)),-(AK316+AL315)))</f>
        <v>0</v>
      </c>
      <c r="AO315" s="630"/>
      <c r="AP315" s="630" t="str">
        <f t="shared" ref="AP315" si="538">IF(AH315="","",AN315*AH315)</f>
        <v/>
      </c>
      <c r="AQ315" s="630"/>
      <c r="AR315" s="630" t="str">
        <f t="shared" ref="AR315" si="539">IF(AJ315="","",AN315*AJ315)</f>
        <v/>
      </c>
      <c r="AS315" s="632"/>
      <c r="AT315" s="631">
        <f t="shared" ref="AT315" si="540">-IF(AN315="","",IF(AL315="",IF(AP315="",0,AP315),IF(AP315="",AL315,AL315+AP315)))</f>
        <v>0</v>
      </c>
      <c r="AU315" s="341">
        <f>+AT315</f>
        <v>0</v>
      </c>
      <c r="AV315" s="332" t="str">
        <f>IF(Q308="","",IF(L283="X - X",VLOOKUP(Q308,'Moms de Empt'!$P$3:$T$36,2,0),VLOOKUP(Q308,'Moms de Empt'!$P$3:$T$36,4,0)))</f>
        <v/>
      </c>
      <c r="AW315" s="635"/>
      <c r="AX315" s="633" t="str">
        <f>IF(AV315="","",IF(AV316="","",ROUND(AV315/(AV315+AV316),3)))</f>
        <v/>
      </c>
      <c r="AY315" s="635"/>
      <c r="AZ315" s="633" t="str">
        <f>IF(AV315="","",IF(AV316="","",ROUND(AV316/(AV315+AV316),3)))</f>
        <v/>
      </c>
      <c r="BA315" s="331" t="str">
        <f t="shared" si="531"/>
        <v/>
      </c>
      <c r="BC315" s="401"/>
      <c r="BD315" s="398"/>
      <c r="BE315" s="391"/>
    </row>
    <row r="316" spans="1:90" ht="21.75" customHeight="1" thickBot="1">
      <c r="A316" s="36" t="s">
        <v>66</v>
      </c>
      <c r="B316" s="273"/>
      <c r="C316" s="36"/>
      <c r="D316" s="672">
        <f>IF(E308="",0,IF(D315=0,IF(E315=0,MAX(ABS(D312),ABS(E312)),E315),MAX(ABS(D315),ABS(E315))))</f>
        <v>0</v>
      </c>
      <c r="E316" s="674"/>
      <c r="F316" s="36"/>
      <c r="G316" s="672">
        <f>IF(H308="",0,IF(G315=0,IF(H315=0,MAX(ABS(G312),ABS(H312)),H315),MAX(ABS(G315),ABS(H315))))</f>
        <v>0</v>
      </c>
      <c r="H316" s="674"/>
      <c r="I316" s="36"/>
      <c r="J316" s="672">
        <f>IF(K308="",0,IF(J315=0,IF(K315=0,MAX(ABS(J312),ABS(K312)),K315),MAX(ABS(J315),ABS(K315))))</f>
        <v>0</v>
      </c>
      <c r="K316" s="674"/>
      <c r="L316" s="36"/>
      <c r="M316" s="672">
        <f>IF(N308="",0,IF(M315=0,IF(N315=0,MAX(ABS(M312),ABS(N312)),N315),MAX(ABS(M315),ABS(N315))))</f>
        <v>0</v>
      </c>
      <c r="N316" s="674"/>
      <c r="O316" s="36"/>
      <c r="P316" s="672">
        <f>IF(Q308="",0,IF(P315=0,IF(Q315=0,MAX(ABS(P312),ABS(Q312)),Q315),MAX(ABS(P315),ABS(Q315))))</f>
        <v>0</v>
      </c>
      <c r="Q316" s="674"/>
      <c r="R316" s="36"/>
      <c r="S316" s="672">
        <f>IF(T308="",0,IF(S315=0,IF(T315=0,MAX(ABS(S312),ABS(T312)),T315),MAX(ABS(S315),ABS(T315))))</f>
        <v>0</v>
      </c>
      <c r="T316" s="674"/>
      <c r="U316" s="265"/>
      <c r="V316" s="672">
        <f>IF(W308="",0,IF(V315=0,IF(W315=0,MAX(ABS(V312),ABS(W312)),W315),MAX(ABS(V315),ABS(W315))))</f>
        <v>0</v>
      </c>
      <c r="W316" s="674"/>
      <c r="X316" s="36"/>
      <c r="Y316" s="672">
        <f>IF(Z308="",0,IF(Y315=0,IF(Z315=0,MAX(ABS(Y312),ABS(Z312)),Z315),MAX(ABS(Y315),ABS(Z315))))</f>
        <v>0</v>
      </c>
      <c r="Z316" s="674"/>
      <c r="AA316" s="37"/>
      <c r="AB316" s="38"/>
      <c r="AD316" s="321" t="str">
        <f>+IF(AK308="","",AK308)</f>
        <v/>
      </c>
      <c r="AE316" s="324" t="str">
        <f>IF(T308="","",IF($K$2="X - X",VLOOKUP(T308,Espesor!$C$8:$E$41,2,0),VLOOKUP(T308,Espesor!$C$8:$E$41,3,0)))</f>
        <v/>
      </c>
      <c r="AF316" s="319" t="str">
        <f>IF(AD316="","",IF(LOOKUP(AD316,Espesor!$C$8:$C$41,Espesor!$K$8:$K$41)="en voladizo","",IF(AD317="",0.75/AE316,1/AE316)))</f>
        <v/>
      </c>
      <c r="AG316" s="634" t="str">
        <f>IF(AF316="","",IF(AF317="","",ROUND(AF316/(AF316+AF317),3)))</f>
        <v/>
      </c>
      <c r="AH316" s="634"/>
      <c r="AI316" s="634" t="str">
        <f>IF(AF317="","",IF(AF316="","",ROUND(AF317/(AF317+AF316),3)))</f>
        <v/>
      </c>
      <c r="AJ316" s="634"/>
      <c r="AK316" s="317">
        <f>IF(H283="",0,IF($K$2="X - X",VLOOKUP(H283,'Moms de Empt'!$P$3:$T$36,3,0),VLOOKUP(H283,'Moms de Empt'!$P$3:$T$36,5,0)))</f>
        <v>0</v>
      </c>
      <c r="AL316" s="317">
        <f>+IF(AD317="",0,-AK316)</f>
        <v>0</v>
      </c>
      <c r="AM316" s="629">
        <f>IF(AD317="",0,IF(LOOKUP(AD317,Espesor!$C$8:$C$41,Espesor!$K$8:$K$41)="en voladizo",MAX(ABS(AL316),ABS(AK317)),-(AK317+AL316)))</f>
        <v>0</v>
      </c>
      <c r="AN316" s="629"/>
      <c r="AO316" s="630" t="str">
        <f>IF(AG316="","",AM316*AG316)</f>
        <v/>
      </c>
      <c r="AP316" s="630"/>
      <c r="AQ316" s="630" t="str">
        <f t="shared" ref="AQ316" si="541">IF(AI316="","",AM316*AI316)</f>
        <v/>
      </c>
      <c r="AR316" s="630"/>
      <c r="AS316" s="631">
        <f>-IF(AM316="","",IF(AL316="",IF(AO316="",0,AO316),IF(AO316="",AL316,AL316+AO316)))</f>
        <v>0</v>
      </c>
      <c r="AT316" s="632"/>
      <c r="AU316" s="341">
        <f>+AS316</f>
        <v>0</v>
      </c>
      <c r="AV316" s="332" t="str">
        <f>IF(T308="","",IF(L283="X - X",VLOOKUP(T308,'Moms de Empt'!$P$3:$T$36,2,0),VLOOKUP(T308,'Moms de Empt'!$P$3:$T$36,4,0)))</f>
        <v/>
      </c>
      <c r="AW316" s="635" t="str">
        <f>IF(AV316="","",IF(AV317="","",ROUND(AV316/(AV316+AV317),3)))</f>
        <v/>
      </c>
      <c r="AX316" s="633"/>
      <c r="AY316" s="635" t="str">
        <f>IF(AV317="","",IF(AV316="","",ROUND(AV317/(AV317+AV316),3)))</f>
        <v/>
      </c>
      <c r="AZ316" s="633"/>
      <c r="BA316" s="331" t="str">
        <f t="shared" si="531"/>
        <v/>
      </c>
      <c r="BC316" s="401"/>
      <c r="BD316" s="398"/>
      <c r="BE316" s="391"/>
    </row>
    <row r="317" spans="1:90" ht="21.75" customHeight="1" thickBot="1">
      <c r="A317" s="36"/>
      <c r="B317" s="274"/>
      <c r="C317" s="36"/>
      <c r="D317" s="690">
        <f>IF(D316="","",D316*100000)</f>
        <v>0</v>
      </c>
      <c r="E317" s="690"/>
      <c r="F317" s="36"/>
      <c r="G317" s="690">
        <f>IF(G316="","",G316*100000)</f>
        <v>0</v>
      </c>
      <c r="H317" s="690"/>
      <c r="I317" s="388"/>
      <c r="J317" s="690">
        <f>IF(J316="","",J316*100000)</f>
        <v>0</v>
      </c>
      <c r="K317" s="690"/>
      <c r="L317" s="388"/>
      <c r="M317" s="690">
        <f>IF(M316="","",M316*100000)</f>
        <v>0</v>
      </c>
      <c r="N317" s="690"/>
      <c r="O317" s="388"/>
      <c r="P317" s="690">
        <f>IF(P316="","",P316*100000)</f>
        <v>0</v>
      </c>
      <c r="Q317" s="690"/>
      <c r="R317" s="388"/>
      <c r="S317" s="690">
        <f>IF(S316="","",S316*100000)</f>
        <v>0</v>
      </c>
      <c r="T317" s="690"/>
      <c r="U317" s="387"/>
      <c r="V317" s="690">
        <f>IF(V316="","",V316*100000)</f>
        <v>0</v>
      </c>
      <c r="W317" s="690"/>
      <c r="X317" s="388"/>
      <c r="Y317" s="690">
        <f>IF(Y316="","",Y316*100000)</f>
        <v>0</v>
      </c>
      <c r="Z317" s="690"/>
      <c r="AA317" s="37"/>
      <c r="AB317" s="275"/>
      <c r="AD317" s="321" t="str">
        <f>+IF(AL308="","",AL308)</f>
        <v/>
      </c>
      <c r="AE317" s="324" t="str">
        <f>IF(W308="","",IF($K$2="X - X",VLOOKUP(W308,Espesor!$C$8:$E$41,2,0),VLOOKUP(W308,Espesor!$C$8:$E$41,3,0)))</f>
        <v/>
      </c>
      <c r="AF317" s="319" t="str">
        <f>IF(AD317="","",IF(LOOKUP(AD317,Espesor!$C$8:$C$41,Espesor!$K$8:$K$41)="en voladizo","",IF(AD318="",0.75/AE317,1/AE317)))</f>
        <v/>
      </c>
      <c r="AG317" s="634"/>
      <c r="AH317" s="634" t="str">
        <f>IF(AF317="","",IF(AF318="","",ROUND(AF317/(AF317+AF318),3)))</f>
        <v/>
      </c>
      <c r="AI317" s="634"/>
      <c r="AJ317" s="634" t="str">
        <f>IF(AF317="","",IF(AF318="","",ROUND(AF318/(AF317+AF318),3)))</f>
        <v/>
      </c>
      <c r="AK317" s="317">
        <f>IF(I283="",0,IF($K$2="X - X",VLOOKUP(I283,'Moms de Empt'!$P$3:$T$36,3,0),VLOOKUP(I283,'Moms de Empt'!$P$3:$T$36,5,0)))</f>
        <v>0</v>
      </c>
      <c r="AL317" s="317">
        <f t="shared" ref="AL317:AL318" si="542">+IF(AD318="",0,-AK317)</f>
        <v>0</v>
      </c>
      <c r="AM317" s="629"/>
      <c r="AN317" s="629">
        <f>IF(AD318="",0,IF(LOOKUP(AD318,Espesor!$C$8:$C$41,Espesor!$K$8:$K$41)="en voladizo",MAX(ABS(AL317),ABS(AK318)),-(AK318+AL317)))</f>
        <v>0</v>
      </c>
      <c r="AO317" s="630"/>
      <c r="AP317" s="630" t="str">
        <f t="shared" ref="AP317" si="543">IF(AH317="","",AN317*AH317)</f>
        <v/>
      </c>
      <c r="AQ317" s="630"/>
      <c r="AR317" s="630" t="str">
        <f t="shared" ref="AR317" si="544">IF(AJ317="","",AN317*AJ317)</f>
        <v/>
      </c>
      <c r="AS317" s="632"/>
      <c r="AT317" s="631">
        <f t="shared" ref="AT317" si="545">-IF(AN317="","",IF(AL317="",IF(AP317="",0,AP317),IF(AP317="",AL317,AL317+AP317)))</f>
        <v>0</v>
      </c>
      <c r="AU317" s="341">
        <f>+AT317</f>
        <v>0</v>
      </c>
      <c r="AV317" s="332" t="str">
        <f>IF(W308="","",IF(L283="X - X",VLOOKUP(W308,'Moms de Empt'!$P$3:$T$36,2,0),VLOOKUP(W308,'Moms de Empt'!$P$3:$T$36,4,0)))</f>
        <v/>
      </c>
      <c r="AW317" s="635"/>
      <c r="AX317" s="633" t="str">
        <f>IF(AV317="","",IF(AV318="","",ROUND(AV317/(AV317+AV318),3)))</f>
        <v/>
      </c>
      <c r="AY317" s="635"/>
      <c r="AZ317" s="633" t="str">
        <f>IF(AV317="","",IF(AV318="","",ROUND(AV318/(AV317+AV318),3)))</f>
        <v/>
      </c>
      <c r="BA317" s="331" t="str">
        <f t="shared" si="531"/>
        <v/>
      </c>
      <c r="BC317" s="401"/>
      <c r="BD317" s="398"/>
      <c r="BE317" s="391"/>
    </row>
    <row r="318" spans="1:90" ht="21.75" customHeight="1" thickBot="1">
      <c r="A318" s="257" t="s">
        <v>127</v>
      </c>
      <c r="B318" s="675" t="str">
        <f>+IF(B308="","",VLOOKUP(B308,'Moms de Empt'!$P$3:$T$36,4,0))</f>
        <v/>
      </c>
      <c r="C318" s="676"/>
      <c r="D318" s="677"/>
      <c r="E318" s="675" t="str">
        <f>+IF(E308="","",VLOOKUP(E308,'Moms de Empt'!$P$3:$T$36,4,0))</f>
        <v/>
      </c>
      <c r="F318" s="676"/>
      <c r="G318" s="677"/>
      <c r="H318" s="675" t="str">
        <f>+IF(H308="","",VLOOKUP(H308,'Moms de Empt'!$P$3:$T$36,4,0))</f>
        <v/>
      </c>
      <c r="I318" s="676"/>
      <c r="J318" s="677"/>
      <c r="K318" s="675" t="str">
        <f>+IF(K308="","",VLOOKUP(K308,'Moms de Empt'!$P$3:$T$36,4,0))</f>
        <v/>
      </c>
      <c r="L318" s="676"/>
      <c r="M318" s="677"/>
      <c r="N318" s="675" t="str">
        <f>+IF(N308="","",VLOOKUP(N308,'Moms de Empt'!$P$3:$T$36,4,0))</f>
        <v/>
      </c>
      <c r="O318" s="676"/>
      <c r="P318" s="677"/>
      <c r="Q318" s="675" t="str">
        <f>+IF(Q308="","",VLOOKUP(Q308,'Moms de Empt'!$P$3:$T$36,4,0))</f>
        <v/>
      </c>
      <c r="R318" s="676"/>
      <c r="S318" s="677"/>
      <c r="T318" s="675" t="str">
        <f>+IF(T308="","",VLOOKUP(T308,'Moms de Empt'!$P$3:$T$36,4,0))</f>
        <v/>
      </c>
      <c r="U318" s="676"/>
      <c r="V318" s="677"/>
      <c r="W318" s="675" t="str">
        <f>+IF(W308="","",VLOOKUP(W308,'Moms de Empt'!$P$3:$T$36,4,0))</f>
        <v/>
      </c>
      <c r="X318" s="676"/>
      <c r="Y318" s="677"/>
      <c r="Z318" s="675" t="str">
        <f>+IF(Z308="","",VLOOKUP(Z308,'Moms de Empt'!$P$3:$T$36,4,0))</f>
        <v/>
      </c>
      <c r="AA318" s="676"/>
      <c r="AB318" s="677"/>
      <c r="AD318" s="321" t="str">
        <f>+IF(AM308="","",AM308)</f>
        <v/>
      </c>
      <c r="AE318" s="324" t="str">
        <f>IF(Z308="","",IF($K$2="X - X",VLOOKUP(Z308,Espesor!$C$8:$E$41,2,0),VLOOKUP(Z308,Espesor!$C$8:$E$41,3,0)))</f>
        <v/>
      </c>
      <c r="AF318" s="319" t="str">
        <f>IF(AD318="","",IF(LOOKUP(AD318,Espesor!$C$8:$C$41,Espesor!$K$8:$K$41)="en voladizo","",IF(AD319="",0.75/AE318,1/AE318)))</f>
        <v/>
      </c>
      <c r="AG318" s="344" t="str">
        <f>IF(AF318="","",IF(AK292="","",ROUND(AF318/(AF318+AK292),3)))</f>
        <v/>
      </c>
      <c r="AH318" s="634"/>
      <c r="AI318" s="344" t="str">
        <f>IF(AK292="","",IF(AF318="","",ROUND(AK292/(AK292+AF318),3)))</f>
        <v/>
      </c>
      <c r="AJ318" s="634"/>
      <c r="AK318" s="317">
        <f>IF(J283="",0,IF($K$2="X - X",VLOOKUP(J283,'Moms de Empt'!$P$3:$T$36,3,0),VLOOKUP(J283,'Moms de Empt'!$P$3:$T$36,5,0)))</f>
        <v>0</v>
      </c>
      <c r="AL318" s="317">
        <f t="shared" si="542"/>
        <v>0</v>
      </c>
      <c r="AM318" s="307" t="str">
        <f>IF(AI292="","",IF(LOOKUP(AI292,[6]Espesor!$C$8:$C$41,[6]Espesor!$K$8:$K$41)="en voladizo",MAX(ABS(AL318),ABS(AQ292)),-(AQ292-AL318)))</f>
        <v/>
      </c>
      <c r="AN318" s="629"/>
      <c r="AO318" s="340" t="str">
        <f t="shared" ref="AO318" si="546">IF(AG318="","",AM318*AG318)</f>
        <v/>
      </c>
      <c r="AP318" s="630"/>
      <c r="AQ318" s="315" t="str">
        <f t="shared" ref="AQ318" si="547">IF(AI318="","",AM318*AI318)</f>
        <v/>
      </c>
      <c r="AR318" s="630"/>
      <c r="AS318" s="312" t="str">
        <f t="shared" ref="AS318" si="548">IF(AM318="","",IF(AL318="",IF(AO318="",0,AO318),IF(AO318="",AL318,AL318+AO318)))</f>
        <v/>
      </c>
      <c r="AT318" s="632"/>
      <c r="AU318" s="341"/>
      <c r="AV318" s="333" t="str">
        <f>IF(Z308="","",IF(L283="X - X",VLOOKUP(Z308,'Moms de Empt'!$P$3:$T$36,2,0),VLOOKUP(Z308,'Moms de Empt'!$P$3:$T$36,4,0)))</f>
        <v/>
      </c>
      <c r="AW318" s="337" t="str">
        <f>IF(AV318="","",IF(BA292="","",ROUND(AV318/(AV318+BA292),3)))</f>
        <v/>
      </c>
      <c r="AX318" s="633"/>
      <c r="AY318" s="337" t="str">
        <f>IF(BA292="","",IF(AV318="","",ROUND(BA292/(BA292+AV318),3)))</f>
        <v/>
      </c>
      <c r="AZ318" s="633"/>
      <c r="BA318" s="331"/>
      <c r="BC318" s="401"/>
      <c r="BD318" s="398"/>
      <c r="BE318" s="391"/>
    </row>
    <row r="319" spans="1:90" ht="21.75" customHeight="1" thickBot="1">
      <c r="A319" s="258"/>
      <c r="B319" s="209"/>
      <c r="C319" s="209"/>
      <c r="D319" s="209" t="str">
        <f>IF(B310="","",IF(D312="","",IF(ABS(D316)&gt;ABS(D312),-0.5*ABS(D314),0.5*ABS(D314))))</f>
        <v/>
      </c>
      <c r="E319" s="209" t="str">
        <f>IF(E310="","",IF(E312="","",IF(ABS(D316)&gt;ABS(E312),-0.5*ABS(E314),0.5*ABS(E314))))</f>
        <v/>
      </c>
      <c r="F319" s="209"/>
      <c r="G319" s="209" t="str">
        <f>IF(E310="","",IF(G312="","",IF(ABS(G316)&gt;ABS(G312),-0.5*ABS(G314),0.5*ABS(G314))))</f>
        <v/>
      </c>
      <c r="H319" s="209" t="str">
        <f>IF(H310="","",IF(H312="","",IF(ABS(G316)&gt;ABS(H312),-0.5*ABS(H314),0.5*ABS(H314))))</f>
        <v/>
      </c>
      <c r="I319" s="209"/>
      <c r="J319" s="209" t="str">
        <f>IF(H310="","",IF(J312="","",IF(ABS(J316)&gt;ABS(J312),-0.5*ABS(J314),0.5*ABS(J314))))</f>
        <v/>
      </c>
      <c r="K319" s="209" t="str">
        <f>IF(K310="","",IF(K312="","",IF(ABS(J316)&gt;ABS(K312),-0.5*ABS(K314),0.5*ABS(K314))))</f>
        <v/>
      </c>
      <c r="L319" s="209"/>
      <c r="M319" s="209" t="str">
        <f>IF(K310="","",IF(M312="","",IF(ABS(M316)&gt;ABS(M312),-0.5*ABS(M314),0.5*ABS(M314))))</f>
        <v/>
      </c>
      <c r="N319" s="209" t="str">
        <f>IF(N310="","",IF(N312="","",IF(ABS(M316)&gt;ABS(N312),-0.5*ABS(N314),0.5*ABS(N314))))</f>
        <v/>
      </c>
      <c r="O319" s="209"/>
      <c r="P319" s="209" t="str">
        <f>IF(N310="","",IF(P312="","",IF(ABS(P316)&gt;ABS(P312),-0.5*ABS(P314),0.5*ABS(P314))))</f>
        <v/>
      </c>
      <c r="Q319" s="209" t="str">
        <f>IF(Q310="","",IF(Q312="","",IF(ABS(P316)&gt;ABS(Q312),-0.5*ABS(Q314),0.5*ABS(Q314))))</f>
        <v/>
      </c>
      <c r="R319" s="209"/>
      <c r="S319" s="209" t="str">
        <f>IF(Q310="","",IF(S312="","",IF(ABS(S316)&gt;ABS(S312),-0.5*ABS(S314),0.5*ABS(S314))))</f>
        <v/>
      </c>
      <c r="T319" s="209" t="str">
        <f>IF(T310="","",IF(T312="","",IF(ABS(S316)&gt;ABS(T312),-0.5*ABS(T314),0.5*ABS(T314))))</f>
        <v/>
      </c>
      <c r="U319" s="209"/>
      <c r="V319" s="209" t="str">
        <f>IF(T310="","",IF(V312="","",IF(ABS(V316)&gt;ABS(V312),-0.5*ABS(V314),0.5*ABS(V314))))</f>
        <v/>
      </c>
      <c r="W319" s="209" t="str">
        <f>IF(W310="","",IF(W312="","",IF(ABS(V316)&gt;ABS(W312),-0.5*ABS(W314),0.5*ABS(W314))))</f>
        <v/>
      </c>
      <c r="X319" s="209"/>
      <c r="Y319" s="209" t="str">
        <f>IF(W310="","",IF(Y312="","",IF(ABS(Y316)&gt;ABS(Y312),-0.5*ABS(Y314),0.5*ABS(Y314))))</f>
        <v/>
      </c>
      <c r="Z319" s="209" t="str">
        <f>IF(Z310="","",IF(Z312="","",IF(ABS(Y316)&gt;ABS(Z312),-0.5*ABS(Z314),0.5*ABS(Z314))))</f>
        <v/>
      </c>
      <c r="AA319" s="209"/>
      <c r="AB319" s="209" t="str">
        <f>IF(Z310="","",IF(AB312="","",IF(AB316&gt;-AB312,IF(AB314&lt;0,0.5*AB314,-0.5*AB314),0.5*AB314)))</f>
        <v/>
      </c>
      <c r="AD319" s="210"/>
      <c r="AE319" s="210"/>
      <c r="AF319" s="210"/>
      <c r="AG319" s="210"/>
      <c r="AH319" s="210"/>
      <c r="AI319" s="210"/>
      <c r="AJ319" s="210"/>
      <c r="AK319" s="40"/>
      <c r="AL319" s="210"/>
      <c r="AM319" s="40"/>
      <c r="AN319" s="40"/>
      <c r="AO319" s="40"/>
      <c r="AP319" s="40"/>
      <c r="AQ319" s="40"/>
      <c r="AR319" s="40"/>
      <c r="AS319" s="40"/>
      <c r="AT319" s="40"/>
      <c r="AU319" s="210"/>
      <c r="AV319" s="210"/>
      <c r="AW319" s="210"/>
      <c r="AX319" s="210"/>
      <c r="AY319" s="210"/>
      <c r="AZ319" s="210"/>
      <c r="BA319" s="210"/>
      <c r="BC319" s="401"/>
      <c r="BD319" s="398"/>
      <c r="BE319" s="391"/>
    </row>
    <row r="320" spans="1:90" ht="21.75" customHeight="1" thickBot="1">
      <c r="A320" s="259" t="s">
        <v>128</v>
      </c>
      <c r="B320" s="672" t="str">
        <f>IF(B319="",IF(D319="",B318,B318+D319),IF(D319="",B318+B319,B318+B319+D319))</f>
        <v/>
      </c>
      <c r="C320" s="673"/>
      <c r="D320" s="674"/>
      <c r="E320" s="672" t="str">
        <f>IF(E319="",IF(G319="",E318,E318+G319),IF(G319="",E318+E319,E318+E319+G319))</f>
        <v/>
      </c>
      <c r="F320" s="673"/>
      <c r="G320" s="674"/>
      <c r="H320" s="672" t="str">
        <f>IF(H319="",IF(J319="",H318,H318+J319),IF(J319="",H318+H319,H318+H319+J319))</f>
        <v/>
      </c>
      <c r="I320" s="673"/>
      <c r="J320" s="674"/>
      <c r="K320" s="672" t="str">
        <f>IF(K319="",IF(M319="",K318,K318+M319),IF(M319="",K318+K319,K318+K319+M319))</f>
        <v/>
      </c>
      <c r="L320" s="673"/>
      <c r="M320" s="674"/>
      <c r="N320" s="672" t="str">
        <f>IF(N319="",IF(P319="",N318,N318+P319),IF(P319="",N318+N319,N318+N319+P319))</f>
        <v/>
      </c>
      <c r="O320" s="673"/>
      <c r="P320" s="674"/>
      <c r="Q320" s="672" t="str">
        <f>IF(Q319="",IF(S319="",Q318,Q318+S319),IF(S319="",Q318+Q319,Q318+Q319+S319))</f>
        <v/>
      </c>
      <c r="R320" s="673"/>
      <c r="S320" s="674"/>
      <c r="T320" s="672" t="str">
        <f>IF(T319="",IF(V319="",T318,T318+V319),IF(V319="",T318+T319,T318+T319+V319))</f>
        <v/>
      </c>
      <c r="U320" s="673"/>
      <c r="V320" s="674"/>
      <c r="W320" s="672" t="str">
        <f>IF(W319="",IF(Y319="",W318,W318+Y319),IF(Y319="",W318+W319,W318+W319+Y319))</f>
        <v/>
      </c>
      <c r="X320" s="673"/>
      <c r="Y320" s="674"/>
      <c r="Z320" s="672" t="str">
        <f>IF(Z319="",IF(AB319="",Z318,Z318+AB319),IF(AB319="",Z318+Z319,Z318+Z319+AB319))</f>
        <v/>
      </c>
      <c r="AA320" s="673"/>
      <c r="AB320" s="674"/>
      <c r="AD320" s="260"/>
      <c r="AE320" s="260"/>
      <c r="AF320" s="260"/>
      <c r="AG320" s="260"/>
      <c r="AH320" s="260"/>
      <c r="AI320" s="260"/>
      <c r="AJ320" s="260"/>
      <c r="AK320" s="39"/>
      <c r="AL320" s="39"/>
      <c r="AM320" s="260"/>
      <c r="AN320" s="260"/>
      <c r="AO320" s="39"/>
      <c r="AP320" s="39"/>
      <c r="AQ320" s="39"/>
      <c r="AR320" s="39"/>
      <c r="AS320" s="260"/>
      <c r="AT320" s="260"/>
      <c r="AU320" s="260"/>
      <c r="AV320" s="260"/>
      <c r="AW320" s="260"/>
      <c r="AX320" s="260"/>
      <c r="AY320" s="260"/>
      <c r="AZ320" s="260"/>
      <c r="BA320" s="260"/>
      <c r="BC320" s="401"/>
      <c r="BD320" s="398"/>
      <c r="BE320" s="391"/>
    </row>
    <row r="321" spans="1:90" ht="21.75" customHeight="1">
      <c r="BC321" s="401"/>
      <c r="BD321" s="398"/>
      <c r="BE321" s="391"/>
    </row>
    <row r="322" spans="1:90" ht="21.75" customHeight="1" thickBot="1">
      <c r="A322" s="626">
        <f>+A20</f>
        <v>8</v>
      </c>
      <c r="B322" s="626"/>
      <c r="C322" s="626"/>
      <c r="D322" s="626"/>
      <c r="E322" s="626"/>
      <c r="F322" s="627"/>
      <c r="G322" s="627"/>
      <c r="H322" s="627"/>
      <c r="I322" s="627"/>
      <c r="J322" s="628" t="s">
        <v>134</v>
      </c>
      <c r="K322" s="628"/>
      <c r="L322" s="271" t="str">
        <f>K20</f>
        <v>Y - Y</v>
      </c>
      <c r="M322" s="262"/>
      <c r="N322" s="404"/>
      <c r="O322" s="402"/>
      <c r="P322" s="262"/>
      <c r="Q322" s="263"/>
      <c r="R322" s="263"/>
      <c r="S322" s="263"/>
      <c r="T322" s="263"/>
      <c r="U322" s="263"/>
      <c r="V322" s="263"/>
      <c r="W322" s="263"/>
      <c r="X322" s="263"/>
      <c r="Y322" s="263"/>
      <c r="Z322" s="263"/>
      <c r="AA322" s="263"/>
      <c r="AB322" s="263"/>
      <c r="BC322" s="401"/>
      <c r="BD322" s="398"/>
      <c r="BE322" s="391"/>
    </row>
    <row r="323" spans="1:90" ht="21.75" customHeight="1" thickTop="1">
      <c r="A323" s="686" t="str">
        <f>+Espesor!$J$3</f>
        <v>Techo</v>
      </c>
      <c r="B323" s="686"/>
      <c r="C323" s="687" t="s">
        <v>136</v>
      </c>
      <c r="D323" s="687"/>
      <c r="E323" s="264" t="str">
        <f>IF(B20="","",B20)</f>
        <v/>
      </c>
      <c r="F323" s="264" t="str">
        <f t="shared" ref="F323:M323" si="549">IF(C20="","",C20)</f>
        <v/>
      </c>
      <c r="G323" s="264" t="str">
        <f t="shared" si="549"/>
        <v/>
      </c>
      <c r="H323" s="264" t="str">
        <f t="shared" si="549"/>
        <v/>
      </c>
      <c r="I323" s="264" t="str">
        <f t="shared" si="549"/>
        <v/>
      </c>
      <c r="J323" s="264" t="str">
        <f t="shared" si="549"/>
        <v/>
      </c>
      <c r="K323" s="264" t="str">
        <f t="shared" si="549"/>
        <v/>
      </c>
      <c r="L323" s="264" t="str">
        <f t="shared" si="549"/>
        <v/>
      </c>
      <c r="M323" s="264" t="str">
        <f t="shared" si="549"/>
        <v/>
      </c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  <c r="AA323" s="264"/>
      <c r="AB323" s="263"/>
      <c r="AD323" s="263"/>
      <c r="AE323" s="263"/>
      <c r="AF323" s="263"/>
      <c r="AG323" s="263"/>
      <c r="AH323" s="263"/>
      <c r="AI323" s="263"/>
      <c r="AJ323" s="263"/>
      <c r="AK323" s="263"/>
      <c r="AL323" s="263"/>
      <c r="AM323" s="263"/>
      <c r="AN323" s="263"/>
      <c r="AO323" s="263"/>
      <c r="AP323" s="263"/>
      <c r="AQ323" s="263"/>
      <c r="AR323" s="263"/>
      <c r="AS323" s="263"/>
      <c r="AT323" s="263"/>
      <c r="AU323" s="263"/>
      <c r="AV323" s="263"/>
      <c r="AW323" s="263"/>
      <c r="AX323" s="263"/>
      <c r="AY323" s="263"/>
      <c r="AZ323" s="263"/>
      <c r="BA323" s="263"/>
      <c r="BC323" s="401"/>
      <c r="BD323" s="398"/>
      <c r="BE323" s="391"/>
    </row>
    <row r="324" spans="1:90" ht="21.75" customHeight="1">
      <c r="A324" s="238"/>
      <c r="B324" s="239"/>
      <c r="C324" s="240"/>
      <c r="D324" s="240"/>
      <c r="E324" s="240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  <c r="AA324" s="241"/>
      <c r="AB324" s="241"/>
      <c r="AD324" s="263"/>
      <c r="AE324" s="263"/>
      <c r="AF324" s="263"/>
      <c r="AG324" s="263"/>
      <c r="AH324" s="263"/>
      <c r="AI324" s="263"/>
      <c r="AJ324" s="263"/>
      <c r="AK324" s="263"/>
      <c r="AL324" s="263"/>
      <c r="AM324" s="263"/>
      <c r="AN324" s="263"/>
      <c r="AO324" s="263"/>
      <c r="AP324" s="263"/>
      <c r="AQ324" s="263"/>
      <c r="AR324" s="263"/>
      <c r="AS324" s="263"/>
      <c r="AT324" s="263"/>
      <c r="AU324" s="263"/>
      <c r="AV324" s="263"/>
      <c r="AW324" s="263"/>
      <c r="AX324" s="263"/>
      <c r="AY324" s="263"/>
      <c r="AZ324" s="263"/>
      <c r="BA324" s="263"/>
      <c r="BC324" s="401"/>
      <c r="BD324" s="398"/>
      <c r="BE324" s="391"/>
    </row>
    <row r="325" spans="1:90" ht="21.75" customHeight="1" thickBot="1">
      <c r="A325" s="360"/>
      <c r="B325" s="682" t="str">
        <f>IF($E323="","",$E323)</f>
        <v/>
      </c>
      <c r="C325" s="682"/>
      <c r="D325" s="682"/>
      <c r="E325" s="682" t="str">
        <f>IF($F323="","",$F323)</f>
        <v/>
      </c>
      <c r="F325" s="682"/>
      <c r="G325" s="682"/>
      <c r="H325" s="682" t="str">
        <f>IF($G323="","",$G323)</f>
        <v/>
      </c>
      <c r="I325" s="682"/>
      <c r="J325" s="682"/>
      <c r="K325" s="682" t="str">
        <f>IF($H323="","",$H323)</f>
        <v/>
      </c>
      <c r="L325" s="682"/>
      <c r="M325" s="682"/>
      <c r="N325" s="682" t="str">
        <f>IF($I323="","",$I323)</f>
        <v/>
      </c>
      <c r="O325" s="682"/>
      <c r="P325" s="682"/>
      <c r="Q325" s="682" t="str">
        <f>IF($J323="","",$J323)</f>
        <v/>
      </c>
      <c r="R325" s="682"/>
      <c r="S325" s="682"/>
      <c r="T325" s="682" t="str">
        <f>IF($K323="","",$K323)</f>
        <v/>
      </c>
      <c r="U325" s="682"/>
      <c r="V325" s="682"/>
      <c r="W325" s="682" t="str">
        <f>IF($L323="","",$L323)</f>
        <v/>
      </c>
      <c r="X325" s="682"/>
      <c r="Y325" s="682"/>
      <c r="Z325" s="682" t="str">
        <f>IF($M323="","",$M323)</f>
        <v/>
      </c>
      <c r="AA325" s="682"/>
      <c r="AB325" s="682"/>
      <c r="AD325" s="624" t="s">
        <v>64</v>
      </c>
      <c r="AE325" s="624"/>
      <c r="AF325" s="624"/>
      <c r="AG325" s="624"/>
      <c r="AH325" s="624"/>
      <c r="AI325" s="624"/>
      <c r="AJ325" s="624"/>
      <c r="AK325" s="624"/>
      <c r="AL325" s="624"/>
      <c r="BC325" s="401"/>
      <c r="BD325" s="398"/>
      <c r="BE325" s="428">
        <f>BE$27</f>
        <v>1</v>
      </c>
      <c r="BF325" s="428">
        <f t="shared" ref="BF325:CL325" si="550">BF$27</f>
        <v>2</v>
      </c>
      <c r="BG325" s="428">
        <f t="shared" si="550"/>
        <v>3</v>
      </c>
      <c r="BH325" s="428">
        <f t="shared" si="550"/>
        <v>4</v>
      </c>
      <c r="BI325" s="428">
        <f t="shared" si="550"/>
        <v>5</v>
      </c>
      <c r="BJ325" s="428">
        <f t="shared" si="550"/>
        <v>6</v>
      </c>
      <c r="BK325" s="428">
        <f t="shared" si="550"/>
        <v>7</v>
      </c>
      <c r="BL325" s="428">
        <f t="shared" si="550"/>
        <v>8</v>
      </c>
      <c r="BM325" s="428">
        <f t="shared" si="550"/>
        <v>9</v>
      </c>
      <c r="BN325" s="428">
        <f t="shared" si="550"/>
        <v>10</v>
      </c>
      <c r="BO325" s="428">
        <f t="shared" si="550"/>
        <v>11</v>
      </c>
      <c r="BP325" s="428">
        <f t="shared" si="550"/>
        <v>12</v>
      </c>
      <c r="BQ325" s="428">
        <f t="shared" si="550"/>
        <v>13</v>
      </c>
      <c r="BR325" s="428">
        <f t="shared" si="550"/>
        <v>14</v>
      </c>
      <c r="BS325" s="428">
        <f t="shared" si="550"/>
        <v>15</v>
      </c>
      <c r="BT325" s="428">
        <f t="shared" si="550"/>
        <v>16</v>
      </c>
      <c r="BU325" s="428">
        <f t="shared" si="550"/>
        <v>17</v>
      </c>
      <c r="BV325" s="428">
        <f t="shared" si="550"/>
        <v>18</v>
      </c>
      <c r="BW325" s="428">
        <f t="shared" si="550"/>
        <v>19</v>
      </c>
      <c r="BX325" s="428">
        <f t="shared" si="550"/>
        <v>20</v>
      </c>
      <c r="BY325" s="428">
        <f t="shared" si="550"/>
        <v>21</v>
      </c>
      <c r="BZ325" s="428">
        <f t="shared" si="550"/>
        <v>22</v>
      </c>
      <c r="CA325" s="428">
        <f t="shared" si="550"/>
        <v>23</v>
      </c>
      <c r="CB325" s="428">
        <f t="shared" si="550"/>
        <v>24</v>
      </c>
      <c r="CC325" s="428">
        <f t="shared" si="550"/>
        <v>25</v>
      </c>
      <c r="CD325" s="428">
        <f t="shared" si="550"/>
        <v>26</v>
      </c>
      <c r="CE325" s="428">
        <f t="shared" si="550"/>
        <v>27</v>
      </c>
      <c r="CF325" s="428">
        <f t="shared" si="550"/>
        <v>28</v>
      </c>
      <c r="CG325" s="428">
        <f t="shared" si="550"/>
        <v>29</v>
      </c>
      <c r="CH325" s="428">
        <f t="shared" si="550"/>
        <v>30</v>
      </c>
      <c r="CI325" s="428">
        <f t="shared" si="550"/>
        <v>31</v>
      </c>
      <c r="CJ325" s="428">
        <f t="shared" si="550"/>
        <v>32</v>
      </c>
      <c r="CK325" s="428">
        <f t="shared" si="550"/>
        <v>33</v>
      </c>
      <c r="CL325" s="428">
        <f t="shared" si="550"/>
        <v>34</v>
      </c>
    </row>
    <row r="326" spans="1:90" ht="21.75" customHeight="1" thickBot="1">
      <c r="A326" s="413" t="s">
        <v>3</v>
      </c>
      <c r="B326" s="683" t="str">
        <f>IF(B325="","",VLOOKUP(B325,Espesor!$C$8:$E$41,3,0))</f>
        <v/>
      </c>
      <c r="C326" s="684"/>
      <c r="D326" s="685"/>
      <c r="E326" s="683" t="str">
        <f>IF(E325="","",VLOOKUP(E325,Espesor!$C$8:$E$41,3,0))</f>
        <v/>
      </c>
      <c r="F326" s="684"/>
      <c r="G326" s="685"/>
      <c r="H326" s="683" t="str">
        <f>IF(H325="","",VLOOKUP(H325,Espesor!$C$8:$E$41,3,0))</f>
        <v/>
      </c>
      <c r="I326" s="684"/>
      <c r="J326" s="685"/>
      <c r="K326" s="683" t="str">
        <f>IF(K325="","",VLOOKUP(K325,Espesor!$C$8:$E$41,3,0))</f>
        <v/>
      </c>
      <c r="L326" s="684"/>
      <c r="M326" s="685"/>
      <c r="N326" s="683" t="str">
        <f>IF(N325="","",VLOOKUP(N325,Espesor!$C$8:$E$41,3,0))</f>
        <v/>
      </c>
      <c r="O326" s="684"/>
      <c r="P326" s="685"/>
      <c r="Q326" s="683" t="str">
        <f>IF(Q325="","",VLOOKUP(Q325,Espesor!$C$8:$E$41,3,0))</f>
        <v/>
      </c>
      <c r="R326" s="684"/>
      <c r="S326" s="685"/>
      <c r="T326" s="683" t="str">
        <f>IF(T325="","",VLOOKUP(T325,Espesor!$C$8:$E$41,3,0))</f>
        <v/>
      </c>
      <c r="U326" s="684"/>
      <c r="V326" s="685"/>
      <c r="W326" s="683" t="str">
        <f>IF(W325="","",VLOOKUP(W325,Espesor!$C$8:$E$41,3,0))</f>
        <v/>
      </c>
      <c r="X326" s="684"/>
      <c r="Y326" s="685"/>
      <c r="Z326" s="683" t="str">
        <f>IF(Z325="","",VLOOKUP(Z325,Espesor!$C$8:$E$41,3,0))</f>
        <v/>
      </c>
      <c r="AA326" s="684"/>
      <c r="AB326" s="685"/>
      <c r="AD326" s="287">
        <f>+A301</f>
        <v>0</v>
      </c>
      <c r="AE326" s="325" t="str">
        <f>+IF(B301="","",B301)</f>
        <v/>
      </c>
      <c r="AF326" s="325" t="str">
        <f>+IF(C301="","",C301)</f>
        <v/>
      </c>
      <c r="AG326" s="325" t="str">
        <f t="shared" ref="AG326" si="551">+IF(D301="","",D301)</f>
        <v/>
      </c>
      <c r="AH326" s="325" t="str">
        <f t="shared" ref="AH326" si="552">+IF(E301="","",E301)</f>
        <v/>
      </c>
      <c r="AI326" s="325" t="str">
        <f t="shared" ref="AI326" si="553">+IF(F301="","",F301)</f>
        <v/>
      </c>
      <c r="AJ326" s="325" t="str">
        <f t="shared" ref="AJ326" si="554">+IF(G301="","",G301)</f>
        <v/>
      </c>
      <c r="AK326" s="325" t="str">
        <f t="shared" ref="AK326" si="555">+IF(H301="","",H301)</f>
        <v/>
      </c>
      <c r="AL326" s="325" t="str">
        <f t="shared" ref="AL326" si="556">+IF(I301="","",I301)</f>
        <v/>
      </c>
      <c r="AM326" s="325" t="str">
        <f t="shared" ref="AM326" si="557">+IF(J301="","",J301)</f>
        <v/>
      </c>
      <c r="AN326" s="242"/>
      <c r="AO326" s="242"/>
      <c r="AP326" s="242"/>
      <c r="AQ326" s="242"/>
      <c r="AR326" s="242"/>
      <c r="AS326" s="242"/>
      <c r="AT326" s="242"/>
      <c r="AU326" s="242"/>
      <c r="AV326" s="242"/>
      <c r="AW326" s="242"/>
      <c r="AX326" s="242"/>
      <c r="AY326" s="242"/>
      <c r="AZ326" s="242"/>
      <c r="BA326" s="242"/>
      <c r="BC326" s="422">
        <f>+A322</f>
        <v>8</v>
      </c>
      <c r="BD326" s="433" t="s">
        <v>183</v>
      </c>
      <c r="BE326" s="429">
        <f>IF(BE325=$B$325,$B$337,IF(BE325=$E$325,$E$337,IF(BE325=$H$325,$H$337,IF(BE325=$K$325,$K$337,IF(BE325=$N$325,$N$337,IF(BE325=$Q$325,$Q$337,IF(BE325=$T$325,$T$337,IF(BE325=$W$325,$W$337,IF(BE325=$Z$325,$Z$337,0)))))))))</f>
        <v>0</v>
      </c>
      <c r="BF326" s="429">
        <f t="shared" ref="BF326:CL326" si="558">IF(BF325=$B$325,$B$337,IF(BF325=$E$325,$E$337,IF(BF325=$H$325,$H$337,IF(BF325=$K$325,$K$337,IF(BF325=$N$325,$N$337,IF(BF325=$Q$325,$Q$337,IF(BF325=$T$325,$T$337,IF(BF325=$W$325,$W$337,IF(BF325=$Z$325,$Z$337,0)))))))))</f>
        <v>0</v>
      </c>
      <c r="BG326" s="429">
        <f t="shared" si="558"/>
        <v>0</v>
      </c>
      <c r="BH326" s="429">
        <f t="shared" si="558"/>
        <v>0</v>
      </c>
      <c r="BI326" s="429">
        <f t="shared" si="558"/>
        <v>0</v>
      </c>
      <c r="BJ326" s="429">
        <f t="shared" si="558"/>
        <v>0</v>
      </c>
      <c r="BK326" s="429">
        <f t="shared" si="558"/>
        <v>0</v>
      </c>
      <c r="BL326" s="429">
        <f t="shared" si="558"/>
        <v>0</v>
      </c>
      <c r="BM326" s="429">
        <f t="shared" si="558"/>
        <v>0</v>
      </c>
      <c r="BN326" s="429">
        <f t="shared" si="558"/>
        <v>0</v>
      </c>
      <c r="BO326" s="429">
        <f t="shared" si="558"/>
        <v>0</v>
      </c>
      <c r="BP326" s="429">
        <f t="shared" si="558"/>
        <v>0</v>
      </c>
      <c r="BQ326" s="429">
        <f t="shared" si="558"/>
        <v>0</v>
      </c>
      <c r="BR326" s="429">
        <f t="shared" si="558"/>
        <v>0</v>
      </c>
      <c r="BS326" s="429">
        <f t="shared" si="558"/>
        <v>0</v>
      </c>
      <c r="BT326" s="429">
        <f t="shared" si="558"/>
        <v>0</v>
      </c>
      <c r="BU326" s="429">
        <f t="shared" si="558"/>
        <v>0</v>
      </c>
      <c r="BV326" s="429">
        <f t="shared" si="558"/>
        <v>0</v>
      </c>
      <c r="BW326" s="429">
        <f t="shared" si="558"/>
        <v>0</v>
      </c>
      <c r="BX326" s="429">
        <f t="shared" si="558"/>
        <v>0</v>
      </c>
      <c r="BY326" s="429">
        <f t="shared" si="558"/>
        <v>0</v>
      </c>
      <c r="BZ326" s="429">
        <f t="shared" si="558"/>
        <v>0</v>
      </c>
      <c r="CA326" s="429">
        <f t="shared" si="558"/>
        <v>0</v>
      </c>
      <c r="CB326" s="429">
        <f t="shared" si="558"/>
        <v>0</v>
      </c>
      <c r="CC326" s="429">
        <f t="shared" si="558"/>
        <v>0</v>
      </c>
      <c r="CD326" s="429">
        <f t="shared" si="558"/>
        <v>0</v>
      </c>
      <c r="CE326" s="429">
        <f t="shared" si="558"/>
        <v>0</v>
      </c>
      <c r="CF326" s="429">
        <f t="shared" si="558"/>
        <v>0</v>
      </c>
      <c r="CG326" s="429">
        <f t="shared" si="558"/>
        <v>0</v>
      </c>
      <c r="CH326" s="429">
        <f t="shared" si="558"/>
        <v>0</v>
      </c>
      <c r="CI326" s="429">
        <f t="shared" si="558"/>
        <v>0</v>
      </c>
      <c r="CJ326" s="429">
        <f t="shared" si="558"/>
        <v>0</v>
      </c>
      <c r="CK326" s="429">
        <f t="shared" si="558"/>
        <v>0</v>
      </c>
      <c r="CL326" s="429">
        <f t="shared" si="558"/>
        <v>0</v>
      </c>
    </row>
    <row r="327" spans="1:90" ht="21.75" customHeight="1" thickBot="1">
      <c r="A327" s="257" t="s">
        <v>65</v>
      </c>
      <c r="B327" s="679" t="str">
        <f>+IF(B325="","",IF(LOOKUP(B325,Espesor!$C$8:$C$41,Espesor!$K$8:$K$41)="en voladizo","",0.75/B326))</f>
        <v/>
      </c>
      <c r="C327" s="680"/>
      <c r="D327" s="681"/>
      <c r="E327" s="679" t="str">
        <f>IF(E325="","",IF(LOOKUP(E325,Espesor!$C$8:$C$41,Espesor!$K$8:$K$41)="en voladizo","",IF(H325="",0.75/E326,1/E326)))</f>
        <v/>
      </c>
      <c r="F327" s="680"/>
      <c r="G327" s="681"/>
      <c r="H327" s="679" t="str">
        <f>IF(H325="","",IF(LOOKUP(H325,Espesor!$C$8:$C$41,Espesor!$K$8:$K$41)="en voladizo","",IF(K325="",0.75/H326,1/H326)))</f>
        <v/>
      </c>
      <c r="I327" s="680"/>
      <c r="J327" s="681"/>
      <c r="K327" s="679" t="str">
        <f>IF(K325="","",IF(LOOKUP(K325,Espesor!$C$8:$C$41,Espesor!$K$8:$K$41)="en voladizo","",IF(N325="",0.75/K326,1/K326)))</f>
        <v/>
      </c>
      <c r="L327" s="680"/>
      <c r="M327" s="681"/>
      <c r="N327" s="679" t="str">
        <f>IF(N325="","",IF(LOOKUP(N325,Espesor!$C$8:$C$41,Espesor!$K$8:$K$41)="en voladizo","",IF(Q325="",0.75/N326,1/N326)))</f>
        <v/>
      </c>
      <c r="O327" s="680"/>
      <c r="P327" s="681"/>
      <c r="Q327" s="679" t="str">
        <f>IF(Q325="","",IF(LOOKUP(Q325,Espesor!$C$8:$C$41,Espesor!$K$8:$K$41)="en voladizo","",IF(T325="",0.75/Q326,1/Q326)))</f>
        <v/>
      </c>
      <c r="R327" s="680"/>
      <c r="S327" s="681"/>
      <c r="T327" s="679" t="str">
        <f>IF(T325="","",IF(LOOKUP(T325,Espesor!$C$8:$C$41,Espesor!$K$8:$K$41)="en voladizo","",IF(W325="",0.75/T326,1/T326)))</f>
        <v/>
      </c>
      <c r="U327" s="680"/>
      <c r="V327" s="681"/>
      <c r="W327" s="679" t="str">
        <f>IF(W325="","",IF(LOOKUP(W325,Espesor!$C$8:$C$41,Espesor!$K$8:$K$41)="en voladizo","",IF(Z325="",0.75/W326,1/W326)))</f>
        <v/>
      </c>
      <c r="X327" s="680"/>
      <c r="Y327" s="681"/>
      <c r="Z327" s="679" t="str">
        <f>IF(Z325="","",IF(LOOKUP(Z325,Espesor!$C$8:$C$41,Espesor!$K$8:$K$41)="en voladizo","",IF(AC325="",0.75/Z326,1/Z326)))</f>
        <v/>
      </c>
      <c r="AA327" s="680"/>
      <c r="AB327" s="681"/>
      <c r="AD327" s="338" t="s">
        <v>4</v>
      </c>
      <c r="AE327" s="322" t="s">
        <v>3</v>
      </c>
      <c r="AF327" s="339" t="s">
        <v>138</v>
      </c>
      <c r="AG327" s="637" t="s">
        <v>139</v>
      </c>
      <c r="AH327" s="638"/>
      <c r="AI327" s="638"/>
      <c r="AJ327" s="639"/>
      <c r="AK327" s="640" t="s">
        <v>142</v>
      </c>
      <c r="AL327" s="641"/>
      <c r="AM327" s="637" t="s">
        <v>143</v>
      </c>
      <c r="AN327" s="639"/>
      <c r="AO327" s="642" t="s">
        <v>144</v>
      </c>
      <c r="AP327" s="643"/>
      <c r="AQ327" s="643"/>
      <c r="AR327" s="644"/>
      <c r="AS327" s="642" t="s">
        <v>145</v>
      </c>
      <c r="AT327" s="643"/>
      <c r="AU327" s="644"/>
      <c r="AV327" s="645" t="s">
        <v>157</v>
      </c>
      <c r="AW327" s="646"/>
      <c r="AX327" s="646"/>
      <c r="AY327" s="646"/>
      <c r="AZ327" s="646"/>
      <c r="BA327" s="647"/>
      <c r="BC327" s="422"/>
      <c r="BD327" s="398"/>
      <c r="BE327" s="429"/>
    </row>
    <row r="328" spans="1:90" ht="21.75" customHeight="1">
      <c r="A328" s="247" t="s">
        <v>123</v>
      </c>
      <c r="B328" s="29"/>
      <c r="C328" s="30"/>
      <c r="D328" s="31">
        <f>IF(B327="",0,IF(E327="",0,ROUND(B327/(B327+E327),3)))</f>
        <v>0</v>
      </c>
      <c r="E328" s="29">
        <f>IF(E327="",0,IF(B327="",0,ROUND(E327/(E327+B327),3)))</f>
        <v>0</v>
      </c>
      <c r="F328" s="30"/>
      <c r="G328" s="31">
        <f>IF(E327="",0,IF(H327="",0,ROUND(E327/(E327+H327),3)))</f>
        <v>0</v>
      </c>
      <c r="H328" s="29">
        <f>IF(H327="",0,IF(E327="",0,ROUND(H327/(H327+E327),3)))</f>
        <v>0</v>
      </c>
      <c r="I328" s="30"/>
      <c r="J328" s="31">
        <f>IF(H327="",0,IF(K327="",0,ROUND(H327/(H327+K327),3)))</f>
        <v>0</v>
      </c>
      <c r="K328" s="29">
        <f>IF(K327="",0,IF(H327="",0,ROUND(K327/(K327+H327),3)))</f>
        <v>0</v>
      </c>
      <c r="L328" s="30"/>
      <c r="M328" s="31">
        <f>IF(K327="",0,IF(N327="",0,ROUND(K327/(K327+N327),3)))</f>
        <v>0</v>
      </c>
      <c r="N328" s="29">
        <f>IF(N327="",0,IF(K327="",0,ROUND(N327/(N327+K327),3)))</f>
        <v>0</v>
      </c>
      <c r="O328" s="30"/>
      <c r="P328" s="31">
        <f>IF(N327="",0,IF(Q327="",0,ROUND(N327/(N327+Q327),3)))</f>
        <v>0</v>
      </c>
      <c r="Q328" s="29">
        <f>IF(Q327="",0,IF(N327="",0,ROUND(Q327/(Q327+N327),3)))</f>
        <v>0</v>
      </c>
      <c r="R328" s="30"/>
      <c r="S328" s="31">
        <f>IF(Q327="",0,IF(T327="",0,ROUND(Q327/(Q327+T327),3)))</f>
        <v>0</v>
      </c>
      <c r="T328" s="29">
        <f>IF(T327="",0,IF(Q327="",0,ROUND(T327/(T327+Q327),3)))</f>
        <v>0</v>
      </c>
      <c r="U328" s="30"/>
      <c r="V328" s="31">
        <f>IF(T327="",0,IF(W327="",0,ROUND(T327/(T327+W327),3)))</f>
        <v>0</v>
      </c>
      <c r="W328" s="29">
        <f>IF(W327="",0,IF(T327="",0,ROUND(W327/(W327+T327),3)))</f>
        <v>0</v>
      </c>
      <c r="X328" s="30"/>
      <c r="Y328" s="31">
        <f>IF(W327="",0,IF(Z327="",0,ROUND(W327/(W327+Z327),3)))</f>
        <v>0</v>
      </c>
      <c r="Z328" s="29">
        <f>IF(Z327="",0,IF(W327="",0,ROUND(Z327/(Z327+W327),3)))</f>
        <v>0</v>
      </c>
      <c r="AA328" s="30"/>
      <c r="AB328" s="31">
        <f>IF(Z327="",0,IF(AC327="",0,ROUND(Z327/(Z327+AC327),3)))</f>
        <v>0</v>
      </c>
      <c r="AD328" s="320" t="str">
        <f>+IF(AE326="","",AE326)</f>
        <v/>
      </c>
      <c r="AE328" s="323" t="str">
        <f>IF(B302="","",IF($K$2="X - X",VLOOKUP(B302,Espesor!$C$8:$E$41,2,0),VLOOKUP(B302,Espesor!$C$8:$E$41,3,0)))</f>
        <v/>
      </c>
      <c r="AF328" s="318" t="str">
        <f>+IF(AD328="","",IF(LOOKUP(AD328,Espesor!$C$8:$C$41,Espesor!$K$8:$K$41)="en voladizo","",0.75/AE328))</f>
        <v/>
      </c>
      <c r="AG328" s="648" t="str">
        <f>IF(AF328="","",IF(AF329="","",ROUND(AF328/(AF328+AF329),3)))</f>
        <v/>
      </c>
      <c r="AH328" s="343"/>
      <c r="AI328" s="648" t="str">
        <f>IF(AF329="","",IF(AF328="","",ROUND(AF329/(AF329+AF328),3)))</f>
        <v/>
      </c>
      <c r="AJ328" s="343"/>
      <c r="AK328" s="342">
        <v>0</v>
      </c>
      <c r="AL328" s="316" t="e">
        <f>-IF(B301="","",IF($K$2="X - X",VLOOKUP(B301,'Moms de Empt'!$P$3:$T$36,3,0),VLOOKUP(B301,'Moms de Empt'!$P$3:$T$36,5,0)))</f>
        <v>#VALUE!</v>
      </c>
      <c r="AM328" s="649">
        <f>IF(AD329="",0,IF(LOOKUP(AD329,Espesor!$C$8:$C$41,Espesor!$K$8:$K$41)="en voladizo",MAX(ABS(AL328),ABS(AK329)),-(AK329+AL328)))</f>
        <v>0</v>
      </c>
      <c r="AN328" s="345"/>
      <c r="AO328" s="650" t="str">
        <f>IF(AG328="","",AM328*AG328)</f>
        <v/>
      </c>
      <c r="AP328" s="342"/>
      <c r="AQ328" s="650" t="str">
        <f>IF(AI328="","",AM328*AI328)</f>
        <v/>
      </c>
      <c r="AR328" s="342"/>
      <c r="AS328" s="651" t="e">
        <f>-IF(AM328="","",IF(AL328="",IF(AO328="",0,AO328),IF(AO328="",AL328,AL328+AO328)))</f>
        <v>#VALUE!</v>
      </c>
      <c r="AT328" s="341"/>
      <c r="AU328" s="341" t="e">
        <f>+AS328</f>
        <v>#VALUE!</v>
      </c>
      <c r="AV328" s="329" t="str">
        <f>IF(B301="","",IF(L301="X - X",VLOOKUP(B326,'Moms de Empt'!$P$3:$T$36,2,0),VLOOKUP(B326,'Moms de Empt'!$P$3:$T$36,4,0)))</f>
        <v/>
      </c>
      <c r="AW328" s="653" t="str">
        <f>IF(B328="","",IF(D330="","",IF(ABS(D334)&gt;ABS(D330),-0.5*ABS(D332),0.5*ABS(D332))))</f>
        <v/>
      </c>
      <c r="AX328" s="330"/>
      <c r="AY328" s="653" t="str">
        <f>IF(AV329="","",IF(AV328="","",ROUND(AV329/(AV329+AV328),3)))</f>
        <v/>
      </c>
      <c r="AZ328" s="330"/>
      <c r="BA328" s="331" t="str">
        <f t="shared" ref="BA328:BA335" si="559">+AV328</f>
        <v/>
      </c>
      <c r="BC328" s="422"/>
      <c r="BD328" s="398"/>
      <c r="BE328" s="429"/>
    </row>
    <row r="329" spans="1:90" ht="21.75" customHeight="1">
      <c r="A329" s="248" t="s">
        <v>124</v>
      </c>
      <c r="B329" s="249"/>
      <c r="C329" s="34"/>
      <c r="D329" s="33" t="str">
        <f>IF(B325="","",-VLOOKUP(B325,'Moms de Empt'!$P$3:$T$36,5,0))</f>
        <v/>
      </c>
      <c r="E329" s="33" t="str">
        <f>IF(E325="","",VLOOKUP(E325,'Moms de Empt'!$P$3:$T$36,5,0))</f>
        <v/>
      </c>
      <c r="F329" s="34"/>
      <c r="G329" s="33" t="str">
        <f>IF(E325="","",-VLOOKUP(E325,'Moms de Empt'!$P$3:$T$36,5,0))</f>
        <v/>
      </c>
      <c r="H329" s="33" t="str">
        <f>IF(H325="","",VLOOKUP(H325,'Moms de Empt'!$P$3:$T$36,5,0))</f>
        <v/>
      </c>
      <c r="I329" s="34"/>
      <c r="J329" s="33" t="str">
        <f>IF(H325="","",-VLOOKUP(H325,'Moms de Empt'!$P$3:$T$36,5,0))</f>
        <v/>
      </c>
      <c r="K329" s="33" t="str">
        <f>IF(K325="","",VLOOKUP(K325,'Moms de Empt'!$P$3:$T$36,5,0))</f>
        <v/>
      </c>
      <c r="L329" s="34"/>
      <c r="M329" s="33" t="str">
        <f>IF(K325="","",-VLOOKUP(K325,'Moms de Empt'!$P$3:$T$36,5,0))</f>
        <v/>
      </c>
      <c r="N329" s="33" t="str">
        <f>IF(N325="","",VLOOKUP(N325,'Moms de Empt'!$P$3:$T$36,5,0))</f>
        <v/>
      </c>
      <c r="O329" s="34"/>
      <c r="P329" s="33" t="str">
        <f>IF(N325="","",-VLOOKUP(N325,'Moms de Empt'!$P$3:$T$36,5,0))</f>
        <v/>
      </c>
      <c r="Q329" s="33" t="str">
        <f>IF(Q325="","",VLOOKUP(Q325,'Moms de Empt'!$P$3:$T$36,5,0))</f>
        <v/>
      </c>
      <c r="R329" s="34"/>
      <c r="S329" s="33" t="str">
        <f>IF(Q325="","",-VLOOKUP(Q325,'Moms de Empt'!$P$3:$T$36,5,0))</f>
        <v/>
      </c>
      <c r="T329" s="33" t="str">
        <f>IF(T325="","",VLOOKUP(T325,'Moms de Empt'!$P$3:$T$36,5,0))</f>
        <v/>
      </c>
      <c r="U329" s="34"/>
      <c r="V329" s="33" t="str">
        <f>IF(T325="","",-VLOOKUP(T325,'Moms de Empt'!$P$3:$T$36,5,0))</f>
        <v/>
      </c>
      <c r="W329" s="33" t="str">
        <f>IF(W325="","",VLOOKUP(W325,'Moms de Empt'!$P$3:$T$36,5,0))</f>
        <v/>
      </c>
      <c r="X329" s="34"/>
      <c r="Y329" s="33" t="str">
        <f>IF(W325="","",-VLOOKUP(W325,'Moms de Empt'!$P$3:$T$36,5,0))</f>
        <v/>
      </c>
      <c r="Z329" s="33" t="str">
        <f>IF(Z325="","",VLOOKUP(Z325,'Moms de Empt'!$P$3:$T$36,5,0))</f>
        <v/>
      </c>
      <c r="AA329" s="34"/>
      <c r="AB329" s="33"/>
      <c r="AD329" s="321" t="str">
        <f>+IF(AF326="","",AF326)</f>
        <v/>
      </c>
      <c r="AE329" s="324" t="str">
        <f>IF(C301="","",IF($K$2="X - X",VLOOKUP(C301,Espesor!$C$8:$E$41,2,0),VLOOKUP(C301,Espesor!$C$8:$E$41,3,0)))</f>
        <v/>
      </c>
      <c r="AF329" s="319" t="str">
        <f>IF(AD329="","",IF(LOOKUP(AD329,Espesor!$C$8:$C$41,Espesor!$K$8:$K$41)="en voladizo","",IF(AD330="",0.75/AE329,1/AE329)))</f>
        <v/>
      </c>
      <c r="AG329" s="634"/>
      <c r="AH329" s="634" t="str">
        <f>IF(AF329="","",IF(AF330="","",ROUND(AF329/(AF329+AF330),3)))</f>
        <v/>
      </c>
      <c r="AI329" s="634"/>
      <c r="AJ329" s="634" t="str">
        <f>IF(AF329="","",IF(AF330="","",ROUND(AF330/(AF329+AF330),3)))</f>
        <v/>
      </c>
      <c r="AK329" s="317">
        <f>IF(C301="",0,IF($K$2="X - X",VLOOKUP(C301,'Moms de Empt'!$P$3:$T$36,3,0),VLOOKUP(C301,'Moms de Empt'!$P$3:$T$36,5,0)))</f>
        <v>0</v>
      </c>
      <c r="AL329" s="317">
        <f>+IF(AD330="",0,-AK329)</f>
        <v>0</v>
      </c>
      <c r="AM329" s="629"/>
      <c r="AN329" s="629">
        <f>IF(AD330="",0,IF(LOOKUP(AD330,Espesor!$C$8:$C$41,Espesor!$K$8:$K$41)="en voladizo",MAX(ABS(AL329),ABS(AK330)),-(AK330+AL329)))</f>
        <v>0</v>
      </c>
      <c r="AO329" s="630"/>
      <c r="AP329" s="630" t="str">
        <f>IF(AH329="","",AN329*AH329)</f>
        <v/>
      </c>
      <c r="AQ329" s="630"/>
      <c r="AR329" s="630" t="str">
        <f>IF(AJ329="","",AN329*AJ329)</f>
        <v/>
      </c>
      <c r="AS329" s="652"/>
      <c r="AT329" s="631">
        <f>-IF(AN329="","",IF(AL329="",IF(AP329="",0,AP329),IF(AP329="",AL329,AL329+AP329)))</f>
        <v>0</v>
      </c>
      <c r="AU329" s="341">
        <f>+AT329</f>
        <v>0</v>
      </c>
      <c r="AV329" s="332" t="str">
        <f>IF(E326="","",IF(L301="X - X",VLOOKUP(E326,'Moms de Empt'!$P$3:$T$36,2,0),VLOOKUP(E326,'Moms de Empt'!$P$3:$T$36,4,0)))</f>
        <v/>
      </c>
      <c r="AW329" s="635"/>
      <c r="AX329" s="633" t="str">
        <f>IF(AV329="","",IF(AV330="","",ROUND(AV329/(AV329+AV330),3)))</f>
        <v/>
      </c>
      <c r="AY329" s="635"/>
      <c r="AZ329" s="633" t="str">
        <f>IF(AV329="","",IF(AV330="","",ROUND(AV330/(AV329+AV330),3)))</f>
        <v/>
      </c>
      <c r="BA329" s="331" t="str">
        <f t="shared" si="559"/>
        <v/>
      </c>
      <c r="BC329" s="422"/>
      <c r="BD329" s="398"/>
      <c r="BE329" s="429"/>
    </row>
    <row r="330" spans="1:90" ht="21.75" customHeight="1">
      <c r="A330" s="250" t="s">
        <v>125</v>
      </c>
      <c r="B330" s="272"/>
      <c r="C330" s="406"/>
      <c r="D330" s="678">
        <f>+IF(E325="",0,IF(LOOKUP(E325,Espesor!$C$8:$C$41,Espesor!$K$8:$K$41)="en voladizo",IF(LOOKUP(B325,Espesor!$C$8:$C$41,Espesor!$K$8:$K$41)="en voladizo","Inestable",MAX(ABS(D329),ABS(E329))),IF(LOOKUP(B325,Espesor!$C$8:$C$41,Espesor!$K$8:$K$41)="en voladizo",MAX(ABS(D329),ABS(E329)),-(E329+D329))))</f>
        <v>0</v>
      </c>
      <c r="E330" s="678"/>
      <c r="F330" s="406"/>
      <c r="G330" s="678">
        <f>+IF(H325="",0,IF(LOOKUP(H325,Espesor!$C$8:$C$41,Espesor!$K$8:$K$41)="en voladizo",IF(LOOKUP(E325,Espesor!$C$8:$C$41,Espesor!$K$8:$K$41)="en voladizo","Inestable",MAX(ABS(G329),ABS(H329))),IF(LOOKUP(E325,Espesor!$C$8:$C$41,Espesor!$K$8:$K$41)="en voladizo",MAX(ABS(G329),ABS(H329)),-(H329+G329))))</f>
        <v>0</v>
      </c>
      <c r="H330" s="678"/>
      <c r="I330" s="406"/>
      <c r="J330" s="678">
        <f>+IF(K325="",0,IF(LOOKUP(K325,Espesor!$C$8:$C$41,Espesor!$K$8:$K$41)="en voladizo",IF(LOOKUP(H325,Espesor!$C$8:$C$41,Espesor!$K$8:$K$41)="en voladizo","Inestable",MAX(ABS(J329),ABS(K329))),IF(LOOKUP(H325,Espesor!$C$8:$C$41,Espesor!$K$8:$K$41)="en voladizo",MAX(ABS(J329),ABS(K329)),-(K329+J329))))</f>
        <v>0</v>
      </c>
      <c r="K330" s="678"/>
      <c r="L330" s="406"/>
      <c r="M330" s="678">
        <f>+IF(N325="",0,IF(LOOKUP(N325,Espesor!$C$8:$C$41,Espesor!$K$8:$K$41)="en voladizo",IF(LOOKUP(K325,Espesor!$C$8:$C$41,Espesor!$K$8:$K$41)="en voladizo","Inestable",MAX(ABS(M329),ABS(N329))),IF(LOOKUP(K325,Espesor!$C$8:$C$41,Espesor!$K$8:$K$41)="en voladizo",MAX(ABS(M329),ABS(N329)),-(N329+M329))))</f>
        <v>0</v>
      </c>
      <c r="N330" s="678"/>
      <c r="O330" s="406"/>
      <c r="P330" s="678">
        <f>+IF(Q325="",0,IF(LOOKUP(Q325,Espesor!$C$8:$C$41,Espesor!$K$8:$K$41)="en voladizo",IF(LOOKUP(N325,Espesor!$C$8:$C$41,Espesor!$K$8:$K$41)="en voladizo","Inestable",MAX(ABS(P329),ABS(Q329))),IF(LOOKUP(N325,Espesor!$C$8:$C$41,Espesor!$K$8:$K$41)="en voladizo",MAX(ABS(P329),ABS(Q329)),-(Q329+P329))))</f>
        <v>0</v>
      </c>
      <c r="Q330" s="678"/>
      <c r="R330" s="406"/>
      <c r="S330" s="678">
        <f>+IF(T325="",0,IF(LOOKUP(T325,Espesor!$C$8:$C$41,Espesor!$K$8:$K$41)="en voladizo",IF(LOOKUP(Q325,Espesor!$C$8:$C$41,Espesor!$K$8:$K$41)="en voladizo","Inestable",MAX(ABS(S329),ABS(T329))),IF(LOOKUP(Q325,Espesor!$C$8:$C$41,Espesor!$K$8:$K$41)="en voladizo",MAX(ABS(S329),ABS(T329)),-(T329+S329))))</f>
        <v>0</v>
      </c>
      <c r="T330" s="678"/>
      <c r="U330" s="406"/>
      <c r="V330" s="678">
        <f>+IF(W325="",0,IF(LOOKUP(W325,Espesor!$C$8:$C$41,Espesor!$K$8:$K$41)="en voladizo",IF(LOOKUP(T325,Espesor!$C$8:$C$41,Espesor!$K$8:$K$41)="en voladizo","Inestable",MAX(ABS(V329),ABS(W329))),IF(LOOKUP(T325,Espesor!$C$8:$C$41,Espesor!$K$8:$K$41)="en voladizo",MAX(ABS(V329),ABS(W329)),-(W329+V329))))</f>
        <v>0</v>
      </c>
      <c r="W330" s="678"/>
      <c r="X330" s="406"/>
      <c r="Y330" s="678">
        <f>+IF(Z325="",0,IF(LOOKUP(Z325,Espesor!$C$8:$C$41,Espesor!$K$8:$K$41)="en voladizo",IF(LOOKUP(W325,Espesor!$C$8:$C$41,Espesor!$K$8:$K$41)="en voladizo","Inestable",MAX(ABS(Y329),ABS(Z329))),IF(LOOKUP(W325,Espesor!$C$8:$C$41,Espesor!$K$8:$K$41)="en voladizo",MAX(ABS(Y329),ABS(Z329)),-(Z329+Y329))))</f>
        <v>0</v>
      </c>
      <c r="Z330" s="678"/>
      <c r="AA330" s="406"/>
      <c r="AB330" s="252"/>
      <c r="AD330" s="321" t="str">
        <f>+IF(AG326="","",AG326)</f>
        <v/>
      </c>
      <c r="AE330" s="324" t="str">
        <f>IF(C302="","",IF($K$2="X - X",VLOOKUP(C302,Espesor!$C$8:$E$41,2,0),VLOOKUP(C302,Espesor!$C$8:$E$41,3,0)))</f>
        <v/>
      </c>
      <c r="AF330" s="319" t="str">
        <f>IF(AD330="","",IF(LOOKUP(AD330,Espesor!$C$8:$C$41,Espesor!$K$8:$K$41)="en voladizo","",IF(AD331="",0.75/AE330,1/AE330)))</f>
        <v/>
      </c>
      <c r="AG330" s="634" t="str">
        <f>IF(AF330="","",IF(AF331="","",ROUND(AF330/(AF330+AF331),3)))</f>
        <v/>
      </c>
      <c r="AH330" s="634"/>
      <c r="AI330" s="634" t="str">
        <f>IF(AF331="","",IF(AF330="","",ROUND(AF331/(AF331+AF330),3)))</f>
        <v/>
      </c>
      <c r="AJ330" s="634"/>
      <c r="AK330" s="317">
        <f>IF(D301="",0,IF($K$2="X - X",VLOOKUP(D301,'Moms de Empt'!$P$3:$T$36,3,0),VLOOKUP(D301,'Moms de Empt'!$P$3:$T$36,5,0)))</f>
        <v>0</v>
      </c>
      <c r="AL330" s="317">
        <f>+IF(AD331="",0,-AK330)</f>
        <v>0</v>
      </c>
      <c r="AM330" s="629">
        <f>IF(AD331="",0,IF(LOOKUP(AD331,Espesor!$C$8:$C$41,Espesor!$K$8:$K$41)="en voladizo",MAX(ABS(AL330),ABS(AK331)),-(AK331+AL330)))</f>
        <v>0</v>
      </c>
      <c r="AN330" s="629"/>
      <c r="AO330" s="630" t="str">
        <f>IF(AG330="","",AM330*AG330)</f>
        <v/>
      </c>
      <c r="AP330" s="630"/>
      <c r="AQ330" s="630" t="str">
        <f>IF(AI330="","",AM330*AI330)</f>
        <v/>
      </c>
      <c r="AR330" s="630"/>
      <c r="AS330" s="631">
        <f>-IF(AM330="","",IF(AL330="",IF(AO330="",0,AO330),IF(AO330="",AL330,AL330+AO330)))</f>
        <v>0</v>
      </c>
      <c r="AT330" s="632"/>
      <c r="AU330" s="341">
        <f>+AS330</f>
        <v>0</v>
      </c>
      <c r="AV330" s="332" t="str">
        <f>IF(H326="","",IF(L301="X - X",VLOOKUP(H326,'Moms de Empt'!$P$3:$T$36,2,0),VLOOKUP(H326,'Moms de Empt'!$P$3:$T$36,4,0)))</f>
        <v/>
      </c>
      <c r="AW330" s="635" t="str">
        <f>IF(AV330="","",IF(AV331="","",ROUND(AV330/(AV330+AV331),3)))</f>
        <v/>
      </c>
      <c r="AX330" s="633"/>
      <c r="AY330" s="635" t="str">
        <f>IF(AV331="","",IF(AV330="","",ROUND(AV331/(AV331+AV330),3)))</f>
        <v/>
      </c>
      <c r="AZ330" s="633"/>
      <c r="BA330" s="331" t="str">
        <f t="shared" si="559"/>
        <v/>
      </c>
      <c r="BC330" s="401"/>
      <c r="BD330" s="398"/>
      <c r="BE330" s="391"/>
    </row>
    <row r="331" spans="1:90" ht="21.75" customHeight="1">
      <c r="A331" s="253" t="s">
        <v>126</v>
      </c>
      <c r="B331" s="29"/>
      <c r="C331" s="30"/>
      <c r="D331" s="254">
        <f>IF(D328="","",D330*D328)</f>
        <v>0</v>
      </c>
      <c r="E331" s="30">
        <f>IF(E328="","",D330*E328)</f>
        <v>0</v>
      </c>
      <c r="F331" s="30"/>
      <c r="G331" s="277">
        <f>IF(G328="","",G330*G328)</f>
        <v>0</v>
      </c>
      <c r="H331" s="278">
        <f>IF(H328="","",G330*H328)</f>
        <v>0</v>
      </c>
      <c r="I331" s="30"/>
      <c r="J331" s="254">
        <f>IF(J328="","",J330*J328)</f>
        <v>0</v>
      </c>
      <c r="K331" s="30">
        <f>IF(K328="","",J330*K328)</f>
        <v>0</v>
      </c>
      <c r="L331" s="30"/>
      <c r="M331" s="254">
        <f>IF(M328="","",M330*M328)</f>
        <v>0</v>
      </c>
      <c r="N331" s="30">
        <f>IF(N328="","",M330*N328)</f>
        <v>0</v>
      </c>
      <c r="O331" s="30"/>
      <c r="P331" s="254">
        <f>IF(P328="","",P330*P328)</f>
        <v>0</v>
      </c>
      <c r="Q331" s="30">
        <f>IF(Q328="","",P330*Q328)</f>
        <v>0</v>
      </c>
      <c r="R331" s="30"/>
      <c r="S331" s="254">
        <f>IF(S328="","",S330*S328)</f>
        <v>0</v>
      </c>
      <c r="T331" s="30">
        <f>IF(T328="","",S330*T328)</f>
        <v>0</v>
      </c>
      <c r="U331" s="30"/>
      <c r="V331" s="254">
        <f>IF(V328="","",V330*V328)</f>
        <v>0</v>
      </c>
      <c r="W331" s="30">
        <f>IF(W328="","",V330*W328)</f>
        <v>0</v>
      </c>
      <c r="X331" s="30"/>
      <c r="Y331" s="254">
        <f>IF(Y328="","",Y330*Y328)</f>
        <v>0</v>
      </c>
      <c r="Z331" s="30">
        <f>IF(Z328="","",Y330*Z328)</f>
        <v>0</v>
      </c>
      <c r="AA331" s="30"/>
      <c r="AB331" s="31"/>
      <c r="AD331" s="321" t="str">
        <f>+IF(AH326="","",AH326)</f>
        <v/>
      </c>
      <c r="AE331" s="324" t="str">
        <f>IF(K326="","",IF($K$2="X - X",VLOOKUP(K326,Espesor!$C$8:$E$41,2,0),VLOOKUP(K326,Espesor!$C$8:$E$41,3,0)))</f>
        <v/>
      </c>
      <c r="AF331" s="319" t="str">
        <f>IF(AD331="","",IF(LOOKUP(AD331,Espesor!$C$8:$C$41,Espesor!$K$8:$K$41)="en voladizo","",IF(AD332="",0.75/AE331,1/AE331)))</f>
        <v/>
      </c>
      <c r="AG331" s="634"/>
      <c r="AH331" s="634" t="str">
        <f>IF(AF331="","",IF(AF332="","",ROUND(AF331/(AF331+AF332),3)))</f>
        <v/>
      </c>
      <c r="AI331" s="634"/>
      <c r="AJ331" s="634" t="str">
        <f>IF(AF331="","",IF(AF332="","",ROUND(AF332/(AF331+AF332),3)))</f>
        <v/>
      </c>
      <c r="AK331" s="317">
        <f>IF(E301="",0,IF($K$2="X - X",VLOOKUP(E301,'Moms de Empt'!$P$3:$T$36,3,0),VLOOKUP(E301,'Moms de Empt'!$P$3:$T$36,5,0)))</f>
        <v>0</v>
      </c>
      <c r="AL331" s="317">
        <f t="shared" ref="AL331:AL333" si="560">+IF(AD332="",0,-AK331)</f>
        <v>0</v>
      </c>
      <c r="AM331" s="629"/>
      <c r="AN331" s="629">
        <f>IF(AD332="",0,IF(LOOKUP(AD332,Espesor!$C$8:$C$41,Espesor!$K$8:$K$41)="en voladizo",MAX(ABS(AL331),ABS(AK332)),-(AK332+AL331)))</f>
        <v>0</v>
      </c>
      <c r="AO331" s="630"/>
      <c r="AP331" s="630" t="str">
        <f t="shared" ref="AP331" si="561">IF(AH331="","",AN331*AH331)</f>
        <v/>
      </c>
      <c r="AQ331" s="630"/>
      <c r="AR331" s="630" t="str">
        <f t="shared" ref="AR331" si="562">IF(AJ331="","",AN331*AJ331)</f>
        <v/>
      </c>
      <c r="AS331" s="632"/>
      <c r="AT331" s="631">
        <f t="shared" ref="AT331" si="563">-IF(AN331="","",IF(AL331="",IF(AP331="",0,AP331),IF(AP331="",AL331,AL331+AP331)))</f>
        <v>0</v>
      </c>
      <c r="AU331" s="341">
        <f>+AT331</f>
        <v>0</v>
      </c>
      <c r="AV331" s="332" t="str">
        <f>IF(K326="","",IF(L301="X - X",VLOOKUP(K326,'Moms de Empt'!$P$3:$T$36,2,0),VLOOKUP(K326,'Moms de Empt'!$P$3:$T$36,4,0)))</f>
        <v/>
      </c>
      <c r="AW331" s="635"/>
      <c r="AX331" s="633" t="str">
        <f>IF(AV331="","",IF(AV332="","",ROUND(AV331/(AV331+AV332),3)))</f>
        <v/>
      </c>
      <c r="AY331" s="635"/>
      <c r="AZ331" s="633" t="str">
        <f>IF(AV331="","",IF(AV332="","",ROUND(AV332/(AV331+AV332),3)))</f>
        <v/>
      </c>
      <c r="BA331" s="331" t="str">
        <f t="shared" si="559"/>
        <v/>
      </c>
      <c r="BC331" s="401"/>
      <c r="BD331" s="398"/>
      <c r="BE331" s="391"/>
    </row>
    <row r="332" spans="1:90" ht="21.75" customHeight="1" thickBot="1">
      <c r="A332" s="32"/>
      <c r="B332" s="29"/>
      <c r="C332" s="30"/>
      <c r="D332" s="255">
        <f>IF(D330="",0,IF(D329="",IF(D331="",0,D331),IF(D331="",D329,D329+D331)))</f>
        <v>0</v>
      </c>
      <c r="E332" s="256">
        <f>IF(D330="",0,IF(E329="",IF(E331="",0,E331),IF(E331="",E329,E329+E331)))</f>
        <v>0</v>
      </c>
      <c r="F332" s="30"/>
      <c r="G332" s="276">
        <f>IF(G330="",0,IF(G329="",IF(G331="",0,G331),IF(G331="",G329,G329+G331)))</f>
        <v>0</v>
      </c>
      <c r="H332" s="256">
        <f>IF(G330="",0,IF(H329="",IF(H331="",0,H331),IF(H331="",H329,H329+H331)))</f>
        <v>0</v>
      </c>
      <c r="I332" s="30"/>
      <c r="J332" s="276">
        <f>IF(J330="",0,IF(J329="",IF(J331="",0,J331),IF(J331="",J329,J329+J331)))</f>
        <v>0</v>
      </c>
      <c r="K332" s="256">
        <f>IF(J330="",0,IF(K329="",IF(K331="",0,K331),IF(K331="",K329,K329+K331)))</f>
        <v>0</v>
      </c>
      <c r="L332" s="30"/>
      <c r="M332" s="276">
        <f>IF(M330="",0,IF(M329="",IF(M331="",0,M331),IF(M331="",M329,M329+M331)))</f>
        <v>0</v>
      </c>
      <c r="N332" s="256">
        <f>IF(M330="",0,IF(N329="",IF(N331="",0,N331),IF(N331="",N329,N329+N331)))</f>
        <v>0</v>
      </c>
      <c r="O332" s="30"/>
      <c r="P332" s="276">
        <f>IF(P330="",0,IF(P329="",IF(P331="",0,P331),IF(P331="",P329,P329+P331)))</f>
        <v>0</v>
      </c>
      <c r="Q332" s="256">
        <f>IF(P330="",0,IF(Q329="",IF(Q331="",0,Q331),IF(Q331="",Q329,Q329+Q331)))</f>
        <v>0</v>
      </c>
      <c r="R332" s="30"/>
      <c r="S332" s="276">
        <f>IF(S330="",0,IF(S329="",IF(S331="",0,S331),IF(S331="",S329,S329+S331)))</f>
        <v>0</v>
      </c>
      <c r="T332" s="256">
        <f>IF(S330="",0,IF(T329="",IF(T331="",0,T331),IF(T331="",T329,T329+T331)))</f>
        <v>0</v>
      </c>
      <c r="U332" s="30"/>
      <c r="V332" s="276">
        <f>IF(V330="",0,IF(V329="",IF(V331="",0,V331),IF(V331="",V329,V329+V331)))</f>
        <v>0</v>
      </c>
      <c r="W332" s="256">
        <f>IF(V330="",0,IF(W329="",IF(W331="",0,W331),IF(W331="",W329,W329+W331)))</f>
        <v>0</v>
      </c>
      <c r="X332" s="30"/>
      <c r="Y332" s="276">
        <f>IF(Y330="",0,IF(Y329="",IF(Y331="",0,Y331),IF(Y331="",Y329,Y329+Y331)))</f>
        <v>0</v>
      </c>
      <c r="Z332" s="256">
        <f>IF(Y330="",0,IF(Z329="",IF(Z331="",0,Z331),IF(Z331="",Z329,Z329+Z331)))</f>
        <v>0</v>
      </c>
      <c r="AA332" s="30"/>
      <c r="AB332" s="31"/>
      <c r="AD332" s="321" t="str">
        <f>+IF(AI326="","",AI326)</f>
        <v/>
      </c>
      <c r="AE332" s="324" t="str">
        <f>IF(N326="","",IF($K$2="X - X",VLOOKUP(N326,Espesor!$C$8:$E$41,2,0),VLOOKUP(N326,Espesor!$C$8:$E$41,3,0)))</f>
        <v/>
      </c>
      <c r="AF332" s="319" t="str">
        <f>IF(AD332="","",IF(LOOKUP(AD332,Espesor!$C$8:$C$41,Espesor!$K$8:$K$41)="en voladizo","",IF(AD333="",0.75/AE332,1/AE332)))</f>
        <v/>
      </c>
      <c r="AG332" s="634" t="str">
        <f>IF(AF332="","",IF(AF333="","",ROUND(AF332/(AF332+AF333),3)))</f>
        <v/>
      </c>
      <c r="AH332" s="634"/>
      <c r="AI332" s="634" t="str">
        <f>IF(AF333="","",IF(AF332="","",ROUND(AF333/(AF333+AF332),3)))</f>
        <v/>
      </c>
      <c r="AJ332" s="634"/>
      <c r="AK332" s="317">
        <f>IF(F301="",0,IF($K$2="X - X",VLOOKUP(F301,'Moms de Empt'!$P$3:$T$36,3,0),VLOOKUP(F301,'Moms de Empt'!$P$3:$T$36,5,0)))</f>
        <v>0</v>
      </c>
      <c r="AL332" s="317">
        <f t="shared" si="560"/>
        <v>0</v>
      </c>
      <c r="AM332" s="629">
        <f>IF(AD333="",0,IF(LOOKUP(AD333,Espesor!$C$8:$C$41,Espesor!$K$8:$K$41)="en voladizo",MAX(ABS(AL332),ABS(AK333)),-(AK333+AL332)))</f>
        <v>0</v>
      </c>
      <c r="AN332" s="629"/>
      <c r="AO332" s="630" t="str">
        <f t="shared" ref="AO332" si="564">IF(AG332="","",AM332*AG332)</f>
        <v/>
      </c>
      <c r="AP332" s="630"/>
      <c r="AQ332" s="630" t="str">
        <f t="shared" ref="AQ332" si="565">IF(AI332="","",AM332*AI332)</f>
        <v/>
      </c>
      <c r="AR332" s="630"/>
      <c r="AS332" s="631">
        <f>-IF(AM332="","",IF(AL332="",IF(AO332="",0,AO332),IF(AO332="",AL332,AL332+AO332)))</f>
        <v>0</v>
      </c>
      <c r="AT332" s="632"/>
      <c r="AU332" s="341">
        <f>+AS332</f>
        <v>0</v>
      </c>
      <c r="AV332" s="332" t="str">
        <f>IF(N326="","",IF(L301="X - X",VLOOKUP(N326,'Moms de Empt'!$P$3:$T$36,2,0),VLOOKUP(N326,'Moms de Empt'!$P$3:$T$36,4,0)))</f>
        <v/>
      </c>
      <c r="AW332" s="635" t="str">
        <f>IF(AV332="","",IF(AV333="","",ROUND(AV332/(AV332+AV333),3)))</f>
        <v/>
      </c>
      <c r="AX332" s="633"/>
      <c r="AY332" s="635" t="str">
        <f>IF(AV333="","",IF(AV332="","",ROUND(AV333/(AV333+AV332),3)))</f>
        <v/>
      </c>
      <c r="AZ332" s="633"/>
      <c r="BA332" s="331" t="str">
        <f t="shared" si="559"/>
        <v/>
      </c>
      <c r="BC332" s="401"/>
      <c r="BD332" s="398"/>
      <c r="BE332" s="391"/>
    </row>
    <row r="333" spans="1:90" ht="21.75" customHeight="1" thickBot="1">
      <c r="A333" s="36" t="s">
        <v>66</v>
      </c>
      <c r="B333" s="273"/>
      <c r="C333" s="36"/>
      <c r="D333" s="672">
        <f>IF(E325="",0,IF(D332=0,IF(E332=0,MAX(ABS(D329),ABS(E329)),E332),MAX(ABS(D332),ABS(E332))))</f>
        <v>0</v>
      </c>
      <c r="E333" s="674"/>
      <c r="F333" s="36"/>
      <c r="G333" s="672">
        <f>IF(H325="",0,IF(G332=0,IF(H332=0,MAX(ABS(G329),ABS(H329)),H332),MAX(ABS(G332),ABS(H332))))</f>
        <v>0</v>
      </c>
      <c r="H333" s="674"/>
      <c r="I333" s="36"/>
      <c r="J333" s="672">
        <f>IF(K325="",0,IF(J332=0,IF(K332=0,MAX(ABS(J329),ABS(K329)),K332),MAX(ABS(J332),ABS(K332))))</f>
        <v>0</v>
      </c>
      <c r="K333" s="674"/>
      <c r="L333" s="36"/>
      <c r="M333" s="672">
        <f>IF(N325="",0,IF(M332=0,IF(N332=0,MAX(ABS(M329),ABS(N329)),N332),MAX(ABS(M332),ABS(N332))))</f>
        <v>0</v>
      </c>
      <c r="N333" s="674"/>
      <c r="O333" s="36"/>
      <c r="P333" s="672">
        <f>IF(Q325="",0,IF(P332=0,IF(Q332=0,MAX(ABS(P329),ABS(Q329)),Q332),MAX(ABS(P332),ABS(Q332))))</f>
        <v>0</v>
      </c>
      <c r="Q333" s="674"/>
      <c r="R333" s="36"/>
      <c r="S333" s="672">
        <f>IF(T325="",0,IF(S332=0,IF(T332=0,MAX(ABS(S329),ABS(T329)),T332),MAX(ABS(S332),ABS(T332))))</f>
        <v>0</v>
      </c>
      <c r="T333" s="674"/>
      <c r="U333" s="265"/>
      <c r="V333" s="672">
        <f>IF(W325="",0,IF(V332=0,IF(W332=0,MAX(ABS(V329),ABS(W329)),W332),MAX(ABS(V332),ABS(W332))))</f>
        <v>0</v>
      </c>
      <c r="W333" s="674"/>
      <c r="X333" s="36"/>
      <c r="Y333" s="672">
        <f>IF(Z325="",0,IF(Y332=0,IF(Z332=0,MAX(ABS(Y329),ABS(Z329)),Z332),MAX(ABS(Y332),ABS(Z332))))</f>
        <v>0</v>
      </c>
      <c r="Z333" s="674"/>
      <c r="AA333" s="37"/>
      <c r="AB333" s="38"/>
      <c r="AD333" s="321" t="str">
        <f>+IF(AJ326="","",AJ326)</f>
        <v/>
      </c>
      <c r="AE333" s="324" t="str">
        <f>IF(Q326="","",IF($K$2="X - X",VLOOKUP(Q326,Espesor!$C$8:$E$41,2,0),VLOOKUP(Q326,Espesor!$C$8:$E$41,3,0)))</f>
        <v/>
      </c>
      <c r="AF333" s="319" t="str">
        <f>IF(AD333="","",IF(LOOKUP(AD333,Espesor!$C$8:$C$41,Espesor!$K$8:$K$41)="en voladizo","",IF(AD334="",0.75/AE333,1/AE333)))</f>
        <v/>
      </c>
      <c r="AG333" s="634"/>
      <c r="AH333" s="634" t="str">
        <f>IF(AF333="","",IF(AF334="","",ROUND(AF333/(AF333+AF334),3)))</f>
        <v/>
      </c>
      <c r="AI333" s="634"/>
      <c r="AJ333" s="634" t="str">
        <f>IF(AF333="","",IF(AF334="","",ROUND(AF334/(AF333+AF334),3)))</f>
        <v/>
      </c>
      <c r="AK333" s="317">
        <f>IF(G301="",0,IF($K$2="X - X",VLOOKUP(G301,'Moms de Empt'!$P$3:$T$36,3,0),VLOOKUP(G301,'Moms de Empt'!$P$3:$T$36,5,0)))</f>
        <v>0</v>
      </c>
      <c r="AL333" s="317">
        <f t="shared" si="560"/>
        <v>0</v>
      </c>
      <c r="AM333" s="629"/>
      <c r="AN333" s="629">
        <f>IF(AD334="",0,IF(LOOKUP(AD334,Espesor!$C$8:$C$41,Espesor!$K$8:$K$41)="en voladizo",MAX(ABS(AL333),ABS(AK334)),-(AK334+AL333)))</f>
        <v>0</v>
      </c>
      <c r="AO333" s="630"/>
      <c r="AP333" s="630" t="str">
        <f t="shared" ref="AP333" si="566">IF(AH333="","",AN333*AH333)</f>
        <v/>
      </c>
      <c r="AQ333" s="630"/>
      <c r="AR333" s="630" t="str">
        <f t="shared" ref="AR333" si="567">IF(AJ333="","",AN333*AJ333)</f>
        <v/>
      </c>
      <c r="AS333" s="632"/>
      <c r="AT333" s="631">
        <f t="shared" ref="AT333" si="568">-IF(AN333="","",IF(AL333="",IF(AP333="",0,AP333),IF(AP333="",AL333,AL333+AP333)))</f>
        <v>0</v>
      </c>
      <c r="AU333" s="341">
        <f>+AT333</f>
        <v>0</v>
      </c>
      <c r="AV333" s="332" t="str">
        <f>IF(Q326="","",IF(L301="X - X",VLOOKUP(Q326,'Moms de Empt'!$P$3:$T$36,2,0),VLOOKUP(Q326,'Moms de Empt'!$P$3:$T$36,4,0)))</f>
        <v/>
      </c>
      <c r="AW333" s="635"/>
      <c r="AX333" s="633" t="str">
        <f>IF(AV333="","",IF(AV334="","",ROUND(AV333/(AV333+AV334),3)))</f>
        <v/>
      </c>
      <c r="AY333" s="635"/>
      <c r="AZ333" s="633" t="str">
        <f>IF(AV333="","",IF(AV334="","",ROUND(AV334/(AV333+AV334),3)))</f>
        <v/>
      </c>
      <c r="BA333" s="331" t="str">
        <f t="shared" si="559"/>
        <v/>
      </c>
      <c r="BC333" s="401"/>
      <c r="BD333" s="398"/>
      <c r="BE333" s="391"/>
    </row>
    <row r="334" spans="1:90" ht="21.75" customHeight="1" thickBot="1">
      <c r="A334" s="36"/>
      <c r="B334" s="274"/>
      <c r="C334" s="36"/>
      <c r="D334" s="690">
        <f>IF(D333="","",D333*100000)</f>
        <v>0</v>
      </c>
      <c r="E334" s="690"/>
      <c r="F334" s="36"/>
      <c r="G334" s="690">
        <f>IF(G333="","",G333*100000)</f>
        <v>0</v>
      </c>
      <c r="H334" s="690"/>
      <c r="I334" s="388"/>
      <c r="J334" s="690">
        <f>IF(J333="","",J333*100000)</f>
        <v>0</v>
      </c>
      <c r="K334" s="690"/>
      <c r="L334" s="388"/>
      <c r="M334" s="690">
        <f>IF(M333="","",M333*100000)</f>
        <v>0</v>
      </c>
      <c r="N334" s="690"/>
      <c r="O334" s="388"/>
      <c r="P334" s="690">
        <f>IF(P333="","",P333*100000)</f>
        <v>0</v>
      </c>
      <c r="Q334" s="690"/>
      <c r="R334" s="388"/>
      <c r="S334" s="690">
        <f>IF(S333="","",S333*100000)</f>
        <v>0</v>
      </c>
      <c r="T334" s="690"/>
      <c r="U334" s="387"/>
      <c r="V334" s="690">
        <f>IF(V333="","",V333*100000)</f>
        <v>0</v>
      </c>
      <c r="W334" s="690"/>
      <c r="X334" s="388"/>
      <c r="Y334" s="690">
        <f>IF(Y333="","",Y333*100000)</f>
        <v>0</v>
      </c>
      <c r="Z334" s="690"/>
      <c r="AA334" s="37"/>
      <c r="AB334" s="275"/>
      <c r="AD334" s="321" t="str">
        <f>+IF(AK326="","",AK326)</f>
        <v/>
      </c>
      <c r="AE334" s="324" t="str">
        <f>IF(T326="","",IF($K$2="X - X",VLOOKUP(T326,Espesor!$C$8:$E$41,2,0),VLOOKUP(T326,Espesor!$C$8:$E$41,3,0)))</f>
        <v/>
      </c>
      <c r="AF334" s="319" t="str">
        <f>IF(AD334="","",IF(LOOKUP(AD334,Espesor!$C$8:$C$41,Espesor!$K$8:$K$41)="en voladizo","",IF(AD335="",0.75/AE334,1/AE334)))</f>
        <v/>
      </c>
      <c r="AG334" s="634" t="str">
        <f>IF(AF334="","",IF(AF335="","",ROUND(AF334/(AF334+AF335),3)))</f>
        <v/>
      </c>
      <c r="AH334" s="634"/>
      <c r="AI334" s="634" t="str">
        <f>IF(AF335="","",IF(AF334="","",ROUND(AF335/(AF335+AF334),3)))</f>
        <v/>
      </c>
      <c r="AJ334" s="634"/>
      <c r="AK334" s="317">
        <f>IF(H301="",0,IF($K$2="X - X",VLOOKUP(H301,'Moms de Empt'!$P$3:$T$36,3,0),VLOOKUP(H301,'Moms de Empt'!$P$3:$T$36,5,0)))</f>
        <v>0</v>
      </c>
      <c r="AL334" s="317">
        <f>+IF(AD335="",0,-AK334)</f>
        <v>0</v>
      </c>
      <c r="AM334" s="629">
        <f>IF(AD335="",0,IF(LOOKUP(AD335,Espesor!$C$8:$C$41,Espesor!$K$8:$K$41)="en voladizo",MAX(ABS(AL334),ABS(AK335)),-(AK335+AL334)))</f>
        <v>0</v>
      </c>
      <c r="AN334" s="629"/>
      <c r="AO334" s="630" t="str">
        <f>IF(AG334="","",AM334*AG334)</f>
        <v/>
      </c>
      <c r="AP334" s="630"/>
      <c r="AQ334" s="630" t="str">
        <f t="shared" ref="AQ334" si="569">IF(AI334="","",AM334*AI334)</f>
        <v/>
      </c>
      <c r="AR334" s="630"/>
      <c r="AS334" s="631">
        <f>-IF(AM334="","",IF(AL334="",IF(AO334="",0,AO334),IF(AO334="",AL334,AL334+AO334)))</f>
        <v>0</v>
      </c>
      <c r="AT334" s="632"/>
      <c r="AU334" s="341">
        <f>+AS334</f>
        <v>0</v>
      </c>
      <c r="AV334" s="332" t="str">
        <f>IF(T326="","",IF(L301="X - X",VLOOKUP(T326,'Moms de Empt'!$P$3:$T$36,2,0),VLOOKUP(T326,'Moms de Empt'!$P$3:$T$36,4,0)))</f>
        <v/>
      </c>
      <c r="AW334" s="635" t="str">
        <f>IF(AV334="","",IF(AV335="","",ROUND(AV334/(AV334+AV335),3)))</f>
        <v/>
      </c>
      <c r="AX334" s="633"/>
      <c r="AY334" s="635" t="str">
        <f>IF(AV335="","",IF(AV334="","",ROUND(AV335/(AV335+AV334),3)))</f>
        <v/>
      </c>
      <c r="AZ334" s="633"/>
      <c r="BA334" s="331" t="str">
        <f t="shared" si="559"/>
        <v/>
      </c>
      <c r="BC334" s="401"/>
      <c r="BD334" s="398"/>
      <c r="BE334" s="391"/>
    </row>
    <row r="335" spans="1:90" ht="21.75" customHeight="1" thickBot="1">
      <c r="A335" s="257" t="s">
        <v>127</v>
      </c>
      <c r="B335" s="675" t="str">
        <f>+IF(B325="","",VLOOKUP(B325,'Moms de Empt'!$P$3:$T$36,4,0))</f>
        <v/>
      </c>
      <c r="C335" s="676"/>
      <c r="D335" s="677"/>
      <c r="E335" s="675" t="str">
        <f>+IF(E325="","",VLOOKUP(E325,'Moms de Empt'!$P$3:$T$36,4,0))</f>
        <v/>
      </c>
      <c r="F335" s="676"/>
      <c r="G335" s="677"/>
      <c r="H335" s="675" t="str">
        <f>+IF(H325="","",VLOOKUP(H325,'Moms de Empt'!$P$3:$T$36,4,0))</f>
        <v/>
      </c>
      <c r="I335" s="676"/>
      <c r="J335" s="677"/>
      <c r="K335" s="675" t="str">
        <f>+IF(K325="","",VLOOKUP(K325,'Moms de Empt'!$P$3:$T$36,4,0))</f>
        <v/>
      </c>
      <c r="L335" s="676"/>
      <c r="M335" s="677"/>
      <c r="N335" s="675" t="str">
        <f>+IF(N325="","",VLOOKUP(N325,'Moms de Empt'!$P$3:$T$36,4,0))</f>
        <v/>
      </c>
      <c r="O335" s="676"/>
      <c r="P335" s="677"/>
      <c r="Q335" s="675" t="str">
        <f>+IF(Q325="","",VLOOKUP(Q325,'Moms de Empt'!$P$3:$T$36,4,0))</f>
        <v/>
      </c>
      <c r="R335" s="676"/>
      <c r="S335" s="677"/>
      <c r="T335" s="675" t="str">
        <f>+IF(T325="","",VLOOKUP(T325,'Moms de Empt'!$P$3:$T$36,4,0))</f>
        <v/>
      </c>
      <c r="U335" s="676"/>
      <c r="V335" s="677"/>
      <c r="W335" s="675" t="str">
        <f>+IF(W325="","",VLOOKUP(W325,'Moms de Empt'!$P$3:$T$36,4,0))</f>
        <v/>
      </c>
      <c r="X335" s="676"/>
      <c r="Y335" s="677"/>
      <c r="Z335" s="675" t="str">
        <f>+IF(Z325="","",VLOOKUP(Z325,'Moms de Empt'!$P$3:$T$36,4,0))</f>
        <v/>
      </c>
      <c r="AA335" s="676"/>
      <c r="AB335" s="677"/>
      <c r="AD335" s="321" t="str">
        <f>+IF(AL326="","",AL326)</f>
        <v/>
      </c>
      <c r="AE335" s="324" t="str">
        <f>IF(W326="","",IF($K$2="X - X",VLOOKUP(W326,Espesor!$C$8:$E$41,2,0),VLOOKUP(W326,Espesor!$C$8:$E$41,3,0)))</f>
        <v/>
      </c>
      <c r="AF335" s="319" t="str">
        <f>IF(AD335="","",IF(LOOKUP(AD335,Espesor!$C$8:$C$41,Espesor!$K$8:$K$41)="en voladizo","",IF(AD336="",0.75/AE335,1/AE335)))</f>
        <v/>
      </c>
      <c r="AG335" s="634"/>
      <c r="AH335" s="634" t="str">
        <f>IF(AF335="","",IF(AF336="","",ROUND(AF335/(AF335+AF336),3)))</f>
        <v/>
      </c>
      <c r="AI335" s="634"/>
      <c r="AJ335" s="634" t="str">
        <f>IF(AF335="","",IF(AF336="","",ROUND(AF336/(AF335+AF336),3)))</f>
        <v/>
      </c>
      <c r="AK335" s="317">
        <f>IF(I301="",0,IF($K$2="X - X",VLOOKUP(I301,'Moms de Empt'!$P$3:$T$36,3,0),VLOOKUP(I301,'Moms de Empt'!$P$3:$T$36,5,0)))</f>
        <v>0</v>
      </c>
      <c r="AL335" s="317">
        <f t="shared" ref="AL335:AL336" si="570">+IF(AD336="",0,-AK335)</f>
        <v>0</v>
      </c>
      <c r="AM335" s="629"/>
      <c r="AN335" s="629">
        <f>IF(AD336="",0,IF(LOOKUP(AD336,Espesor!$C$8:$C$41,Espesor!$K$8:$K$41)="en voladizo",MAX(ABS(AL335),ABS(AK336)),-(AK336+AL335)))</f>
        <v>0</v>
      </c>
      <c r="AO335" s="630"/>
      <c r="AP335" s="630" t="str">
        <f t="shared" ref="AP335" si="571">IF(AH335="","",AN335*AH335)</f>
        <v/>
      </c>
      <c r="AQ335" s="630"/>
      <c r="AR335" s="630" t="str">
        <f t="shared" ref="AR335" si="572">IF(AJ335="","",AN335*AJ335)</f>
        <v/>
      </c>
      <c r="AS335" s="632"/>
      <c r="AT335" s="631">
        <f t="shared" ref="AT335" si="573">-IF(AN335="","",IF(AL335="",IF(AP335="",0,AP335),IF(AP335="",AL335,AL335+AP335)))</f>
        <v>0</v>
      </c>
      <c r="AU335" s="341">
        <f>+AT335</f>
        <v>0</v>
      </c>
      <c r="AV335" s="332" t="str">
        <f>IF(W326="","",IF(L301="X - X",VLOOKUP(W326,'Moms de Empt'!$P$3:$T$36,2,0),VLOOKUP(W326,'Moms de Empt'!$P$3:$T$36,4,0)))</f>
        <v/>
      </c>
      <c r="AW335" s="635"/>
      <c r="AX335" s="633" t="str">
        <f>IF(AV335="","",IF(AV336="","",ROUND(AV335/(AV335+AV336),3)))</f>
        <v/>
      </c>
      <c r="AY335" s="635"/>
      <c r="AZ335" s="633" t="str">
        <f>IF(AV335="","",IF(AV336="","",ROUND(AV336/(AV335+AV336),3)))</f>
        <v/>
      </c>
      <c r="BA335" s="331" t="str">
        <f t="shared" si="559"/>
        <v/>
      </c>
      <c r="BC335" s="401"/>
      <c r="BD335" s="398"/>
      <c r="BE335" s="391"/>
    </row>
    <row r="336" spans="1:90" ht="21.75" customHeight="1" thickBot="1">
      <c r="A336" s="258"/>
      <c r="B336" s="209"/>
      <c r="C336" s="209"/>
      <c r="D336" s="209" t="str">
        <f>IF(B327="","",IF(D329="","",IF(ABS(D333)&gt;ABS(D329),-0.5*ABS(D331),0.5*ABS(D331))))</f>
        <v/>
      </c>
      <c r="E336" s="209" t="str">
        <f>IF(E327="","",IF(E329="","",IF(ABS(D333)&gt;ABS(E329),-0.5*ABS(E331),0.5*ABS(E331))))</f>
        <v/>
      </c>
      <c r="F336" s="209"/>
      <c r="G336" s="209" t="str">
        <f>IF(E327="","",IF(G329="","",IF(ABS(G333)&gt;ABS(G329),-0.5*ABS(G331),0.5*ABS(G331))))</f>
        <v/>
      </c>
      <c r="H336" s="209" t="str">
        <f>IF(H327="","",IF(H329="","",IF(ABS(G333)&gt;ABS(H329),-0.5*ABS(H331),0.5*ABS(H331))))</f>
        <v/>
      </c>
      <c r="I336" s="209"/>
      <c r="J336" s="209" t="str">
        <f>IF(H327="","",IF(J329="","",IF(ABS(J333)&gt;ABS(J329),-0.5*ABS(J331),0.5*ABS(J331))))</f>
        <v/>
      </c>
      <c r="K336" s="209" t="str">
        <f>IF(K327="","",IF(K329="","",IF(ABS(J333)&gt;ABS(K329),-0.5*ABS(K331),0.5*ABS(K331))))</f>
        <v/>
      </c>
      <c r="L336" s="209"/>
      <c r="M336" s="209" t="str">
        <f>IF(K327="","",IF(M329="","",IF(ABS(M333)&gt;ABS(M329),-0.5*ABS(M331),0.5*ABS(M331))))</f>
        <v/>
      </c>
      <c r="N336" s="209" t="str">
        <f>IF(N327="","",IF(N329="","",IF(ABS(M333)&gt;ABS(N329),-0.5*ABS(N331),0.5*ABS(N331))))</f>
        <v/>
      </c>
      <c r="O336" s="209"/>
      <c r="P336" s="209" t="str">
        <f>IF(N327="","",IF(P329="","",IF(ABS(P333)&gt;ABS(P329),-0.5*ABS(P331),0.5*ABS(P331))))</f>
        <v/>
      </c>
      <c r="Q336" s="209" t="str">
        <f>IF(Q327="","",IF(Q329="","",IF(ABS(P333)&gt;ABS(Q329),-0.5*ABS(Q331),0.5*ABS(Q331))))</f>
        <v/>
      </c>
      <c r="R336" s="209"/>
      <c r="S336" s="209" t="str">
        <f>IF(Q327="","",IF(S329="","",IF(ABS(S333)&gt;ABS(S329),-0.5*ABS(S331),0.5*ABS(S331))))</f>
        <v/>
      </c>
      <c r="T336" s="209" t="str">
        <f>IF(T327="","",IF(T329="","",IF(ABS(S333)&gt;ABS(T329),-0.5*ABS(T331),0.5*ABS(T331))))</f>
        <v/>
      </c>
      <c r="U336" s="209"/>
      <c r="V336" s="209" t="str">
        <f>IF(T327="","",IF(V329="","",IF(ABS(V333)&gt;ABS(V329),-0.5*ABS(V331),0.5*ABS(V331))))</f>
        <v/>
      </c>
      <c r="W336" s="209" t="str">
        <f>IF(W327="","",IF(W329="","",IF(ABS(V333)&gt;ABS(W329),-0.5*ABS(W331),0.5*ABS(W331))))</f>
        <v/>
      </c>
      <c r="X336" s="209"/>
      <c r="Y336" s="209" t="str">
        <f>IF(W327="","",IF(Y329="","",IF(ABS(Y333)&gt;ABS(Y329),-0.5*ABS(Y331),0.5*ABS(Y331))))</f>
        <v/>
      </c>
      <c r="Z336" s="209" t="str">
        <f>IF(Z327="","",IF(Z329="","",IF(ABS(Y333)&gt;ABS(Z329),-0.5*ABS(Z331),0.5*ABS(Z331))))</f>
        <v/>
      </c>
      <c r="AA336" s="209"/>
      <c r="AB336" s="209" t="str">
        <f>IF(Z327="","",IF(AB329="","",IF(AB333&gt;-AB329,IF(AB331&lt;0,0.5*AB331,-0.5*AB331),0.5*AB331)))</f>
        <v/>
      </c>
      <c r="AD336" s="321" t="str">
        <f>+IF(AM326="","",AM326)</f>
        <v/>
      </c>
      <c r="AE336" s="324" t="str">
        <f>IF(Z326="","",IF($K$2="X - X",VLOOKUP(Z326,Espesor!$C$8:$E$41,2,0),VLOOKUP(Z326,Espesor!$C$8:$E$41,3,0)))</f>
        <v/>
      </c>
      <c r="AF336" s="319" t="str">
        <f>IF(AD336="","",IF(LOOKUP(AD336,Espesor!$C$8:$C$41,Espesor!$K$8:$K$41)="en voladizo","",IF(AD337="",0.75/AE336,1/AE336)))</f>
        <v/>
      </c>
      <c r="AG336" s="344" t="str">
        <f>IF(AF336="","",IF(AK310="","",ROUND(AF336/(AF336+AK310),3)))</f>
        <v/>
      </c>
      <c r="AH336" s="634"/>
      <c r="AI336" s="344" t="str">
        <f>IF(AK310="","",IF(AF336="","",ROUND(AK310/(AK310+AF336),3)))</f>
        <v/>
      </c>
      <c r="AJ336" s="634"/>
      <c r="AK336" s="317">
        <f>IF(J301="",0,IF($K$2="X - X",VLOOKUP(J301,'Moms de Empt'!$P$3:$T$36,3,0),VLOOKUP(J301,'Moms de Empt'!$P$3:$T$36,5,0)))</f>
        <v>0</v>
      </c>
      <c r="AL336" s="317">
        <f t="shared" si="570"/>
        <v>0</v>
      </c>
      <c r="AM336" s="307" t="str">
        <f>IF(AI310="","",IF(LOOKUP(AI310,[6]Espesor!$C$8:$C$41,[6]Espesor!$K$8:$K$41)="en voladizo",MAX(ABS(AL336),ABS(AQ310)),-(AQ310-AL336)))</f>
        <v/>
      </c>
      <c r="AN336" s="629"/>
      <c r="AO336" s="340" t="str">
        <f t="shared" ref="AO336" si="574">IF(AG336="","",AM336*AG336)</f>
        <v/>
      </c>
      <c r="AP336" s="630"/>
      <c r="AQ336" s="315" t="str">
        <f t="shared" ref="AQ336" si="575">IF(AI336="","",AM336*AI336)</f>
        <v/>
      </c>
      <c r="AR336" s="630"/>
      <c r="AS336" s="312" t="str">
        <f t="shared" ref="AS336" si="576">IF(AM336="","",IF(AL336="",IF(AO336="",0,AO336),IF(AO336="",AL336,AL336+AO336)))</f>
        <v/>
      </c>
      <c r="AT336" s="632"/>
      <c r="AU336" s="341"/>
      <c r="AV336" s="333" t="str">
        <f>IF(Z326="","",IF(L301="X - X",VLOOKUP(Z326,'Moms de Empt'!$P$3:$T$36,2,0),VLOOKUP(Z326,'Moms de Empt'!$P$3:$T$36,4,0)))</f>
        <v/>
      </c>
      <c r="AW336" s="337" t="str">
        <f>IF(AV336="","",IF(BA310="","",ROUND(AV336/(AV336+BA310),3)))</f>
        <v/>
      </c>
      <c r="AX336" s="633"/>
      <c r="AY336" s="337" t="str">
        <f>IF(BA310="","",IF(AV336="","",ROUND(BA310/(BA310+AV336),3)))</f>
        <v/>
      </c>
      <c r="AZ336" s="633"/>
      <c r="BA336" s="331"/>
      <c r="BC336" s="401"/>
      <c r="BD336" s="398"/>
      <c r="BE336" s="391"/>
    </row>
    <row r="337" spans="1:90" ht="21.75" customHeight="1" thickBot="1">
      <c r="A337" s="259" t="s">
        <v>128</v>
      </c>
      <c r="B337" s="672" t="str">
        <f>IF(B336="",IF(D336="",B335,B335+D336),IF(D336="",B335+B336,B335+B336+D336))</f>
        <v/>
      </c>
      <c r="C337" s="673"/>
      <c r="D337" s="674"/>
      <c r="E337" s="672" t="str">
        <f>IF(E336="",IF(G336="",E335,E335+G336),IF(G336="",E335+E336,E335+E336+G336))</f>
        <v/>
      </c>
      <c r="F337" s="673"/>
      <c r="G337" s="674"/>
      <c r="H337" s="672" t="str">
        <f>IF(H336="",IF(J336="",H335,H335+J336),IF(J336="",H335+H336,H335+H336+J336))</f>
        <v/>
      </c>
      <c r="I337" s="673"/>
      <c r="J337" s="674"/>
      <c r="K337" s="672" t="str">
        <f>IF(K336="",IF(M336="",K335,K335+M336),IF(M336="",K335+K336,K335+K336+M336))</f>
        <v/>
      </c>
      <c r="L337" s="673"/>
      <c r="M337" s="674"/>
      <c r="N337" s="672" t="str">
        <f>IF(N336="",IF(P336="",N335,N335+P336),IF(P336="",N335+N336,N335+N336+P336))</f>
        <v/>
      </c>
      <c r="O337" s="673"/>
      <c r="P337" s="674"/>
      <c r="Q337" s="672" t="str">
        <f>IF(Q336="",IF(S336="",Q335,Q335+S336),IF(S336="",Q335+Q336,Q335+Q336+S336))</f>
        <v/>
      </c>
      <c r="R337" s="673"/>
      <c r="S337" s="674"/>
      <c r="T337" s="672" t="str">
        <f>IF(T336="",IF(V336="",T335,T335+V336),IF(V336="",T335+T336,T335+T336+V336))</f>
        <v/>
      </c>
      <c r="U337" s="673"/>
      <c r="V337" s="674"/>
      <c r="W337" s="672" t="str">
        <f>IF(W336="",IF(Y336="",W335,W335+Y336),IF(Y336="",W335+W336,W335+W336+Y336))</f>
        <v/>
      </c>
      <c r="X337" s="673"/>
      <c r="Y337" s="674"/>
      <c r="Z337" s="672" t="str">
        <f>IF(Z336="",IF(AB336="",Z335,Z335+AB336),IF(AB336="",Z335+Z336,Z335+Z336+AB336))</f>
        <v/>
      </c>
      <c r="AA337" s="673"/>
      <c r="AB337" s="674"/>
      <c r="BC337" s="401"/>
      <c r="BD337" s="398"/>
      <c r="BE337" s="391"/>
    </row>
    <row r="338" spans="1:90" ht="21.75" customHeight="1">
      <c r="AD338" s="260"/>
      <c r="AE338" s="260"/>
      <c r="AF338" s="260"/>
      <c r="AG338" s="260"/>
      <c r="AH338" s="260"/>
      <c r="AI338" s="260"/>
      <c r="AJ338" s="260"/>
      <c r="AK338" s="39"/>
      <c r="AL338" s="39"/>
      <c r="AM338" s="260"/>
      <c r="AN338" s="260"/>
      <c r="AO338" s="39"/>
      <c r="AP338" s="39"/>
      <c r="AQ338" s="39"/>
      <c r="AR338" s="39"/>
      <c r="AS338" s="260"/>
      <c r="AT338" s="260"/>
      <c r="AU338" s="260"/>
      <c r="AV338" s="260"/>
      <c r="AW338" s="260"/>
      <c r="AX338" s="260"/>
      <c r="AY338" s="260"/>
      <c r="AZ338" s="260"/>
      <c r="BA338" s="260"/>
      <c r="BC338" s="401"/>
      <c r="BD338" s="398"/>
      <c r="BE338" s="391"/>
    </row>
    <row r="339" spans="1:90" ht="21.75" customHeight="1">
      <c r="AD339" s="260"/>
      <c r="AE339" s="260"/>
      <c r="AF339" s="260"/>
      <c r="AG339" s="260"/>
      <c r="AH339" s="260"/>
      <c r="AI339" s="260"/>
      <c r="AJ339" s="260"/>
      <c r="AK339" s="39"/>
      <c r="AL339" s="39"/>
      <c r="AM339" s="260"/>
      <c r="AN339" s="260"/>
      <c r="AO339" s="39"/>
      <c r="AP339" s="39"/>
      <c r="AQ339" s="39"/>
      <c r="AR339" s="39"/>
      <c r="AS339" s="260"/>
      <c r="AT339" s="260"/>
      <c r="AU339" s="260"/>
      <c r="AV339" s="260"/>
      <c r="AW339" s="260"/>
      <c r="AX339" s="260"/>
      <c r="AY339" s="260"/>
      <c r="AZ339" s="260"/>
      <c r="BA339" s="260"/>
      <c r="BC339" s="401"/>
      <c r="BD339" s="398"/>
      <c r="BE339" s="391"/>
    </row>
    <row r="340" spans="1:90" ht="21.75" customHeight="1" thickBot="1">
      <c r="A340" s="626">
        <f>+A21</f>
        <v>9</v>
      </c>
      <c r="B340" s="626"/>
      <c r="C340" s="626"/>
      <c r="D340" s="626"/>
      <c r="E340" s="626"/>
      <c r="F340" s="627"/>
      <c r="G340" s="627"/>
      <c r="H340" s="627"/>
      <c r="I340" s="627"/>
      <c r="J340" s="628" t="s">
        <v>134</v>
      </c>
      <c r="K340" s="628"/>
      <c r="L340" s="271" t="str">
        <f>K21</f>
        <v>Y - Y</v>
      </c>
      <c r="M340" s="262"/>
      <c r="N340" s="404"/>
      <c r="O340" s="402"/>
      <c r="P340" s="262"/>
      <c r="Q340" s="263"/>
      <c r="R340" s="263"/>
      <c r="S340" s="263"/>
      <c r="T340" s="263"/>
      <c r="U340" s="263"/>
      <c r="V340" s="263"/>
      <c r="W340" s="263"/>
      <c r="X340" s="263"/>
      <c r="Y340" s="263"/>
      <c r="Z340" s="263"/>
      <c r="AA340" s="263"/>
      <c r="AB340" s="263"/>
      <c r="AD340" s="263"/>
      <c r="AE340" s="263"/>
      <c r="AF340" s="263"/>
      <c r="AG340" s="263"/>
      <c r="AH340" s="263"/>
      <c r="AI340" s="263"/>
      <c r="AJ340" s="263"/>
      <c r="AK340" s="263"/>
      <c r="AL340" s="263"/>
      <c r="AM340" s="263"/>
      <c r="AN340" s="263"/>
      <c r="AO340" s="263"/>
      <c r="AP340" s="263"/>
      <c r="AQ340" s="263"/>
      <c r="AR340" s="263"/>
      <c r="AS340" s="263"/>
      <c r="AT340" s="263"/>
      <c r="AU340" s="263"/>
      <c r="AV340" s="263"/>
      <c r="AW340" s="263"/>
      <c r="AX340" s="263"/>
      <c r="AY340" s="263"/>
      <c r="AZ340" s="263"/>
      <c r="BA340" s="263"/>
      <c r="BC340" s="401"/>
      <c r="BD340" s="398"/>
      <c r="BE340" s="391"/>
    </row>
    <row r="341" spans="1:90" ht="21.75" customHeight="1" thickTop="1">
      <c r="A341" s="686" t="str">
        <f>+Espesor!$J$3</f>
        <v>Techo</v>
      </c>
      <c r="B341" s="686"/>
      <c r="C341" s="687" t="s">
        <v>136</v>
      </c>
      <c r="D341" s="687"/>
      <c r="E341" s="264" t="str">
        <f>IF(B21="","",B21)</f>
        <v/>
      </c>
      <c r="F341" s="264" t="str">
        <f t="shared" ref="F341:M341" si="577">IF(C21="","",C21)</f>
        <v/>
      </c>
      <c r="G341" s="264" t="str">
        <f t="shared" si="577"/>
        <v/>
      </c>
      <c r="H341" s="264" t="str">
        <f t="shared" si="577"/>
        <v/>
      </c>
      <c r="I341" s="264" t="str">
        <f t="shared" si="577"/>
        <v/>
      </c>
      <c r="J341" s="264" t="str">
        <f t="shared" si="577"/>
        <v/>
      </c>
      <c r="K341" s="264" t="str">
        <f t="shared" si="577"/>
        <v/>
      </c>
      <c r="L341" s="264" t="str">
        <f t="shared" si="577"/>
        <v/>
      </c>
      <c r="M341" s="264" t="str">
        <f t="shared" si="577"/>
        <v/>
      </c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  <c r="AA341" s="264"/>
      <c r="AB341" s="263"/>
      <c r="AD341" s="263"/>
      <c r="AE341" s="263"/>
      <c r="AF341" s="263"/>
      <c r="AG341" s="263"/>
      <c r="AH341" s="263"/>
      <c r="AI341" s="263"/>
      <c r="AJ341" s="263"/>
      <c r="AK341" s="263"/>
      <c r="AL341" s="263"/>
      <c r="AM341" s="263"/>
      <c r="AN341" s="263"/>
      <c r="AO341" s="263"/>
      <c r="AP341" s="263"/>
      <c r="AQ341" s="263"/>
      <c r="AR341" s="263"/>
      <c r="AS341" s="263"/>
      <c r="AT341" s="263"/>
      <c r="AU341" s="263"/>
      <c r="AV341" s="263"/>
      <c r="AW341" s="263"/>
      <c r="AX341" s="263"/>
      <c r="AY341" s="263"/>
      <c r="AZ341" s="263"/>
      <c r="BA341" s="263"/>
      <c r="BC341" s="401"/>
      <c r="BD341" s="398"/>
      <c r="BE341" s="391"/>
    </row>
    <row r="342" spans="1:90" ht="21.75" customHeight="1">
      <c r="A342" s="238"/>
      <c r="B342" s="239"/>
      <c r="C342" s="240"/>
      <c r="D342" s="240"/>
      <c r="E342" s="240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  <c r="AA342" s="241"/>
      <c r="AB342" s="241"/>
      <c r="AD342" s="624" t="s">
        <v>64</v>
      </c>
      <c r="AE342" s="624"/>
      <c r="AF342" s="624"/>
      <c r="AG342" s="624"/>
      <c r="AH342" s="624"/>
      <c r="AI342" s="624"/>
      <c r="AJ342" s="624"/>
      <c r="AK342" s="624"/>
      <c r="AL342" s="624"/>
      <c r="BC342" s="401"/>
      <c r="BD342" s="398"/>
      <c r="BE342" s="391"/>
    </row>
    <row r="343" spans="1:90" ht="21.75" customHeight="1" thickBot="1">
      <c r="A343" s="360"/>
      <c r="B343" s="682" t="str">
        <f>IF($E341="","",$E341)</f>
        <v/>
      </c>
      <c r="C343" s="682"/>
      <c r="D343" s="682"/>
      <c r="E343" s="682" t="str">
        <f>IF($F341="","",$F341)</f>
        <v/>
      </c>
      <c r="F343" s="682"/>
      <c r="G343" s="682"/>
      <c r="H343" s="682" t="str">
        <f>IF($G341="","",$G341)</f>
        <v/>
      </c>
      <c r="I343" s="682"/>
      <c r="J343" s="682"/>
      <c r="K343" s="682" t="str">
        <f>IF($H341="","",$H341)</f>
        <v/>
      </c>
      <c r="L343" s="682"/>
      <c r="M343" s="682"/>
      <c r="N343" s="682" t="str">
        <f>IF($I341="","",$I341)</f>
        <v/>
      </c>
      <c r="O343" s="682"/>
      <c r="P343" s="682"/>
      <c r="Q343" s="682" t="str">
        <f>IF($J341="","",$J341)</f>
        <v/>
      </c>
      <c r="R343" s="682"/>
      <c r="S343" s="682"/>
      <c r="T343" s="682" t="str">
        <f>IF($K341="","",$K341)</f>
        <v/>
      </c>
      <c r="U343" s="682"/>
      <c r="V343" s="682"/>
      <c r="W343" s="682" t="str">
        <f>IF($L341="","",$L341)</f>
        <v/>
      </c>
      <c r="X343" s="682"/>
      <c r="Y343" s="682"/>
      <c r="Z343" s="682" t="str">
        <f>IF($M341="","",$M341)</f>
        <v/>
      </c>
      <c r="AA343" s="682"/>
      <c r="AB343" s="682"/>
      <c r="AD343" s="287" t="str">
        <f>+A318</f>
        <v>M+ =</v>
      </c>
      <c r="AE343" s="325" t="str">
        <f>+IF(B318="","",B318)</f>
        <v/>
      </c>
      <c r="AF343" s="325" t="str">
        <f>+IF(C318="","",C318)</f>
        <v/>
      </c>
      <c r="AG343" s="325" t="str">
        <f t="shared" ref="AG343" si="578">+IF(D318="","",D318)</f>
        <v/>
      </c>
      <c r="AH343" s="325" t="str">
        <f t="shared" ref="AH343" si="579">+IF(E318="","",E318)</f>
        <v/>
      </c>
      <c r="AI343" s="325" t="str">
        <f t="shared" ref="AI343" si="580">+IF(F318="","",F318)</f>
        <v/>
      </c>
      <c r="AJ343" s="325" t="str">
        <f t="shared" ref="AJ343" si="581">+IF(G318="","",G318)</f>
        <v/>
      </c>
      <c r="AK343" s="325" t="str">
        <f t="shared" ref="AK343" si="582">+IF(H318="","",H318)</f>
        <v/>
      </c>
      <c r="AL343" s="325" t="str">
        <f t="shared" ref="AL343" si="583">+IF(I318="","",I318)</f>
        <v/>
      </c>
      <c r="AM343" s="325" t="str">
        <f t="shared" ref="AM343" si="584">+IF(J318="","",J318)</f>
        <v/>
      </c>
      <c r="AN343" s="242"/>
      <c r="AO343" s="242"/>
      <c r="AP343" s="242"/>
      <c r="AQ343" s="242"/>
      <c r="AR343" s="242"/>
      <c r="AS343" s="242"/>
      <c r="AT343" s="242"/>
      <c r="AU343" s="242"/>
      <c r="AV343" s="242"/>
      <c r="AW343" s="242"/>
      <c r="AX343" s="242"/>
      <c r="AY343" s="242"/>
      <c r="AZ343" s="242"/>
      <c r="BA343" s="242"/>
      <c r="BC343" s="401"/>
      <c r="BD343" s="398"/>
      <c r="BE343" s="428">
        <f>BE$27</f>
        <v>1</v>
      </c>
      <c r="BF343" s="428">
        <f t="shared" ref="BF343:CL343" si="585">BF$27</f>
        <v>2</v>
      </c>
      <c r="BG343" s="428">
        <f t="shared" si="585"/>
        <v>3</v>
      </c>
      <c r="BH343" s="428">
        <f t="shared" si="585"/>
        <v>4</v>
      </c>
      <c r="BI343" s="428">
        <f t="shared" si="585"/>
        <v>5</v>
      </c>
      <c r="BJ343" s="428">
        <f t="shared" si="585"/>
        <v>6</v>
      </c>
      <c r="BK343" s="428">
        <f t="shared" si="585"/>
        <v>7</v>
      </c>
      <c r="BL343" s="428">
        <f t="shared" si="585"/>
        <v>8</v>
      </c>
      <c r="BM343" s="428">
        <f t="shared" si="585"/>
        <v>9</v>
      </c>
      <c r="BN343" s="428">
        <f t="shared" si="585"/>
        <v>10</v>
      </c>
      <c r="BO343" s="428">
        <f t="shared" si="585"/>
        <v>11</v>
      </c>
      <c r="BP343" s="428">
        <f t="shared" si="585"/>
        <v>12</v>
      </c>
      <c r="BQ343" s="428">
        <f t="shared" si="585"/>
        <v>13</v>
      </c>
      <c r="BR343" s="428">
        <f t="shared" si="585"/>
        <v>14</v>
      </c>
      <c r="BS343" s="428">
        <f t="shared" si="585"/>
        <v>15</v>
      </c>
      <c r="BT343" s="428">
        <f t="shared" si="585"/>
        <v>16</v>
      </c>
      <c r="BU343" s="428">
        <f t="shared" si="585"/>
        <v>17</v>
      </c>
      <c r="BV343" s="428">
        <f t="shared" si="585"/>
        <v>18</v>
      </c>
      <c r="BW343" s="428">
        <f t="shared" si="585"/>
        <v>19</v>
      </c>
      <c r="BX343" s="428">
        <f t="shared" si="585"/>
        <v>20</v>
      </c>
      <c r="BY343" s="428">
        <f t="shared" si="585"/>
        <v>21</v>
      </c>
      <c r="BZ343" s="428">
        <f t="shared" si="585"/>
        <v>22</v>
      </c>
      <c r="CA343" s="428">
        <f t="shared" si="585"/>
        <v>23</v>
      </c>
      <c r="CB343" s="428">
        <f t="shared" si="585"/>
        <v>24</v>
      </c>
      <c r="CC343" s="428">
        <f t="shared" si="585"/>
        <v>25</v>
      </c>
      <c r="CD343" s="428">
        <f t="shared" si="585"/>
        <v>26</v>
      </c>
      <c r="CE343" s="428">
        <f t="shared" si="585"/>
        <v>27</v>
      </c>
      <c r="CF343" s="428">
        <f t="shared" si="585"/>
        <v>28</v>
      </c>
      <c r="CG343" s="428">
        <f t="shared" si="585"/>
        <v>29</v>
      </c>
      <c r="CH343" s="428">
        <f t="shared" si="585"/>
        <v>30</v>
      </c>
      <c r="CI343" s="428">
        <f t="shared" si="585"/>
        <v>31</v>
      </c>
      <c r="CJ343" s="428">
        <f t="shared" si="585"/>
        <v>32</v>
      </c>
      <c r="CK343" s="428">
        <f t="shared" si="585"/>
        <v>33</v>
      </c>
      <c r="CL343" s="428">
        <f t="shared" si="585"/>
        <v>34</v>
      </c>
    </row>
    <row r="344" spans="1:90" ht="21.75" customHeight="1" thickBot="1">
      <c r="A344" s="413" t="s">
        <v>3</v>
      </c>
      <c r="B344" s="683" t="str">
        <f>IF(B343="","",VLOOKUP(B343,Espesor!$C$8:$E$41,3,0))</f>
        <v/>
      </c>
      <c r="C344" s="684"/>
      <c r="D344" s="685"/>
      <c r="E344" s="683" t="str">
        <f>IF(E343="","",VLOOKUP(E343,Espesor!$C$8:$E$41,3,0))</f>
        <v/>
      </c>
      <c r="F344" s="684"/>
      <c r="G344" s="685"/>
      <c r="H344" s="683" t="str">
        <f>IF(H343="","",VLOOKUP(H343,Espesor!$C$8:$E$41,3,0))</f>
        <v/>
      </c>
      <c r="I344" s="684"/>
      <c r="J344" s="685"/>
      <c r="K344" s="683" t="str">
        <f>IF(K343="","",VLOOKUP(K343,Espesor!$C$8:$E$41,3,0))</f>
        <v/>
      </c>
      <c r="L344" s="684"/>
      <c r="M344" s="685"/>
      <c r="N344" s="683" t="str">
        <f>IF(N343="","",VLOOKUP(N343,Espesor!$C$8:$E$41,3,0))</f>
        <v/>
      </c>
      <c r="O344" s="684"/>
      <c r="P344" s="685"/>
      <c r="Q344" s="683" t="str">
        <f>IF(Q343="","",VLOOKUP(Q343,Espesor!$C$8:$E$41,3,0))</f>
        <v/>
      </c>
      <c r="R344" s="684"/>
      <c r="S344" s="685"/>
      <c r="T344" s="683" t="str">
        <f>IF(T343="","",VLOOKUP(T343,Espesor!$C$8:$E$41,3,0))</f>
        <v/>
      </c>
      <c r="U344" s="684"/>
      <c r="V344" s="685"/>
      <c r="W344" s="683" t="str">
        <f>IF(W343="","",VLOOKUP(W343,Espesor!$C$8:$E$41,3,0))</f>
        <v/>
      </c>
      <c r="X344" s="684"/>
      <c r="Y344" s="685"/>
      <c r="Z344" s="683" t="str">
        <f>IF(Z343="","",VLOOKUP(Z343,Espesor!$C$8:$E$41,3,0))</f>
        <v/>
      </c>
      <c r="AA344" s="684"/>
      <c r="AB344" s="685"/>
      <c r="AD344" s="338" t="s">
        <v>4</v>
      </c>
      <c r="AE344" s="322" t="s">
        <v>3</v>
      </c>
      <c r="AF344" s="339" t="s">
        <v>138</v>
      </c>
      <c r="AG344" s="637" t="s">
        <v>139</v>
      </c>
      <c r="AH344" s="638"/>
      <c r="AI344" s="638"/>
      <c r="AJ344" s="639"/>
      <c r="AK344" s="640" t="s">
        <v>142</v>
      </c>
      <c r="AL344" s="641"/>
      <c r="AM344" s="637" t="s">
        <v>143</v>
      </c>
      <c r="AN344" s="639"/>
      <c r="AO344" s="642" t="s">
        <v>144</v>
      </c>
      <c r="AP344" s="643"/>
      <c r="AQ344" s="643"/>
      <c r="AR344" s="644"/>
      <c r="AS344" s="642" t="s">
        <v>145</v>
      </c>
      <c r="AT344" s="643"/>
      <c r="AU344" s="644"/>
      <c r="AV344" s="645" t="s">
        <v>157</v>
      </c>
      <c r="AW344" s="646"/>
      <c r="AX344" s="646"/>
      <c r="AY344" s="646"/>
      <c r="AZ344" s="646"/>
      <c r="BA344" s="647"/>
      <c r="BC344" s="422">
        <f>+A340</f>
        <v>9</v>
      </c>
      <c r="BD344" s="433" t="s">
        <v>183</v>
      </c>
      <c r="BE344" s="429">
        <f>IF(BE343=$B$343,$B$355,IF(BE343=$E$343,$E$355,IF(BE343=$H$343,$H$355,IF(BE343=$K$343,$K$355,IF(BE343=$N$343,$N$355,IF(BE343=$Q$343,$Q$355,IF(BE343=$T$343,$T$355,IF(BE343=$W$343,$W$355,IF(BE343=$Z$343,$Z$355,0)))))))))</f>
        <v>0</v>
      </c>
      <c r="BF344" s="429">
        <f t="shared" ref="BF344:CL344" si="586">IF(BF343=$B$343,$B$355,IF(BF343=$E$343,$E$355,IF(BF343=$H$343,$H$355,IF(BF343=$K$343,$K$355,IF(BF343=$N$343,$N$355,IF(BF343=$Q$343,$Q$355,IF(BF343=$T$343,$T$355,IF(BF343=$W$343,$W$355,IF(BF343=$Z$343,$Z$355,0)))))))))</f>
        <v>0</v>
      </c>
      <c r="BG344" s="429">
        <f t="shared" si="586"/>
        <v>0</v>
      </c>
      <c r="BH344" s="429">
        <f t="shared" si="586"/>
        <v>0</v>
      </c>
      <c r="BI344" s="429">
        <f t="shared" si="586"/>
        <v>0</v>
      </c>
      <c r="BJ344" s="429">
        <f t="shared" si="586"/>
        <v>0</v>
      </c>
      <c r="BK344" s="429">
        <f t="shared" si="586"/>
        <v>0</v>
      </c>
      <c r="BL344" s="429">
        <f t="shared" si="586"/>
        <v>0</v>
      </c>
      <c r="BM344" s="429">
        <f t="shared" si="586"/>
        <v>0</v>
      </c>
      <c r="BN344" s="429">
        <f t="shared" si="586"/>
        <v>0</v>
      </c>
      <c r="BO344" s="429">
        <f t="shared" si="586"/>
        <v>0</v>
      </c>
      <c r="BP344" s="429">
        <f t="shared" si="586"/>
        <v>0</v>
      </c>
      <c r="BQ344" s="429">
        <f t="shared" si="586"/>
        <v>0</v>
      </c>
      <c r="BR344" s="429">
        <f t="shared" si="586"/>
        <v>0</v>
      </c>
      <c r="BS344" s="429">
        <f t="shared" si="586"/>
        <v>0</v>
      </c>
      <c r="BT344" s="429">
        <f t="shared" si="586"/>
        <v>0</v>
      </c>
      <c r="BU344" s="429">
        <f t="shared" si="586"/>
        <v>0</v>
      </c>
      <c r="BV344" s="429">
        <f t="shared" si="586"/>
        <v>0</v>
      </c>
      <c r="BW344" s="429">
        <f t="shared" si="586"/>
        <v>0</v>
      </c>
      <c r="BX344" s="429">
        <f t="shared" si="586"/>
        <v>0</v>
      </c>
      <c r="BY344" s="429">
        <f t="shared" si="586"/>
        <v>0</v>
      </c>
      <c r="BZ344" s="429">
        <f t="shared" si="586"/>
        <v>0</v>
      </c>
      <c r="CA344" s="429">
        <f t="shared" si="586"/>
        <v>0</v>
      </c>
      <c r="CB344" s="429">
        <f t="shared" si="586"/>
        <v>0</v>
      </c>
      <c r="CC344" s="429">
        <f t="shared" si="586"/>
        <v>0</v>
      </c>
      <c r="CD344" s="429">
        <f t="shared" si="586"/>
        <v>0</v>
      </c>
      <c r="CE344" s="429">
        <f t="shared" si="586"/>
        <v>0</v>
      </c>
      <c r="CF344" s="429">
        <f t="shared" si="586"/>
        <v>0</v>
      </c>
      <c r="CG344" s="429">
        <f t="shared" si="586"/>
        <v>0</v>
      </c>
      <c r="CH344" s="429">
        <f t="shared" si="586"/>
        <v>0</v>
      </c>
      <c r="CI344" s="429">
        <f t="shared" si="586"/>
        <v>0</v>
      </c>
      <c r="CJ344" s="429">
        <f t="shared" si="586"/>
        <v>0</v>
      </c>
      <c r="CK344" s="429">
        <f t="shared" si="586"/>
        <v>0</v>
      </c>
      <c r="CL344" s="429">
        <f t="shared" si="586"/>
        <v>0</v>
      </c>
    </row>
    <row r="345" spans="1:90" ht="21.75" customHeight="1">
      <c r="A345" s="257" t="s">
        <v>65</v>
      </c>
      <c r="B345" s="679" t="str">
        <f>+IF(B343="","",IF(LOOKUP(B343,Espesor!$C$8:$C$41,Espesor!$K$8:$K$41)="en voladizo","",0.75/B344))</f>
        <v/>
      </c>
      <c r="C345" s="680"/>
      <c r="D345" s="681"/>
      <c r="E345" s="679" t="str">
        <f>IF(E343="","",IF(LOOKUP(E343,Espesor!$C$8:$C$41,Espesor!$K$8:$K$41)="en voladizo","",IF(H343="",0.75/E344,1/E344)))</f>
        <v/>
      </c>
      <c r="F345" s="680"/>
      <c r="G345" s="681"/>
      <c r="H345" s="679" t="str">
        <f>IF(H343="","",IF(LOOKUP(H343,Espesor!$C$8:$C$41,Espesor!$K$8:$K$41)="en voladizo","",IF(K343="",0.75/H344,1/H344)))</f>
        <v/>
      </c>
      <c r="I345" s="680"/>
      <c r="J345" s="681"/>
      <c r="K345" s="679" t="str">
        <f>IF(K343="","",IF(LOOKUP(K343,Espesor!$C$8:$C$41,Espesor!$K$8:$K$41)="en voladizo","",IF(N343="",0.75/K344,1/K344)))</f>
        <v/>
      </c>
      <c r="L345" s="680"/>
      <c r="M345" s="681"/>
      <c r="N345" s="679" t="str">
        <f>IF(N343="","",IF(LOOKUP(N343,Espesor!$C$8:$C$41,Espesor!$K$8:$K$41)="en voladizo","",IF(Q343="",0.75/N344,1/N344)))</f>
        <v/>
      </c>
      <c r="O345" s="680"/>
      <c r="P345" s="681"/>
      <c r="Q345" s="679" t="str">
        <f>IF(Q343="","",IF(LOOKUP(Q343,Espesor!$C$8:$C$41,Espesor!$K$8:$K$41)="en voladizo","",IF(T343="",0.75/Q344,1/Q344)))</f>
        <v/>
      </c>
      <c r="R345" s="680"/>
      <c r="S345" s="681"/>
      <c r="T345" s="679" t="str">
        <f>IF(T343="","",IF(LOOKUP(T343,Espesor!$C$8:$C$41,Espesor!$K$8:$K$41)="en voladizo","",IF(W343="",0.75/T344,1/T344)))</f>
        <v/>
      </c>
      <c r="U345" s="680"/>
      <c r="V345" s="681"/>
      <c r="W345" s="679" t="str">
        <f>IF(W343="","",IF(LOOKUP(W343,Espesor!$C$8:$C$41,Espesor!$K$8:$K$41)="en voladizo","",IF(Z343="",0.75/W344,1/W344)))</f>
        <v/>
      </c>
      <c r="X345" s="680"/>
      <c r="Y345" s="681"/>
      <c r="Z345" s="679" t="str">
        <f>IF(Z343="","",IF(LOOKUP(Z343,Espesor!$C$8:$C$41,Espesor!$K$8:$K$41)="en voladizo","",IF(AC343="",0.75/Z344,1/Z344)))</f>
        <v/>
      </c>
      <c r="AA345" s="680"/>
      <c r="AB345" s="681"/>
      <c r="AD345" s="320" t="str">
        <f>+IF(AE343="","",AE343)</f>
        <v/>
      </c>
      <c r="AE345" s="323" t="str">
        <f>IF(B319="","",IF($K$2="X - X",VLOOKUP(B319,Espesor!$C$8:$E$41,2,0),VLOOKUP(B319,Espesor!$C$8:$E$41,3,0)))</f>
        <v/>
      </c>
      <c r="AF345" s="318" t="str">
        <f>+IF(AD345="","",IF(LOOKUP(AD345,Espesor!$C$8:$C$41,Espesor!$K$8:$K$41)="en voladizo","",0.75/AE345))</f>
        <v/>
      </c>
      <c r="AG345" s="648" t="str">
        <f>IF(AF345="","",IF(AF346="","",ROUND(AF345/(AF345+AF346),3)))</f>
        <v/>
      </c>
      <c r="AH345" s="343"/>
      <c r="AI345" s="648" t="str">
        <f>IF(AF346="","",IF(AF345="","",ROUND(AF346/(AF346+AF345),3)))</f>
        <v/>
      </c>
      <c r="AJ345" s="343"/>
      <c r="AK345" s="342">
        <v>0</v>
      </c>
      <c r="AL345" s="316" t="e">
        <f>-IF(B318="","",IF($K$2="X - X",VLOOKUP(B318,'Moms de Empt'!$P$3:$T$36,3,0),VLOOKUP(B318,'Moms de Empt'!$P$3:$T$36,5,0)))</f>
        <v>#VALUE!</v>
      </c>
      <c r="AM345" s="649">
        <f>IF(AD346="",0,IF(LOOKUP(AD346,Espesor!$C$8:$C$41,Espesor!$K$8:$K$41)="en voladizo",MAX(ABS(AL345),ABS(AK346)),-(AK346+AL345)))</f>
        <v>0</v>
      </c>
      <c r="AN345" s="345"/>
      <c r="AO345" s="650" t="str">
        <f>IF(AG345="","",AM345*AG345)</f>
        <v/>
      </c>
      <c r="AP345" s="342"/>
      <c r="AQ345" s="650" t="str">
        <f>IF(AI345="","",AM345*AI345)</f>
        <v/>
      </c>
      <c r="AR345" s="342"/>
      <c r="AS345" s="651" t="e">
        <f>-IF(AM345="","",IF(AL345="",IF(AO345="",0,AO345),IF(AO345="",AL345,AL345+AO345)))</f>
        <v>#VALUE!</v>
      </c>
      <c r="AT345" s="341"/>
      <c r="AU345" s="341" t="e">
        <f>+AS345</f>
        <v>#VALUE!</v>
      </c>
      <c r="AV345" s="329" t="str">
        <f>IF(B318="","",IF(L318="X - X",VLOOKUP(B343,'Moms de Empt'!$P$3:$T$36,2,0),VLOOKUP(B343,'Moms de Empt'!$P$3:$T$36,4,0)))</f>
        <v/>
      </c>
      <c r="AW345" s="653" t="str">
        <f>IF(B345="","",IF(D347="","",IF(ABS(D351)&gt;ABS(D347),-0.5*ABS(D349),0.5*ABS(D349))))</f>
        <v/>
      </c>
      <c r="AX345" s="330"/>
      <c r="AY345" s="653" t="str">
        <f>IF(AV346="","",IF(AV345="","",ROUND(AV346/(AV346+AV345),3)))</f>
        <v/>
      </c>
      <c r="AZ345" s="330"/>
      <c r="BA345" s="331" t="str">
        <f t="shared" ref="BA345:BA352" si="587">+AV345</f>
        <v/>
      </c>
      <c r="BC345" s="422"/>
      <c r="BD345" s="398"/>
      <c r="BE345" s="429"/>
    </row>
    <row r="346" spans="1:90" ht="21.75" customHeight="1">
      <c r="A346" s="247" t="s">
        <v>123</v>
      </c>
      <c r="B346" s="29"/>
      <c r="C346" s="30"/>
      <c r="D346" s="31">
        <f>IF(B345="",0,IF(E345="",0,ROUND(B345/(B345+E345),3)))</f>
        <v>0</v>
      </c>
      <c r="E346" s="29">
        <f>IF(E345="",0,IF(B345="",0,ROUND(E345/(E345+B345),3)))</f>
        <v>0</v>
      </c>
      <c r="F346" s="30"/>
      <c r="G346" s="31">
        <f>IF(E345="",0,IF(H345="",0,ROUND(E345/(E345+H345),3)))</f>
        <v>0</v>
      </c>
      <c r="H346" s="29">
        <f>IF(H345="",0,IF(E345="",0,ROUND(H345/(H345+E345),3)))</f>
        <v>0</v>
      </c>
      <c r="I346" s="30"/>
      <c r="J346" s="31">
        <f>IF(H345="",0,IF(K345="",0,ROUND(H345/(H345+K345),3)))</f>
        <v>0</v>
      </c>
      <c r="K346" s="29">
        <f>IF(K345="",0,IF(H345="",0,ROUND(K345/(K345+H345),3)))</f>
        <v>0</v>
      </c>
      <c r="L346" s="30"/>
      <c r="M346" s="31">
        <f>IF(K345="",0,IF(N345="",0,ROUND(K345/(K345+N345),3)))</f>
        <v>0</v>
      </c>
      <c r="N346" s="29">
        <f>IF(N345="",0,IF(K345="",0,ROUND(N345/(N345+K345),3)))</f>
        <v>0</v>
      </c>
      <c r="O346" s="30"/>
      <c r="P346" s="31">
        <f>IF(N345="",0,IF(Q345="",0,ROUND(N345/(N345+Q345),3)))</f>
        <v>0</v>
      </c>
      <c r="Q346" s="29">
        <f>IF(Q345="",0,IF(N345="",0,ROUND(Q345/(Q345+N345),3)))</f>
        <v>0</v>
      </c>
      <c r="R346" s="30"/>
      <c r="S346" s="31">
        <f>IF(Q345="",0,IF(T345="",0,ROUND(Q345/(Q345+T345),3)))</f>
        <v>0</v>
      </c>
      <c r="T346" s="29">
        <f>IF(T345="",0,IF(Q345="",0,ROUND(T345/(T345+Q345),3)))</f>
        <v>0</v>
      </c>
      <c r="U346" s="30"/>
      <c r="V346" s="31">
        <f>IF(T345="",0,IF(W345="",0,ROUND(T345/(T345+W345),3)))</f>
        <v>0</v>
      </c>
      <c r="W346" s="29">
        <f>IF(W345="",0,IF(T345="",0,ROUND(W345/(W345+T345),3)))</f>
        <v>0</v>
      </c>
      <c r="X346" s="30"/>
      <c r="Y346" s="31">
        <f>IF(W345="",0,IF(Z345="",0,ROUND(W345/(W345+Z345),3)))</f>
        <v>0</v>
      </c>
      <c r="Z346" s="29">
        <f>IF(Z345="",0,IF(W345="",0,ROUND(Z345/(Z345+W345),3)))</f>
        <v>0</v>
      </c>
      <c r="AA346" s="30"/>
      <c r="AB346" s="31">
        <f>IF(Z345="",0,IF(AC345="",0,ROUND(Z345/(Z345+AC345),3)))</f>
        <v>0</v>
      </c>
      <c r="AD346" s="321" t="str">
        <f>+IF(AF343="","",AF343)</f>
        <v/>
      </c>
      <c r="AE346" s="324" t="str">
        <f>IF(C318="","",IF($K$2="X - X",VLOOKUP(C318,Espesor!$C$8:$E$41,2,0),VLOOKUP(C318,Espesor!$C$8:$E$41,3,0)))</f>
        <v/>
      </c>
      <c r="AF346" s="319" t="str">
        <f>IF(AD346="","",IF(LOOKUP(AD346,Espesor!$C$8:$C$41,Espesor!$K$8:$K$41)="en voladizo","",IF(AD347="",0.75/AE346,1/AE346)))</f>
        <v/>
      </c>
      <c r="AG346" s="634"/>
      <c r="AH346" s="634" t="str">
        <f>IF(AF346="","",IF(AF347="","",ROUND(AF346/(AF346+AF347),3)))</f>
        <v/>
      </c>
      <c r="AI346" s="634"/>
      <c r="AJ346" s="634" t="str">
        <f>IF(AF346="","",IF(AF347="","",ROUND(AF347/(AF346+AF347),3)))</f>
        <v/>
      </c>
      <c r="AK346" s="317">
        <f>IF(C318="",0,IF($K$2="X - X",VLOOKUP(C318,'Moms de Empt'!$P$3:$T$36,3,0),VLOOKUP(C318,'Moms de Empt'!$P$3:$T$36,5,0)))</f>
        <v>0</v>
      </c>
      <c r="AL346" s="317">
        <f>+IF(AD347="",0,-AK346)</f>
        <v>0</v>
      </c>
      <c r="AM346" s="629"/>
      <c r="AN346" s="629">
        <f>IF(AD347="",0,IF(LOOKUP(AD347,Espesor!$C$8:$C$41,Espesor!$K$8:$K$41)="en voladizo",MAX(ABS(AL346),ABS(AK347)),-(AK347+AL346)))</f>
        <v>0</v>
      </c>
      <c r="AO346" s="630"/>
      <c r="AP346" s="630" t="str">
        <f>IF(AH346="","",AN346*AH346)</f>
        <v/>
      </c>
      <c r="AQ346" s="630"/>
      <c r="AR346" s="630" t="str">
        <f>IF(AJ346="","",AN346*AJ346)</f>
        <v/>
      </c>
      <c r="AS346" s="652"/>
      <c r="AT346" s="631">
        <f>-IF(AN346="","",IF(AL346="",IF(AP346="",0,AP346),IF(AP346="",AL346,AL346+AP346)))</f>
        <v>0</v>
      </c>
      <c r="AU346" s="341">
        <f>+AT346</f>
        <v>0</v>
      </c>
      <c r="AV346" s="332" t="str">
        <f>IF(E343="","",IF(L318="X - X",VLOOKUP(E343,'Moms de Empt'!$P$3:$T$36,2,0),VLOOKUP(E343,'Moms de Empt'!$P$3:$T$36,4,0)))</f>
        <v/>
      </c>
      <c r="AW346" s="635"/>
      <c r="AX346" s="633" t="str">
        <f>IF(AV346="","",IF(AV347="","",ROUND(AV346/(AV346+AV347),3)))</f>
        <v/>
      </c>
      <c r="AY346" s="635"/>
      <c r="AZ346" s="633" t="str">
        <f>IF(AV346="","",IF(AV347="","",ROUND(AV347/(AV346+AV347),3)))</f>
        <v/>
      </c>
      <c r="BA346" s="331" t="str">
        <f t="shared" si="587"/>
        <v/>
      </c>
      <c r="BC346" s="422"/>
      <c r="BD346" s="398"/>
      <c r="BE346" s="429"/>
    </row>
    <row r="347" spans="1:90" ht="21.75" customHeight="1">
      <c r="A347" s="248" t="s">
        <v>124</v>
      </c>
      <c r="B347" s="249"/>
      <c r="C347" s="34"/>
      <c r="D347" s="33" t="str">
        <f>IF(B343="","",-VLOOKUP(B343,'Moms de Empt'!$P$3:$T$36,5,0))</f>
        <v/>
      </c>
      <c r="E347" s="33" t="str">
        <f>IF(E343="","",VLOOKUP(E343,'Moms de Empt'!$P$3:$T$36,5,0))</f>
        <v/>
      </c>
      <c r="F347" s="34"/>
      <c r="G347" s="33" t="str">
        <f>IF(E343="","",-VLOOKUP(E343,'Moms de Empt'!$P$3:$T$36,5,0))</f>
        <v/>
      </c>
      <c r="H347" s="33" t="str">
        <f>IF(H343="","",VLOOKUP(H343,'Moms de Empt'!$P$3:$T$36,5,0))</f>
        <v/>
      </c>
      <c r="I347" s="34"/>
      <c r="J347" s="33" t="str">
        <f>IF(H343="","",-VLOOKUP(H343,'Moms de Empt'!$P$3:$T$36,5,0))</f>
        <v/>
      </c>
      <c r="K347" s="33" t="str">
        <f>IF(K343="","",VLOOKUP(K343,'Moms de Empt'!$P$3:$T$36,5,0))</f>
        <v/>
      </c>
      <c r="L347" s="34"/>
      <c r="M347" s="33" t="str">
        <f>IF(K343="","",-VLOOKUP(K343,'Moms de Empt'!$P$3:$T$36,5,0))</f>
        <v/>
      </c>
      <c r="N347" s="33" t="str">
        <f>IF(N343="","",VLOOKUP(N343,'Moms de Empt'!$P$3:$T$36,5,0))</f>
        <v/>
      </c>
      <c r="O347" s="34"/>
      <c r="P347" s="33" t="str">
        <f>IF(N343="","",-VLOOKUP(N343,'Moms de Empt'!$P$3:$T$36,5,0))</f>
        <v/>
      </c>
      <c r="Q347" s="33" t="str">
        <f>IF(Q343="","",VLOOKUP(Q343,'Moms de Empt'!$P$3:$T$36,5,0))</f>
        <v/>
      </c>
      <c r="R347" s="34"/>
      <c r="S347" s="33" t="str">
        <f>IF(Q343="","",-VLOOKUP(Q343,'Moms de Empt'!$P$3:$T$36,5,0))</f>
        <v/>
      </c>
      <c r="T347" s="33" t="str">
        <f>IF(T343="","",VLOOKUP(T343,'Moms de Empt'!$P$3:$T$36,5,0))</f>
        <v/>
      </c>
      <c r="U347" s="34"/>
      <c r="V347" s="33" t="str">
        <f>IF(T343="","",-VLOOKUP(T343,'Moms de Empt'!$P$3:$T$36,5,0))</f>
        <v/>
      </c>
      <c r="W347" s="33" t="str">
        <f>IF(W343="","",VLOOKUP(W343,'Moms de Empt'!$P$3:$T$36,5,0))</f>
        <v/>
      </c>
      <c r="X347" s="34"/>
      <c r="Y347" s="33" t="str">
        <f>IF(W343="","",-VLOOKUP(W343,'Moms de Empt'!$P$3:$T$36,5,0))</f>
        <v/>
      </c>
      <c r="Z347" s="33" t="str">
        <f>IF(Z343="","",VLOOKUP(Z343,'Moms de Empt'!$P$3:$T$36,5,0))</f>
        <v/>
      </c>
      <c r="AA347" s="34"/>
      <c r="AB347" s="33"/>
      <c r="AD347" s="321" t="str">
        <f>+IF(AG343="","",AG343)</f>
        <v/>
      </c>
      <c r="AE347" s="324" t="str">
        <f>IF(C319="","",IF($K$2="X - X",VLOOKUP(C319,Espesor!$C$8:$E$41,2,0),VLOOKUP(C319,Espesor!$C$8:$E$41,3,0)))</f>
        <v/>
      </c>
      <c r="AF347" s="319" t="str">
        <f>IF(AD347="","",IF(LOOKUP(AD347,Espesor!$C$8:$C$41,Espesor!$K$8:$K$41)="en voladizo","",IF(AD348="",0.75/AE347,1/AE347)))</f>
        <v/>
      </c>
      <c r="AG347" s="634" t="str">
        <f>IF(AF347="","",IF(AF348="","",ROUND(AF347/(AF347+AF348),3)))</f>
        <v/>
      </c>
      <c r="AH347" s="634"/>
      <c r="AI347" s="634" t="str">
        <f>IF(AF348="","",IF(AF347="","",ROUND(AF348/(AF348+AF347),3)))</f>
        <v/>
      </c>
      <c r="AJ347" s="634"/>
      <c r="AK347" s="317">
        <f>IF(D318="",0,IF($K$2="X - X",VLOOKUP(D318,'Moms de Empt'!$P$3:$T$36,3,0),VLOOKUP(D318,'Moms de Empt'!$P$3:$T$36,5,0)))</f>
        <v>0</v>
      </c>
      <c r="AL347" s="317">
        <f>+IF(AD348="",0,-AK347)</f>
        <v>0</v>
      </c>
      <c r="AM347" s="629">
        <f>IF(AD348="",0,IF(LOOKUP(AD348,Espesor!$C$8:$C$41,Espesor!$K$8:$K$41)="en voladizo",MAX(ABS(AL347),ABS(AK348)),-(AK348+AL347)))</f>
        <v>0</v>
      </c>
      <c r="AN347" s="629"/>
      <c r="AO347" s="630" t="str">
        <f>IF(AG347="","",AM347*AG347)</f>
        <v/>
      </c>
      <c r="AP347" s="630"/>
      <c r="AQ347" s="630" t="str">
        <f>IF(AI347="","",AM347*AI347)</f>
        <v/>
      </c>
      <c r="AR347" s="630"/>
      <c r="AS347" s="631">
        <f>-IF(AM347="","",IF(AL347="",IF(AO347="",0,AO347),IF(AO347="",AL347,AL347+AO347)))</f>
        <v>0</v>
      </c>
      <c r="AT347" s="632"/>
      <c r="AU347" s="341">
        <f>+AS347</f>
        <v>0</v>
      </c>
      <c r="AV347" s="332" t="str">
        <f>IF(H343="","",IF(L318="X - X",VLOOKUP(H343,'Moms de Empt'!$P$3:$T$36,2,0),VLOOKUP(H343,'Moms de Empt'!$P$3:$T$36,4,0)))</f>
        <v/>
      </c>
      <c r="AW347" s="635" t="str">
        <f>IF(AV347="","",IF(AV348="","",ROUND(AV347/(AV347+AV348),3)))</f>
        <v/>
      </c>
      <c r="AX347" s="633"/>
      <c r="AY347" s="635" t="str">
        <f>IF(AV348="","",IF(AV347="","",ROUND(AV348/(AV348+AV347),3)))</f>
        <v/>
      </c>
      <c r="AZ347" s="633"/>
      <c r="BA347" s="331" t="str">
        <f t="shared" si="587"/>
        <v/>
      </c>
      <c r="BC347" s="422"/>
      <c r="BD347" s="398"/>
      <c r="BE347" s="429"/>
    </row>
    <row r="348" spans="1:90" ht="21.75" customHeight="1">
      <c r="A348" s="250" t="s">
        <v>125</v>
      </c>
      <c r="B348" s="272"/>
      <c r="C348" s="406"/>
      <c r="D348" s="678">
        <f>+IF(E343="",0,IF(LOOKUP(E343,Espesor!$C$8:$C$41,Espesor!$K$8:$K$41)="en voladizo",IF(LOOKUP(B343,Espesor!$C$8:$C$41,Espesor!$K$8:$K$41)="en voladizo","Inestable",MAX(ABS(D347),ABS(E347))),IF(LOOKUP(B343,Espesor!$C$8:$C$41,Espesor!$K$8:$K$41)="en voladizo",MAX(ABS(D347),ABS(E347)),-(E347+D347))))</f>
        <v>0</v>
      </c>
      <c r="E348" s="678"/>
      <c r="F348" s="406"/>
      <c r="G348" s="678">
        <f>+IF(H343="",0,IF(LOOKUP(H343,Espesor!$C$8:$C$41,Espesor!$K$8:$K$41)="en voladizo",IF(LOOKUP(E343,Espesor!$C$8:$C$41,Espesor!$K$8:$K$41)="en voladizo","Inestable",MAX(ABS(G347),ABS(H347))),IF(LOOKUP(E343,Espesor!$C$8:$C$41,Espesor!$K$8:$K$41)="en voladizo",MAX(ABS(G347),ABS(H347)),-(H347+G347))))</f>
        <v>0</v>
      </c>
      <c r="H348" s="678"/>
      <c r="I348" s="406"/>
      <c r="J348" s="678">
        <f>+IF(K343="",0,IF(LOOKUP(K343,Espesor!$C$8:$C$41,Espesor!$K$8:$K$41)="en voladizo",IF(LOOKUP(H343,Espesor!$C$8:$C$41,Espesor!$K$8:$K$41)="en voladizo","Inestable",MAX(ABS(J347),ABS(K347))),IF(LOOKUP(H343,Espesor!$C$8:$C$41,Espesor!$K$8:$K$41)="en voladizo",MAX(ABS(J347),ABS(K347)),-(K347+J347))))</f>
        <v>0</v>
      </c>
      <c r="K348" s="678"/>
      <c r="L348" s="406"/>
      <c r="M348" s="678">
        <f>+IF(N343="",0,IF(LOOKUP(N343,Espesor!$C$8:$C$41,Espesor!$K$8:$K$41)="en voladizo",IF(LOOKUP(K343,Espesor!$C$8:$C$41,Espesor!$K$8:$K$41)="en voladizo","Inestable",MAX(ABS(M347),ABS(N347))),IF(LOOKUP(K343,Espesor!$C$8:$C$41,Espesor!$K$8:$K$41)="en voladizo",MAX(ABS(M347),ABS(N347)),-(N347+M347))))</f>
        <v>0</v>
      </c>
      <c r="N348" s="678"/>
      <c r="O348" s="406"/>
      <c r="P348" s="678">
        <f>+IF(Q343="",0,IF(LOOKUP(Q343,Espesor!$C$8:$C$41,Espesor!$K$8:$K$41)="en voladizo",IF(LOOKUP(N343,Espesor!$C$8:$C$41,Espesor!$K$8:$K$41)="en voladizo","Inestable",MAX(ABS(P347),ABS(Q347))),IF(LOOKUP(N343,Espesor!$C$8:$C$41,Espesor!$K$8:$K$41)="en voladizo",MAX(ABS(P347),ABS(Q347)),-(Q347+P347))))</f>
        <v>0</v>
      </c>
      <c r="Q348" s="678"/>
      <c r="R348" s="406"/>
      <c r="S348" s="678">
        <f>+IF(T343="",0,IF(LOOKUP(T343,Espesor!$C$8:$C$41,Espesor!$K$8:$K$41)="en voladizo",IF(LOOKUP(Q343,Espesor!$C$8:$C$41,Espesor!$K$8:$K$41)="en voladizo","Inestable",MAX(ABS(S347),ABS(T347))),IF(LOOKUP(Q343,Espesor!$C$8:$C$41,Espesor!$K$8:$K$41)="en voladizo",MAX(ABS(S347),ABS(T347)),-(T347+S347))))</f>
        <v>0</v>
      </c>
      <c r="T348" s="678"/>
      <c r="U348" s="406"/>
      <c r="V348" s="678">
        <f>+IF(W343="",0,IF(LOOKUP(W343,Espesor!$C$8:$C$41,Espesor!$K$8:$K$41)="en voladizo",IF(LOOKUP(T343,Espesor!$C$8:$C$41,Espesor!$K$8:$K$41)="en voladizo","Inestable",MAX(ABS(V347),ABS(W347))),IF(LOOKUP(T343,Espesor!$C$8:$C$41,Espesor!$K$8:$K$41)="en voladizo",MAX(ABS(V347),ABS(W347)),-(W347+V347))))</f>
        <v>0</v>
      </c>
      <c r="W348" s="678"/>
      <c r="X348" s="406"/>
      <c r="Y348" s="678">
        <f>+IF(Z343="",0,IF(LOOKUP(Z343,Espesor!$C$8:$C$41,Espesor!$K$8:$K$41)="en voladizo",IF(LOOKUP(W343,Espesor!$C$8:$C$41,Espesor!$K$8:$K$41)="en voladizo","Inestable",MAX(ABS(Y347),ABS(Z347))),IF(LOOKUP(W343,Espesor!$C$8:$C$41,Espesor!$K$8:$K$41)="en voladizo",MAX(ABS(Y347),ABS(Z347)),-(Z347+Y347))))</f>
        <v>0</v>
      </c>
      <c r="Z348" s="678"/>
      <c r="AA348" s="406"/>
      <c r="AB348" s="252"/>
      <c r="AD348" s="321" t="str">
        <f>+IF(AH343="","",AH343)</f>
        <v/>
      </c>
      <c r="AE348" s="324" t="str">
        <f>IF(K343="","",IF($K$2="X - X",VLOOKUP(K343,Espesor!$C$8:$E$41,2,0),VLOOKUP(K343,Espesor!$C$8:$E$41,3,0)))</f>
        <v/>
      </c>
      <c r="AF348" s="319" t="str">
        <f>IF(AD348="","",IF(LOOKUP(AD348,Espesor!$C$8:$C$41,Espesor!$K$8:$K$41)="en voladizo","",IF(AD349="",0.75/AE348,1/AE348)))</f>
        <v/>
      </c>
      <c r="AG348" s="634"/>
      <c r="AH348" s="634" t="str">
        <f>IF(AF348="","",IF(AF349="","",ROUND(AF348/(AF348+AF349),3)))</f>
        <v/>
      </c>
      <c r="AI348" s="634"/>
      <c r="AJ348" s="634" t="str">
        <f>IF(AF348="","",IF(AF349="","",ROUND(AF349/(AF348+AF349),3)))</f>
        <v/>
      </c>
      <c r="AK348" s="317">
        <f>IF(E318="",0,IF($K$2="X - X",VLOOKUP(E318,'Moms de Empt'!$P$3:$T$36,3,0),VLOOKUP(E318,'Moms de Empt'!$P$3:$T$36,5,0)))</f>
        <v>0</v>
      </c>
      <c r="AL348" s="317">
        <f t="shared" ref="AL348:AL350" si="588">+IF(AD349="",0,-AK348)</f>
        <v>0</v>
      </c>
      <c r="AM348" s="629"/>
      <c r="AN348" s="629">
        <f>IF(AD349="",0,IF(LOOKUP(AD349,Espesor!$C$8:$C$41,Espesor!$K$8:$K$41)="en voladizo",MAX(ABS(AL348),ABS(AK349)),-(AK349+AL348)))</f>
        <v>0</v>
      </c>
      <c r="AO348" s="630"/>
      <c r="AP348" s="630" t="str">
        <f t="shared" ref="AP348" si="589">IF(AH348="","",AN348*AH348)</f>
        <v/>
      </c>
      <c r="AQ348" s="630"/>
      <c r="AR348" s="630" t="str">
        <f t="shared" ref="AR348" si="590">IF(AJ348="","",AN348*AJ348)</f>
        <v/>
      </c>
      <c r="AS348" s="632"/>
      <c r="AT348" s="631">
        <f t="shared" ref="AT348" si="591">-IF(AN348="","",IF(AL348="",IF(AP348="",0,AP348),IF(AP348="",AL348,AL348+AP348)))</f>
        <v>0</v>
      </c>
      <c r="AU348" s="341">
        <f>+AT348</f>
        <v>0</v>
      </c>
      <c r="AV348" s="332" t="str">
        <f>IF(K343="","",IF(L318="X - X",VLOOKUP(K343,'Moms de Empt'!$P$3:$T$36,2,0),VLOOKUP(K343,'Moms de Empt'!$P$3:$T$36,4,0)))</f>
        <v/>
      </c>
      <c r="AW348" s="635"/>
      <c r="AX348" s="633" t="str">
        <f>IF(AV348="","",IF(AV349="","",ROUND(AV348/(AV348+AV349),3)))</f>
        <v/>
      </c>
      <c r="AY348" s="635"/>
      <c r="AZ348" s="633" t="str">
        <f>IF(AV348="","",IF(AV349="","",ROUND(AV349/(AV348+AV349),3)))</f>
        <v/>
      </c>
      <c r="BA348" s="331" t="str">
        <f t="shared" si="587"/>
        <v/>
      </c>
      <c r="BC348" s="401"/>
      <c r="BD348" s="398"/>
      <c r="BE348" s="391"/>
    </row>
    <row r="349" spans="1:90" ht="21.75" customHeight="1">
      <c r="A349" s="253" t="s">
        <v>126</v>
      </c>
      <c r="B349" s="29"/>
      <c r="C349" s="30"/>
      <c r="D349" s="254">
        <f>IF(D346="","",D348*D346)</f>
        <v>0</v>
      </c>
      <c r="E349" s="30">
        <f>IF(E346="","",D348*E346)</f>
        <v>0</v>
      </c>
      <c r="F349" s="30"/>
      <c r="G349" s="277">
        <f>IF(G346="","",G348*G346)</f>
        <v>0</v>
      </c>
      <c r="H349" s="278">
        <f>IF(H346="","",G348*H346)</f>
        <v>0</v>
      </c>
      <c r="I349" s="30"/>
      <c r="J349" s="254">
        <f>IF(J346="","",J348*J346)</f>
        <v>0</v>
      </c>
      <c r="K349" s="30">
        <f>IF(K346="","",J348*K346)</f>
        <v>0</v>
      </c>
      <c r="L349" s="30"/>
      <c r="M349" s="254">
        <f>IF(M346="","",M348*M346)</f>
        <v>0</v>
      </c>
      <c r="N349" s="30">
        <f>IF(N346="","",M348*N346)</f>
        <v>0</v>
      </c>
      <c r="O349" s="30"/>
      <c r="P349" s="254">
        <f>IF(P346="","",P348*P346)</f>
        <v>0</v>
      </c>
      <c r="Q349" s="30">
        <f>IF(Q346="","",P348*Q346)</f>
        <v>0</v>
      </c>
      <c r="R349" s="30"/>
      <c r="S349" s="254">
        <f>IF(S346="","",S348*S346)</f>
        <v>0</v>
      </c>
      <c r="T349" s="30">
        <f>IF(T346="","",S348*T346)</f>
        <v>0</v>
      </c>
      <c r="U349" s="30"/>
      <c r="V349" s="254">
        <f>IF(V346="","",V348*V346)</f>
        <v>0</v>
      </c>
      <c r="W349" s="30">
        <f>IF(W346="","",V348*W346)</f>
        <v>0</v>
      </c>
      <c r="X349" s="30"/>
      <c r="Y349" s="254">
        <f>IF(Y346="","",Y348*Y346)</f>
        <v>0</v>
      </c>
      <c r="Z349" s="30">
        <f>IF(Z346="","",Y348*Z346)</f>
        <v>0</v>
      </c>
      <c r="AA349" s="30"/>
      <c r="AB349" s="31"/>
      <c r="AD349" s="321" t="str">
        <f>+IF(AI343="","",AI343)</f>
        <v/>
      </c>
      <c r="AE349" s="324" t="str">
        <f>IF(N343="","",IF($K$2="X - X",VLOOKUP(N343,Espesor!$C$8:$E$41,2,0),VLOOKUP(N343,Espesor!$C$8:$E$41,3,0)))</f>
        <v/>
      </c>
      <c r="AF349" s="319" t="str">
        <f>IF(AD349="","",IF(LOOKUP(AD349,Espesor!$C$8:$C$41,Espesor!$K$8:$K$41)="en voladizo","",IF(AD350="",0.75/AE349,1/AE349)))</f>
        <v/>
      </c>
      <c r="AG349" s="634" t="str">
        <f>IF(AF349="","",IF(AF350="","",ROUND(AF349/(AF349+AF350),3)))</f>
        <v/>
      </c>
      <c r="AH349" s="634"/>
      <c r="AI349" s="634" t="str">
        <f>IF(AF350="","",IF(AF349="","",ROUND(AF350/(AF350+AF349),3)))</f>
        <v/>
      </c>
      <c r="AJ349" s="634"/>
      <c r="AK349" s="317">
        <f>IF(F318="",0,IF($K$2="X - X",VLOOKUP(F318,'Moms de Empt'!$P$3:$T$36,3,0),VLOOKUP(F318,'Moms de Empt'!$P$3:$T$36,5,0)))</f>
        <v>0</v>
      </c>
      <c r="AL349" s="317">
        <f t="shared" si="588"/>
        <v>0</v>
      </c>
      <c r="AM349" s="629">
        <f>IF(AD350="",0,IF(LOOKUP(AD350,Espesor!$C$8:$C$41,Espesor!$K$8:$K$41)="en voladizo",MAX(ABS(AL349),ABS(AK350)),-(AK350+AL349)))</f>
        <v>0</v>
      </c>
      <c r="AN349" s="629"/>
      <c r="AO349" s="630" t="str">
        <f t="shared" ref="AO349" si="592">IF(AG349="","",AM349*AG349)</f>
        <v/>
      </c>
      <c r="AP349" s="630"/>
      <c r="AQ349" s="630" t="str">
        <f t="shared" ref="AQ349" si="593">IF(AI349="","",AM349*AI349)</f>
        <v/>
      </c>
      <c r="AR349" s="630"/>
      <c r="AS349" s="631">
        <f>-IF(AM349="","",IF(AL349="",IF(AO349="",0,AO349),IF(AO349="",AL349,AL349+AO349)))</f>
        <v>0</v>
      </c>
      <c r="AT349" s="632"/>
      <c r="AU349" s="341">
        <f>+AS349</f>
        <v>0</v>
      </c>
      <c r="AV349" s="332" t="str">
        <f>IF(N343="","",IF(L318="X - X",VLOOKUP(N343,'Moms de Empt'!$P$3:$T$36,2,0),VLOOKUP(N343,'Moms de Empt'!$P$3:$T$36,4,0)))</f>
        <v/>
      </c>
      <c r="AW349" s="635" t="str">
        <f>IF(AV349="","",IF(AV350="","",ROUND(AV349/(AV349+AV350),3)))</f>
        <v/>
      </c>
      <c r="AX349" s="633"/>
      <c r="AY349" s="635" t="str">
        <f>IF(AV350="","",IF(AV349="","",ROUND(AV350/(AV350+AV349),3)))</f>
        <v/>
      </c>
      <c r="AZ349" s="633"/>
      <c r="BA349" s="331" t="str">
        <f t="shared" si="587"/>
        <v/>
      </c>
      <c r="BC349" s="401"/>
      <c r="BD349" s="398"/>
      <c r="BE349" s="391"/>
    </row>
    <row r="350" spans="1:90" ht="21.75" customHeight="1" thickBot="1">
      <c r="A350" s="32"/>
      <c r="B350" s="29"/>
      <c r="C350" s="30"/>
      <c r="D350" s="255">
        <f>IF(D348="",0,IF(D347="",IF(D349="",0,D349),IF(D349="",D347,D347+D349)))</f>
        <v>0</v>
      </c>
      <c r="E350" s="256">
        <f>IF(D348="",0,IF(E347="",IF(E349="",0,E349),IF(E349="",E347,E347+E349)))</f>
        <v>0</v>
      </c>
      <c r="F350" s="30"/>
      <c r="G350" s="276">
        <f>IF(G348="",0,IF(G347="",IF(G349="",0,G349),IF(G349="",G347,G347+G349)))</f>
        <v>0</v>
      </c>
      <c r="H350" s="256">
        <f>IF(G348="",0,IF(H347="",IF(H349="",0,H349),IF(H349="",H347,H347+H349)))</f>
        <v>0</v>
      </c>
      <c r="I350" s="30"/>
      <c r="J350" s="276">
        <f>IF(J348="",0,IF(J347="",IF(J349="",0,J349),IF(J349="",J347,J347+J349)))</f>
        <v>0</v>
      </c>
      <c r="K350" s="256">
        <f>IF(J348="",0,IF(K347="",IF(K349="",0,K349),IF(K349="",K347,K347+K349)))</f>
        <v>0</v>
      </c>
      <c r="L350" s="30"/>
      <c r="M350" s="276">
        <f>IF(M348="",0,IF(M347="",IF(M349="",0,M349),IF(M349="",M347,M347+M349)))</f>
        <v>0</v>
      </c>
      <c r="N350" s="256">
        <f>IF(M348="",0,IF(N347="",IF(N349="",0,N349),IF(N349="",N347,N347+N349)))</f>
        <v>0</v>
      </c>
      <c r="O350" s="30"/>
      <c r="P350" s="276">
        <f>IF(P348="",0,IF(P347="",IF(P349="",0,P349),IF(P349="",P347,P347+P349)))</f>
        <v>0</v>
      </c>
      <c r="Q350" s="256">
        <f>IF(P348="",0,IF(Q347="",IF(Q349="",0,Q349),IF(Q349="",Q347,Q347+Q349)))</f>
        <v>0</v>
      </c>
      <c r="R350" s="30"/>
      <c r="S350" s="276">
        <f>IF(S348="",0,IF(S347="",IF(S349="",0,S349),IF(S349="",S347,S347+S349)))</f>
        <v>0</v>
      </c>
      <c r="T350" s="256">
        <f>IF(S348="",0,IF(T347="",IF(T349="",0,T349),IF(T349="",T347,T347+T349)))</f>
        <v>0</v>
      </c>
      <c r="U350" s="30"/>
      <c r="V350" s="276">
        <f>IF(V348="",0,IF(V347="",IF(V349="",0,V349),IF(V349="",V347,V347+V349)))</f>
        <v>0</v>
      </c>
      <c r="W350" s="256">
        <f>IF(V348="",0,IF(W347="",IF(W349="",0,W349),IF(W349="",W347,W347+W349)))</f>
        <v>0</v>
      </c>
      <c r="X350" s="30"/>
      <c r="Y350" s="276">
        <f>IF(Y348="",0,IF(Y347="",IF(Y349="",0,Y349),IF(Y349="",Y347,Y347+Y349)))</f>
        <v>0</v>
      </c>
      <c r="Z350" s="256">
        <f>IF(Y348="",0,IF(Z347="",IF(Z349="",0,Z349),IF(Z349="",Z347,Z347+Z349)))</f>
        <v>0</v>
      </c>
      <c r="AA350" s="30"/>
      <c r="AB350" s="31"/>
      <c r="AD350" s="321" t="str">
        <f>+IF(AJ343="","",AJ343)</f>
        <v/>
      </c>
      <c r="AE350" s="324" t="str">
        <f>IF(Q343="","",IF($K$2="X - X",VLOOKUP(Q343,Espesor!$C$8:$E$41,2,0),VLOOKUP(Q343,Espesor!$C$8:$E$41,3,0)))</f>
        <v/>
      </c>
      <c r="AF350" s="319" t="str">
        <f>IF(AD350="","",IF(LOOKUP(AD350,Espesor!$C$8:$C$41,Espesor!$K$8:$K$41)="en voladizo","",IF(AD351="",0.75/AE350,1/AE350)))</f>
        <v/>
      </c>
      <c r="AG350" s="634"/>
      <c r="AH350" s="634" t="str">
        <f>IF(AF350="","",IF(AF351="","",ROUND(AF350/(AF350+AF351),3)))</f>
        <v/>
      </c>
      <c r="AI350" s="634"/>
      <c r="AJ350" s="634" t="str">
        <f>IF(AF350="","",IF(AF351="","",ROUND(AF351/(AF350+AF351),3)))</f>
        <v/>
      </c>
      <c r="AK350" s="317">
        <f>IF(G318="",0,IF($K$2="X - X",VLOOKUP(G318,'Moms de Empt'!$P$3:$T$36,3,0),VLOOKUP(G318,'Moms de Empt'!$P$3:$T$36,5,0)))</f>
        <v>0</v>
      </c>
      <c r="AL350" s="317">
        <f t="shared" si="588"/>
        <v>0</v>
      </c>
      <c r="AM350" s="629"/>
      <c r="AN350" s="629">
        <f>IF(AD351="",0,IF(LOOKUP(AD351,Espesor!$C$8:$C$41,Espesor!$K$8:$K$41)="en voladizo",MAX(ABS(AL350),ABS(AK351)),-(AK351+AL350)))</f>
        <v>0</v>
      </c>
      <c r="AO350" s="630"/>
      <c r="AP350" s="630" t="str">
        <f t="shared" ref="AP350" si="594">IF(AH350="","",AN350*AH350)</f>
        <v/>
      </c>
      <c r="AQ350" s="630"/>
      <c r="AR350" s="630" t="str">
        <f t="shared" ref="AR350" si="595">IF(AJ350="","",AN350*AJ350)</f>
        <v/>
      </c>
      <c r="AS350" s="632"/>
      <c r="AT350" s="631">
        <f t="shared" ref="AT350" si="596">-IF(AN350="","",IF(AL350="",IF(AP350="",0,AP350),IF(AP350="",AL350,AL350+AP350)))</f>
        <v>0</v>
      </c>
      <c r="AU350" s="341">
        <f>+AT350</f>
        <v>0</v>
      </c>
      <c r="AV350" s="332" t="str">
        <f>IF(Q343="","",IF(L318="X - X",VLOOKUP(Q343,'Moms de Empt'!$P$3:$T$36,2,0),VLOOKUP(Q343,'Moms de Empt'!$P$3:$T$36,4,0)))</f>
        <v/>
      </c>
      <c r="AW350" s="635"/>
      <c r="AX350" s="633" t="str">
        <f>IF(AV350="","",IF(AV351="","",ROUND(AV350/(AV350+AV351),3)))</f>
        <v/>
      </c>
      <c r="AY350" s="635"/>
      <c r="AZ350" s="633" t="str">
        <f>IF(AV350="","",IF(AV351="","",ROUND(AV351/(AV350+AV351),3)))</f>
        <v/>
      </c>
      <c r="BA350" s="331" t="str">
        <f t="shared" si="587"/>
        <v/>
      </c>
      <c r="BC350" s="401"/>
      <c r="BD350" s="398"/>
      <c r="BE350" s="391"/>
    </row>
    <row r="351" spans="1:90" ht="21.75" customHeight="1" thickBot="1">
      <c r="A351" s="36" t="s">
        <v>66</v>
      </c>
      <c r="B351" s="273"/>
      <c r="C351" s="36"/>
      <c r="D351" s="672">
        <f>IF(E343="",0,IF(D350=0,IF(E350=0,MAX(ABS(D347),ABS(E347)),E350),MAX(ABS(D350),ABS(E350))))</f>
        <v>0</v>
      </c>
      <c r="E351" s="674"/>
      <c r="F351" s="36"/>
      <c r="G351" s="672">
        <f>IF(H343="",0,IF(G350=0,IF(H350=0,MAX(ABS(G347),ABS(H347)),H350),MAX(ABS(G350),ABS(H350))))</f>
        <v>0</v>
      </c>
      <c r="H351" s="674"/>
      <c r="I351" s="36"/>
      <c r="J351" s="672">
        <f>IF(K343="",0,IF(J350=0,IF(K350=0,MAX(ABS(J347),ABS(K347)),K350),MAX(ABS(J350),ABS(K350))))</f>
        <v>0</v>
      </c>
      <c r="K351" s="674"/>
      <c r="L351" s="36"/>
      <c r="M351" s="672">
        <f>IF(N343="",0,IF(M350=0,IF(N350=0,MAX(ABS(M347),ABS(N347)),N350),MAX(ABS(M350),ABS(N350))))</f>
        <v>0</v>
      </c>
      <c r="N351" s="674"/>
      <c r="O351" s="36"/>
      <c r="P351" s="672">
        <f>IF(Q343="",0,IF(P350=0,IF(Q350=0,MAX(ABS(P347),ABS(Q347)),Q350),MAX(ABS(P350),ABS(Q350))))</f>
        <v>0</v>
      </c>
      <c r="Q351" s="674"/>
      <c r="R351" s="36"/>
      <c r="S351" s="672">
        <f>IF(T343="",0,IF(S350=0,IF(T350=0,MAX(ABS(S347),ABS(T347)),T350),MAX(ABS(S350),ABS(T350))))</f>
        <v>0</v>
      </c>
      <c r="T351" s="674"/>
      <c r="U351" s="265"/>
      <c r="V351" s="672">
        <f>IF(W343="",0,IF(V350=0,IF(W350=0,MAX(ABS(V347),ABS(W347)),W350),MAX(ABS(V350),ABS(W350))))</f>
        <v>0</v>
      </c>
      <c r="W351" s="674"/>
      <c r="X351" s="36"/>
      <c r="Y351" s="672">
        <f>IF(Z343="",0,IF(Y350=0,IF(Z350=0,MAX(ABS(Y347),ABS(Z347)),Z350),MAX(ABS(Y350),ABS(Z350))))</f>
        <v>0</v>
      </c>
      <c r="Z351" s="674"/>
      <c r="AA351" s="37"/>
      <c r="AB351" s="38"/>
      <c r="AD351" s="321" t="str">
        <f>+IF(AK343="","",AK343)</f>
        <v/>
      </c>
      <c r="AE351" s="324" t="str">
        <f>IF(T343="","",IF($K$2="X - X",VLOOKUP(T343,Espesor!$C$8:$E$41,2,0),VLOOKUP(T343,Espesor!$C$8:$E$41,3,0)))</f>
        <v/>
      </c>
      <c r="AF351" s="319" t="str">
        <f>IF(AD351="","",IF(LOOKUP(AD351,Espesor!$C$8:$C$41,Espesor!$K$8:$K$41)="en voladizo","",IF(AD352="",0.75/AE351,1/AE351)))</f>
        <v/>
      </c>
      <c r="AG351" s="634" t="str">
        <f>IF(AF351="","",IF(AF352="","",ROUND(AF351/(AF351+AF352),3)))</f>
        <v/>
      </c>
      <c r="AH351" s="634"/>
      <c r="AI351" s="634" t="str">
        <f>IF(AF352="","",IF(AF351="","",ROUND(AF352/(AF352+AF351),3)))</f>
        <v/>
      </c>
      <c r="AJ351" s="634"/>
      <c r="AK351" s="317">
        <f>IF(H318="",0,IF($K$2="X - X",VLOOKUP(H318,'Moms de Empt'!$P$3:$T$36,3,0),VLOOKUP(H318,'Moms de Empt'!$P$3:$T$36,5,0)))</f>
        <v>0</v>
      </c>
      <c r="AL351" s="317">
        <f>+IF(AD352="",0,-AK351)</f>
        <v>0</v>
      </c>
      <c r="AM351" s="629">
        <f>IF(AD352="",0,IF(LOOKUP(AD352,Espesor!$C$8:$C$41,Espesor!$K$8:$K$41)="en voladizo",MAX(ABS(AL351),ABS(AK352)),-(AK352+AL351)))</f>
        <v>0</v>
      </c>
      <c r="AN351" s="629"/>
      <c r="AO351" s="630" t="str">
        <f>IF(AG351="","",AM351*AG351)</f>
        <v/>
      </c>
      <c r="AP351" s="630"/>
      <c r="AQ351" s="630" t="str">
        <f t="shared" ref="AQ351" si="597">IF(AI351="","",AM351*AI351)</f>
        <v/>
      </c>
      <c r="AR351" s="630"/>
      <c r="AS351" s="631">
        <f>-IF(AM351="","",IF(AL351="",IF(AO351="",0,AO351),IF(AO351="",AL351,AL351+AO351)))</f>
        <v>0</v>
      </c>
      <c r="AT351" s="632"/>
      <c r="AU351" s="341">
        <f>+AS351</f>
        <v>0</v>
      </c>
      <c r="AV351" s="332" t="str">
        <f>IF(T343="","",IF(L318="X - X",VLOOKUP(T343,'Moms de Empt'!$P$3:$T$36,2,0),VLOOKUP(T343,'Moms de Empt'!$P$3:$T$36,4,0)))</f>
        <v/>
      </c>
      <c r="AW351" s="635" t="str">
        <f>IF(AV351="","",IF(AV352="","",ROUND(AV351/(AV351+AV352),3)))</f>
        <v/>
      </c>
      <c r="AX351" s="633"/>
      <c r="AY351" s="635" t="str">
        <f>IF(AV352="","",IF(AV351="","",ROUND(AV352/(AV352+AV351),3)))</f>
        <v/>
      </c>
      <c r="AZ351" s="633"/>
      <c r="BA351" s="331" t="str">
        <f t="shared" si="587"/>
        <v/>
      </c>
      <c r="BC351" s="401"/>
      <c r="BD351" s="398"/>
      <c r="BE351" s="391"/>
    </row>
    <row r="352" spans="1:90" ht="21.75" customHeight="1" thickBot="1">
      <c r="A352" s="36"/>
      <c r="B352" s="274"/>
      <c r="C352" s="36"/>
      <c r="D352" s="690">
        <f>IF(D351="","",D351*100000)</f>
        <v>0</v>
      </c>
      <c r="E352" s="690"/>
      <c r="F352" s="36"/>
      <c r="G352" s="690">
        <f>IF(G351="","",G351*100000)</f>
        <v>0</v>
      </c>
      <c r="H352" s="690"/>
      <c r="I352" s="388"/>
      <c r="J352" s="690">
        <f>IF(J351="","",J351*100000)</f>
        <v>0</v>
      </c>
      <c r="K352" s="690"/>
      <c r="L352" s="388"/>
      <c r="M352" s="690">
        <f>IF(M351="","",M351*100000)</f>
        <v>0</v>
      </c>
      <c r="N352" s="690"/>
      <c r="O352" s="388"/>
      <c r="P352" s="690">
        <f>IF(P351="","",P351*100000)</f>
        <v>0</v>
      </c>
      <c r="Q352" s="690"/>
      <c r="R352" s="388"/>
      <c r="S352" s="690">
        <f>IF(S351="","",S351*100000)</f>
        <v>0</v>
      </c>
      <c r="T352" s="690"/>
      <c r="U352" s="387"/>
      <c r="V352" s="690">
        <f>IF(V351="","",V351*100000)</f>
        <v>0</v>
      </c>
      <c r="W352" s="690"/>
      <c r="X352" s="388"/>
      <c r="Y352" s="690">
        <f>IF(Y351="","",Y351*100000)</f>
        <v>0</v>
      </c>
      <c r="Z352" s="690"/>
      <c r="AA352" s="37"/>
      <c r="AB352" s="275"/>
      <c r="AD352" s="321" t="str">
        <f>+IF(AL343="","",AL343)</f>
        <v/>
      </c>
      <c r="AE352" s="324" t="str">
        <f>IF(W343="","",IF($K$2="X - X",VLOOKUP(W343,Espesor!$C$8:$E$41,2,0),VLOOKUP(W343,Espesor!$C$8:$E$41,3,0)))</f>
        <v/>
      </c>
      <c r="AF352" s="319" t="str">
        <f>IF(AD352="","",IF(LOOKUP(AD352,Espesor!$C$8:$C$41,Espesor!$K$8:$K$41)="en voladizo","",IF(AD353="",0.75/AE352,1/AE352)))</f>
        <v/>
      </c>
      <c r="AG352" s="634"/>
      <c r="AH352" s="634" t="str">
        <f>IF(AF352="","",IF(AF353="","",ROUND(AF352/(AF352+AF353),3)))</f>
        <v/>
      </c>
      <c r="AI352" s="634"/>
      <c r="AJ352" s="634" t="str">
        <f>IF(AF352="","",IF(AF353="","",ROUND(AF353/(AF352+AF353),3)))</f>
        <v/>
      </c>
      <c r="AK352" s="317">
        <f>IF(I318="",0,IF($K$2="X - X",VLOOKUP(I318,'Moms de Empt'!$P$3:$T$36,3,0),VLOOKUP(I318,'Moms de Empt'!$P$3:$T$36,5,0)))</f>
        <v>0</v>
      </c>
      <c r="AL352" s="317">
        <f t="shared" ref="AL352:AL353" si="598">+IF(AD353="",0,-AK352)</f>
        <v>0</v>
      </c>
      <c r="AM352" s="629"/>
      <c r="AN352" s="629">
        <f>IF(AD353="",0,IF(LOOKUP(AD353,Espesor!$C$8:$C$41,Espesor!$K$8:$K$41)="en voladizo",MAX(ABS(AL352),ABS(AK353)),-(AK353+AL352)))</f>
        <v>0</v>
      </c>
      <c r="AO352" s="630"/>
      <c r="AP352" s="630" t="str">
        <f t="shared" ref="AP352" si="599">IF(AH352="","",AN352*AH352)</f>
        <v/>
      </c>
      <c r="AQ352" s="630"/>
      <c r="AR352" s="630" t="str">
        <f t="shared" ref="AR352" si="600">IF(AJ352="","",AN352*AJ352)</f>
        <v/>
      </c>
      <c r="AS352" s="632"/>
      <c r="AT352" s="631">
        <f t="shared" ref="AT352" si="601">-IF(AN352="","",IF(AL352="",IF(AP352="",0,AP352),IF(AP352="",AL352,AL352+AP352)))</f>
        <v>0</v>
      </c>
      <c r="AU352" s="341">
        <f>+AT352</f>
        <v>0</v>
      </c>
      <c r="AV352" s="332" t="str">
        <f>IF(W343="","",IF(L318="X - X",VLOOKUP(W343,'Moms de Empt'!$P$3:$T$36,2,0),VLOOKUP(W343,'Moms de Empt'!$P$3:$T$36,4,0)))</f>
        <v/>
      </c>
      <c r="AW352" s="635"/>
      <c r="AX352" s="633" t="str">
        <f>IF(AV352="","",IF(AV353="","",ROUND(AV352/(AV352+AV353),3)))</f>
        <v/>
      </c>
      <c r="AY352" s="635"/>
      <c r="AZ352" s="633" t="str">
        <f>IF(AV352="","",IF(AV353="","",ROUND(AV353/(AV352+AV353),3)))</f>
        <v/>
      </c>
      <c r="BA352" s="331" t="str">
        <f t="shared" si="587"/>
        <v/>
      </c>
      <c r="BC352" s="401"/>
      <c r="BD352" s="398"/>
      <c r="BE352" s="391"/>
    </row>
    <row r="353" spans="1:90" ht="21.75" customHeight="1" thickBot="1">
      <c r="A353" s="257" t="s">
        <v>127</v>
      </c>
      <c r="B353" s="675" t="str">
        <f>+IF(B343="","",VLOOKUP(B343,'Moms de Empt'!$P$3:$T$36,4,0))</f>
        <v/>
      </c>
      <c r="C353" s="676"/>
      <c r="D353" s="677"/>
      <c r="E353" s="675" t="str">
        <f>+IF(E343="","",VLOOKUP(E343,'Moms de Empt'!$P$3:$T$36,4,0))</f>
        <v/>
      </c>
      <c r="F353" s="676"/>
      <c r="G353" s="677"/>
      <c r="H353" s="675" t="str">
        <f>+IF(H343="","",VLOOKUP(H343,'Moms de Empt'!$P$3:$T$36,4,0))</f>
        <v/>
      </c>
      <c r="I353" s="676"/>
      <c r="J353" s="677"/>
      <c r="K353" s="675" t="str">
        <f>+IF(K343="","",VLOOKUP(K343,'Moms de Empt'!$P$3:$T$36,4,0))</f>
        <v/>
      </c>
      <c r="L353" s="676"/>
      <c r="M353" s="677"/>
      <c r="N353" s="675" t="str">
        <f>+IF(N343="","",VLOOKUP(N343,'Moms de Empt'!$P$3:$T$36,4,0))</f>
        <v/>
      </c>
      <c r="O353" s="676"/>
      <c r="P353" s="677"/>
      <c r="Q353" s="675" t="str">
        <f>+IF(Q343="","",VLOOKUP(Q343,'Moms de Empt'!$P$3:$T$36,4,0))</f>
        <v/>
      </c>
      <c r="R353" s="676"/>
      <c r="S353" s="677"/>
      <c r="T353" s="675" t="str">
        <f>+IF(T343="","",VLOOKUP(T343,'Moms de Empt'!$P$3:$T$36,4,0))</f>
        <v/>
      </c>
      <c r="U353" s="676"/>
      <c r="V353" s="677"/>
      <c r="W353" s="675" t="str">
        <f>+IF(W343="","",VLOOKUP(W343,'Moms de Empt'!$P$3:$T$36,4,0))</f>
        <v/>
      </c>
      <c r="X353" s="676"/>
      <c r="Y353" s="677"/>
      <c r="Z353" s="675" t="str">
        <f>+IF(Z343="","",VLOOKUP(Z343,'Moms de Empt'!$P$3:$T$36,4,0))</f>
        <v/>
      </c>
      <c r="AA353" s="676"/>
      <c r="AB353" s="677"/>
      <c r="AD353" s="321" t="str">
        <f>+IF(AM343="","",AM343)</f>
        <v/>
      </c>
      <c r="AE353" s="324" t="str">
        <f>IF(Z343="","",IF($K$2="X - X",VLOOKUP(Z343,Espesor!$C$8:$E$41,2,0),VLOOKUP(Z343,Espesor!$C$8:$E$41,3,0)))</f>
        <v/>
      </c>
      <c r="AF353" s="319" t="str">
        <f>IF(AD353="","",IF(LOOKUP(AD353,Espesor!$C$8:$C$41,Espesor!$K$8:$K$41)="en voladizo","",IF(AD354="",0.75/AE353,1/AE353)))</f>
        <v/>
      </c>
      <c r="AG353" s="344" t="str">
        <f>IF(AF353="","",IF(AK327="","",ROUND(AF353/(AF353+AK327),3)))</f>
        <v/>
      </c>
      <c r="AH353" s="634"/>
      <c r="AI353" s="344" t="str">
        <f>IF(AK327="","",IF(AF353="","",ROUND(AK327/(AK327+AF353),3)))</f>
        <v/>
      </c>
      <c r="AJ353" s="634"/>
      <c r="AK353" s="317">
        <f>IF(J318="",0,IF($K$2="X - X",VLOOKUP(J318,'Moms de Empt'!$P$3:$T$36,3,0),VLOOKUP(J318,'Moms de Empt'!$P$3:$T$36,5,0)))</f>
        <v>0</v>
      </c>
      <c r="AL353" s="317">
        <f t="shared" si="598"/>
        <v>0</v>
      </c>
      <c r="AM353" s="307" t="str">
        <f>IF(AI327="","",IF(LOOKUP(AI327,[6]Espesor!$C$8:$C$41,[6]Espesor!$K$8:$K$41)="en voladizo",MAX(ABS(AL353),ABS(AQ327)),-(AQ327-AL353)))</f>
        <v/>
      </c>
      <c r="AN353" s="629"/>
      <c r="AO353" s="340" t="str">
        <f t="shared" ref="AO353" si="602">IF(AG353="","",AM353*AG353)</f>
        <v/>
      </c>
      <c r="AP353" s="630"/>
      <c r="AQ353" s="315" t="str">
        <f t="shared" ref="AQ353" si="603">IF(AI353="","",AM353*AI353)</f>
        <v/>
      </c>
      <c r="AR353" s="630"/>
      <c r="AS353" s="312" t="str">
        <f t="shared" ref="AS353" si="604">IF(AM353="","",IF(AL353="",IF(AO353="",0,AO353),IF(AO353="",AL353,AL353+AO353)))</f>
        <v/>
      </c>
      <c r="AT353" s="632"/>
      <c r="AU353" s="341"/>
      <c r="AV353" s="333" t="str">
        <f>IF(Z343="","",IF(L318="X - X",VLOOKUP(Z343,'Moms de Empt'!$P$3:$T$36,2,0),VLOOKUP(Z343,'Moms de Empt'!$P$3:$T$36,4,0)))</f>
        <v/>
      </c>
      <c r="AW353" s="337" t="str">
        <f>IF(AV353="","",IF(BA327="","",ROUND(AV353/(AV353+BA327),3)))</f>
        <v/>
      </c>
      <c r="AX353" s="633"/>
      <c r="AY353" s="337" t="str">
        <f>IF(BA327="","",IF(AV353="","",ROUND(BA327/(BA327+AV353),3)))</f>
        <v/>
      </c>
      <c r="AZ353" s="633"/>
      <c r="BA353" s="331"/>
      <c r="BC353" s="401"/>
      <c r="BD353" s="398"/>
      <c r="BE353" s="391"/>
    </row>
    <row r="354" spans="1:90" ht="21.75" customHeight="1" thickBot="1">
      <c r="A354" s="258"/>
      <c r="B354" s="209"/>
      <c r="C354" s="209"/>
      <c r="D354" s="209" t="str">
        <f>IF(B345="","",IF(D347="","",IF(ABS(D351)&gt;ABS(D347),-0.5*ABS(D349),0.5*ABS(D349))))</f>
        <v/>
      </c>
      <c r="E354" s="209" t="str">
        <f>IF(E345="","",IF(E347="","",IF(ABS(D351)&gt;ABS(E347),-0.5*ABS(E349),0.5*ABS(E349))))</f>
        <v/>
      </c>
      <c r="F354" s="209"/>
      <c r="G354" s="209" t="str">
        <f>IF(E345="","",IF(G347="","",IF(ABS(G351)&gt;ABS(G347),-0.5*ABS(G349),0.5*ABS(G349))))</f>
        <v/>
      </c>
      <c r="H354" s="209" t="str">
        <f>IF(H345="","",IF(H347="","",IF(ABS(G351)&gt;ABS(H347),-0.5*ABS(H349),0.5*ABS(H349))))</f>
        <v/>
      </c>
      <c r="I354" s="209"/>
      <c r="J354" s="209" t="str">
        <f>IF(H345="","",IF(J347="","",IF(ABS(J351)&gt;ABS(J347),-0.5*ABS(J349),0.5*ABS(J349))))</f>
        <v/>
      </c>
      <c r="K354" s="209" t="str">
        <f>IF(K345="","",IF(K347="","",IF(ABS(J351)&gt;ABS(K347),-0.5*ABS(K349),0.5*ABS(K349))))</f>
        <v/>
      </c>
      <c r="L354" s="209"/>
      <c r="M354" s="209" t="str">
        <f>IF(K345="","",IF(M347="","",IF(ABS(M351)&gt;ABS(M347),-0.5*ABS(M349),0.5*ABS(M349))))</f>
        <v/>
      </c>
      <c r="N354" s="209" t="str">
        <f>IF(N345="","",IF(N347="","",IF(ABS(M351)&gt;ABS(N347),-0.5*ABS(N349),0.5*ABS(N349))))</f>
        <v/>
      </c>
      <c r="O354" s="209"/>
      <c r="P354" s="209" t="str">
        <f>IF(N345="","",IF(P347="","",IF(ABS(P351)&gt;ABS(P347),-0.5*ABS(P349),0.5*ABS(P349))))</f>
        <v/>
      </c>
      <c r="Q354" s="209" t="str">
        <f>IF(Q345="","",IF(Q347="","",IF(ABS(P351)&gt;ABS(Q347),-0.5*ABS(Q349),0.5*ABS(Q349))))</f>
        <v/>
      </c>
      <c r="R354" s="209"/>
      <c r="S354" s="209" t="str">
        <f>IF(Q345="","",IF(S347="","",IF(ABS(S351)&gt;ABS(S347),-0.5*ABS(S349),0.5*ABS(S349))))</f>
        <v/>
      </c>
      <c r="T354" s="209" t="str">
        <f>IF(T345="","",IF(T347="","",IF(ABS(S351)&gt;ABS(T347),-0.5*ABS(T349),0.5*ABS(T349))))</f>
        <v/>
      </c>
      <c r="U354" s="209"/>
      <c r="V354" s="209" t="str">
        <f>IF(T345="","",IF(V347="","",IF(ABS(V351)&gt;ABS(V347),-0.5*ABS(V349),0.5*ABS(V349))))</f>
        <v/>
      </c>
      <c r="W354" s="209" t="str">
        <f>IF(W345="","",IF(W347="","",IF(ABS(V351)&gt;ABS(W347),-0.5*ABS(W349),0.5*ABS(W349))))</f>
        <v/>
      </c>
      <c r="X354" s="209"/>
      <c r="Y354" s="209" t="str">
        <f>IF(W345="","",IF(Y347="","",IF(ABS(Y351)&gt;ABS(Y347),-0.5*ABS(Y349),0.5*ABS(Y349))))</f>
        <v/>
      </c>
      <c r="Z354" s="209" t="str">
        <f>IF(Z345="","",IF(Z347="","",IF(ABS(Y351)&gt;ABS(Z347),-0.5*ABS(Z349),0.5*ABS(Z349))))</f>
        <v/>
      </c>
      <c r="AA354" s="209"/>
      <c r="AB354" s="209" t="str">
        <f>IF(Z345="","",IF(AB347="","",IF(AB351&gt;-AB347,IF(AB349&lt;0,0.5*AB349,-0.5*AB349),0.5*AB349)))</f>
        <v/>
      </c>
      <c r="AD354" s="210"/>
      <c r="AE354" s="210"/>
      <c r="AF354" s="210"/>
      <c r="AG354" s="210"/>
      <c r="AH354" s="210"/>
      <c r="AI354" s="210"/>
      <c r="AJ354" s="210"/>
      <c r="AK354" s="40"/>
      <c r="AL354" s="210"/>
      <c r="AM354" s="40"/>
      <c r="AN354" s="40"/>
      <c r="AO354" s="40"/>
      <c r="AP354" s="40"/>
      <c r="AQ354" s="40"/>
      <c r="AR354" s="40"/>
      <c r="AS354" s="40"/>
      <c r="AT354" s="40"/>
      <c r="AU354" s="210"/>
      <c r="AV354" s="210"/>
      <c r="AW354" s="210"/>
      <c r="AX354" s="210"/>
      <c r="AY354" s="210"/>
      <c r="AZ354" s="210"/>
      <c r="BA354" s="210"/>
      <c r="BC354" s="401"/>
      <c r="BD354" s="398"/>
      <c r="BE354" s="391"/>
    </row>
    <row r="355" spans="1:90" ht="21.75" customHeight="1" thickBot="1">
      <c r="A355" s="259" t="s">
        <v>128</v>
      </c>
      <c r="B355" s="672" t="str">
        <f>IF(B354="",IF(D354="",B353,B353+D354),IF(D354="",B353+B354,B353+B354+D354))</f>
        <v/>
      </c>
      <c r="C355" s="673"/>
      <c r="D355" s="674"/>
      <c r="E355" s="672" t="str">
        <f>IF(E354="",IF(G354="",E353,E353+G354),IF(G354="",E353+E354,E353+E354+G354))</f>
        <v/>
      </c>
      <c r="F355" s="673"/>
      <c r="G355" s="674"/>
      <c r="H355" s="672" t="str">
        <f>IF(H354="",IF(J354="",H353,H353+J354),IF(J354="",H353+H354,H353+H354+J354))</f>
        <v/>
      </c>
      <c r="I355" s="673"/>
      <c r="J355" s="674"/>
      <c r="K355" s="672" t="str">
        <f>IF(K354="",IF(M354="",K353,K353+M354),IF(M354="",K353+K354,K353+K354+M354))</f>
        <v/>
      </c>
      <c r="L355" s="673"/>
      <c r="M355" s="674"/>
      <c r="N355" s="672" t="str">
        <f>IF(N354="",IF(P354="",N353,N353+P354),IF(P354="",N353+N354,N353+N354+P354))</f>
        <v/>
      </c>
      <c r="O355" s="673"/>
      <c r="P355" s="674"/>
      <c r="Q355" s="672" t="str">
        <f>IF(Q354="",IF(S354="",Q353,Q353+S354),IF(S354="",Q353+Q354,Q353+Q354+S354))</f>
        <v/>
      </c>
      <c r="R355" s="673"/>
      <c r="S355" s="674"/>
      <c r="T355" s="672" t="str">
        <f>IF(T354="",IF(V354="",T353,T353+V354),IF(V354="",T353+T354,T353+T354+V354))</f>
        <v/>
      </c>
      <c r="U355" s="673"/>
      <c r="V355" s="674"/>
      <c r="W355" s="672" t="str">
        <f>IF(W354="",IF(Y354="",W353,W353+Y354),IF(Y354="",W353+W354,W353+W354+Y354))</f>
        <v/>
      </c>
      <c r="X355" s="673"/>
      <c r="Y355" s="674"/>
      <c r="Z355" s="672" t="str">
        <f>IF(Z354="",IF(AB354="",Z353,Z353+AB354),IF(AB354="",Z353+Z354,Z353+Z354+AB354))</f>
        <v/>
      </c>
      <c r="AA355" s="673"/>
      <c r="AB355" s="674"/>
      <c r="AD355" s="260"/>
      <c r="AE355" s="260"/>
      <c r="AF355" s="260"/>
      <c r="AG355" s="260"/>
      <c r="AH355" s="260"/>
      <c r="AI355" s="260"/>
      <c r="AJ355" s="260"/>
      <c r="AK355" s="39"/>
      <c r="AL355" s="39"/>
      <c r="AM355" s="260"/>
      <c r="AN355" s="260"/>
      <c r="AO355" s="39"/>
      <c r="AP355" s="39"/>
      <c r="AQ355" s="39"/>
      <c r="AR355" s="39"/>
      <c r="AS355" s="260"/>
      <c r="AT355" s="260"/>
      <c r="AU355" s="260"/>
      <c r="AV355" s="260"/>
      <c r="AW355" s="260"/>
      <c r="AX355" s="260"/>
      <c r="AY355" s="260"/>
      <c r="AZ355" s="260"/>
      <c r="BA355" s="260"/>
      <c r="BC355" s="401"/>
      <c r="BD355" s="398"/>
      <c r="BE355" s="391"/>
    </row>
    <row r="356" spans="1:90" ht="21.75" customHeight="1">
      <c r="BC356" s="401"/>
      <c r="BD356" s="398"/>
      <c r="BE356" s="391"/>
    </row>
    <row r="357" spans="1:90" ht="21.75" customHeight="1">
      <c r="BC357" s="401"/>
      <c r="BD357" s="398"/>
      <c r="BE357" s="391"/>
    </row>
    <row r="358" spans="1:90" ht="21.75" customHeight="1" thickBot="1">
      <c r="A358" s="626">
        <f>A22</f>
        <v>10</v>
      </c>
      <c r="B358" s="626"/>
      <c r="C358" s="626"/>
      <c r="D358" s="626"/>
      <c r="E358" s="626"/>
      <c r="F358" s="627"/>
      <c r="G358" s="627"/>
      <c r="H358" s="627"/>
      <c r="I358" s="627"/>
      <c r="J358" s="628" t="s">
        <v>134</v>
      </c>
      <c r="K358" s="628"/>
      <c r="L358" s="271" t="str">
        <f>+K22</f>
        <v>Y - Y</v>
      </c>
      <c r="M358" s="262"/>
      <c r="N358" s="404"/>
      <c r="O358" s="402"/>
      <c r="P358" s="262"/>
      <c r="Q358" s="263"/>
      <c r="R358" s="263"/>
      <c r="S358" s="263"/>
      <c r="T358" s="263"/>
      <c r="U358" s="263"/>
      <c r="V358" s="263"/>
      <c r="W358" s="263"/>
      <c r="X358" s="263"/>
      <c r="Y358" s="263"/>
      <c r="Z358" s="263"/>
      <c r="AA358" s="263"/>
      <c r="AB358" s="263"/>
      <c r="AD358" s="263"/>
      <c r="AE358" s="263"/>
      <c r="AF358" s="263"/>
      <c r="AG358" s="263"/>
      <c r="AH358" s="263"/>
      <c r="AI358" s="263"/>
      <c r="AJ358" s="263"/>
      <c r="AK358" s="263"/>
      <c r="AL358" s="263"/>
      <c r="AM358" s="263"/>
      <c r="AN358" s="263"/>
      <c r="AO358" s="263"/>
      <c r="AP358" s="263"/>
      <c r="AQ358" s="263"/>
      <c r="AR358" s="263"/>
      <c r="AS358" s="263"/>
      <c r="AT358" s="263"/>
      <c r="AU358" s="263"/>
      <c r="AV358" s="263"/>
      <c r="AW358" s="263"/>
      <c r="AX358" s="263"/>
      <c r="AY358" s="263"/>
      <c r="AZ358" s="263"/>
      <c r="BA358" s="263"/>
      <c r="BC358" s="401"/>
      <c r="BD358" s="398"/>
      <c r="BE358" s="391"/>
    </row>
    <row r="359" spans="1:90" ht="21.75" customHeight="1" thickTop="1">
      <c r="A359" s="686" t="str">
        <f>+Espesor!$J$3</f>
        <v>Techo</v>
      </c>
      <c r="B359" s="686"/>
      <c r="C359" s="687" t="s">
        <v>136</v>
      </c>
      <c r="D359" s="687"/>
      <c r="E359" s="264" t="str">
        <f>IF(B22="","",B22)</f>
        <v/>
      </c>
      <c r="F359" s="264" t="str">
        <f t="shared" ref="F359:M359" si="605">IF(C22="","",C22)</f>
        <v/>
      </c>
      <c r="G359" s="264" t="str">
        <f t="shared" si="605"/>
        <v/>
      </c>
      <c r="H359" s="264" t="str">
        <f t="shared" si="605"/>
        <v/>
      </c>
      <c r="I359" s="264" t="str">
        <f t="shared" si="605"/>
        <v/>
      </c>
      <c r="J359" s="264" t="str">
        <f t="shared" si="605"/>
        <v/>
      </c>
      <c r="K359" s="264" t="str">
        <f t="shared" si="605"/>
        <v/>
      </c>
      <c r="L359" s="264" t="str">
        <f t="shared" si="605"/>
        <v/>
      </c>
      <c r="M359" s="264" t="str">
        <f t="shared" si="605"/>
        <v/>
      </c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3"/>
      <c r="AD359" s="263"/>
      <c r="AE359" s="263"/>
      <c r="AF359" s="263"/>
      <c r="AG359" s="263"/>
      <c r="AH359" s="263"/>
      <c r="AI359" s="263"/>
      <c r="AJ359" s="263"/>
      <c r="AK359" s="263"/>
      <c r="AL359" s="263"/>
      <c r="AM359" s="263"/>
      <c r="AN359" s="263"/>
      <c r="AO359" s="263"/>
      <c r="AP359" s="263"/>
      <c r="AQ359" s="263"/>
      <c r="AR359" s="263"/>
      <c r="AS359" s="263"/>
      <c r="AT359" s="263"/>
      <c r="AU359" s="263"/>
      <c r="AV359" s="263"/>
      <c r="AW359" s="263"/>
      <c r="AX359" s="263"/>
      <c r="AY359" s="263"/>
      <c r="AZ359" s="263"/>
      <c r="BA359" s="263"/>
      <c r="BC359" s="401"/>
      <c r="BD359" s="398"/>
      <c r="BE359" s="391"/>
    </row>
    <row r="360" spans="1:90" ht="21.75" customHeight="1">
      <c r="A360" s="238"/>
      <c r="B360" s="239"/>
      <c r="C360" s="240"/>
      <c r="D360" s="240"/>
      <c r="E360" s="240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  <c r="U360" s="241"/>
      <c r="V360" s="241"/>
      <c r="W360" s="241"/>
      <c r="X360" s="241"/>
      <c r="Y360" s="241"/>
      <c r="Z360" s="241"/>
      <c r="AA360" s="241"/>
      <c r="AB360" s="241"/>
      <c r="AD360" s="624" t="s">
        <v>64</v>
      </c>
      <c r="AE360" s="624"/>
      <c r="AF360" s="624"/>
      <c r="AG360" s="624"/>
      <c r="AH360" s="624"/>
      <c r="AI360" s="624"/>
      <c r="AJ360" s="624"/>
      <c r="AK360" s="624"/>
      <c r="AL360" s="624"/>
      <c r="BC360" s="401"/>
      <c r="BD360" s="398"/>
      <c r="BE360" s="391"/>
    </row>
    <row r="361" spans="1:90" ht="21.75" customHeight="1" thickBot="1">
      <c r="A361" s="360"/>
      <c r="B361" s="682" t="str">
        <f>IF($E359="","",$E359)</f>
        <v/>
      </c>
      <c r="C361" s="682"/>
      <c r="D361" s="682"/>
      <c r="E361" s="682" t="str">
        <f>IF($F359="","",$F359)</f>
        <v/>
      </c>
      <c r="F361" s="682"/>
      <c r="G361" s="682"/>
      <c r="H361" s="682" t="str">
        <f>IF($G359="","",$G359)</f>
        <v/>
      </c>
      <c r="I361" s="682"/>
      <c r="J361" s="682"/>
      <c r="K361" s="682" t="str">
        <f>IF($H359="","",$H359)</f>
        <v/>
      </c>
      <c r="L361" s="682"/>
      <c r="M361" s="682"/>
      <c r="N361" s="682" t="str">
        <f>IF($I359="","",$I359)</f>
        <v/>
      </c>
      <c r="O361" s="682"/>
      <c r="P361" s="682"/>
      <c r="Q361" s="682" t="str">
        <f>IF($J359="","",$J359)</f>
        <v/>
      </c>
      <c r="R361" s="682"/>
      <c r="S361" s="682"/>
      <c r="T361" s="682" t="str">
        <f>IF($K359="","",$K359)</f>
        <v/>
      </c>
      <c r="U361" s="682"/>
      <c r="V361" s="682"/>
      <c r="W361" s="682" t="str">
        <f>IF($L359="","",$L359)</f>
        <v/>
      </c>
      <c r="X361" s="682"/>
      <c r="Y361" s="682"/>
      <c r="Z361" s="682" t="str">
        <f>IF($M359="","",$M359)</f>
        <v/>
      </c>
      <c r="AA361" s="682"/>
      <c r="AB361" s="682"/>
      <c r="AD361" s="287">
        <f>+A336</f>
        <v>0</v>
      </c>
      <c r="AE361" s="325" t="str">
        <f>+IF(B336="","",B336)</f>
        <v/>
      </c>
      <c r="AF361" s="325" t="str">
        <f>+IF(C336="","",C336)</f>
        <v/>
      </c>
      <c r="AG361" s="325" t="str">
        <f t="shared" ref="AG361" si="606">+IF(D336="","",D336)</f>
        <v/>
      </c>
      <c r="AH361" s="325" t="str">
        <f t="shared" ref="AH361" si="607">+IF(E336="","",E336)</f>
        <v/>
      </c>
      <c r="AI361" s="325" t="str">
        <f t="shared" ref="AI361" si="608">+IF(F336="","",F336)</f>
        <v/>
      </c>
      <c r="AJ361" s="325" t="str">
        <f t="shared" ref="AJ361" si="609">+IF(G336="","",G336)</f>
        <v/>
      </c>
      <c r="AK361" s="325" t="str">
        <f t="shared" ref="AK361" si="610">+IF(H336="","",H336)</f>
        <v/>
      </c>
      <c r="AL361" s="325" t="str">
        <f t="shared" ref="AL361" si="611">+IF(I336="","",I336)</f>
        <v/>
      </c>
      <c r="AM361" s="325" t="str">
        <f t="shared" ref="AM361" si="612">+IF(J336="","",J336)</f>
        <v/>
      </c>
      <c r="AN361" s="242"/>
      <c r="AO361" s="242"/>
      <c r="AP361" s="242"/>
      <c r="AQ361" s="242"/>
      <c r="AR361" s="242"/>
      <c r="AS361" s="242"/>
      <c r="AT361" s="242"/>
      <c r="AU361" s="242"/>
      <c r="AV361" s="242"/>
      <c r="AW361" s="242"/>
      <c r="AX361" s="242"/>
      <c r="AY361" s="242"/>
      <c r="AZ361" s="242"/>
      <c r="BA361" s="242"/>
      <c r="BC361" s="401"/>
      <c r="BD361" s="398"/>
      <c r="BE361" s="428">
        <f>BE$27</f>
        <v>1</v>
      </c>
      <c r="BF361" s="428">
        <f t="shared" ref="BF361:CL361" si="613">BF$27</f>
        <v>2</v>
      </c>
      <c r="BG361" s="428">
        <f t="shared" si="613"/>
        <v>3</v>
      </c>
      <c r="BH361" s="428">
        <f t="shared" si="613"/>
        <v>4</v>
      </c>
      <c r="BI361" s="428">
        <f t="shared" si="613"/>
        <v>5</v>
      </c>
      <c r="BJ361" s="428">
        <f t="shared" si="613"/>
        <v>6</v>
      </c>
      <c r="BK361" s="428">
        <f t="shared" si="613"/>
        <v>7</v>
      </c>
      <c r="BL361" s="428">
        <f t="shared" si="613"/>
        <v>8</v>
      </c>
      <c r="BM361" s="428">
        <f t="shared" si="613"/>
        <v>9</v>
      </c>
      <c r="BN361" s="428">
        <f t="shared" si="613"/>
        <v>10</v>
      </c>
      <c r="BO361" s="428">
        <f t="shared" si="613"/>
        <v>11</v>
      </c>
      <c r="BP361" s="428">
        <f t="shared" si="613"/>
        <v>12</v>
      </c>
      <c r="BQ361" s="428">
        <f t="shared" si="613"/>
        <v>13</v>
      </c>
      <c r="BR361" s="428">
        <f t="shared" si="613"/>
        <v>14</v>
      </c>
      <c r="BS361" s="428">
        <f t="shared" si="613"/>
        <v>15</v>
      </c>
      <c r="BT361" s="428">
        <f t="shared" si="613"/>
        <v>16</v>
      </c>
      <c r="BU361" s="428">
        <f t="shared" si="613"/>
        <v>17</v>
      </c>
      <c r="BV361" s="428">
        <f t="shared" si="613"/>
        <v>18</v>
      </c>
      <c r="BW361" s="428">
        <f t="shared" si="613"/>
        <v>19</v>
      </c>
      <c r="BX361" s="428">
        <f t="shared" si="613"/>
        <v>20</v>
      </c>
      <c r="BY361" s="428">
        <f t="shared" si="613"/>
        <v>21</v>
      </c>
      <c r="BZ361" s="428">
        <f t="shared" si="613"/>
        <v>22</v>
      </c>
      <c r="CA361" s="428">
        <f t="shared" si="613"/>
        <v>23</v>
      </c>
      <c r="CB361" s="428">
        <f t="shared" si="613"/>
        <v>24</v>
      </c>
      <c r="CC361" s="428">
        <f t="shared" si="613"/>
        <v>25</v>
      </c>
      <c r="CD361" s="428">
        <f t="shared" si="613"/>
        <v>26</v>
      </c>
      <c r="CE361" s="428">
        <f t="shared" si="613"/>
        <v>27</v>
      </c>
      <c r="CF361" s="428">
        <f t="shared" si="613"/>
        <v>28</v>
      </c>
      <c r="CG361" s="428">
        <f t="shared" si="613"/>
        <v>29</v>
      </c>
      <c r="CH361" s="428">
        <f t="shared" si="613"/>
        <v>30</v>
      </c>
      <c r="CI361" s="428">
        <f t="shared" si="613"/>
        <v>31</v>
      </c>
      <c r="CJ361" s="428">
        <f t="shared" si="613"/>
        <v>32</v>
      </c>
      <c r="CK361" s="428">
        <f t="shared" si="613"/>
        <v>33</v>
      </c>
      <c r="CL361" s="428">
        <f t="shared" si="613"/>
        <v>34</v>
      </c>
    </row>
    <row r="362" spans="1:90" ht="21.75" customHeight="1" thickBot="1">
      <c r="A362" s="413" t="s">
        <v>3</v>
      </c>
      <c r="B362" s="683" t="str">
        <f>IF(B361="","",VLOOKUP(B361,Espesor!$C$8:$E$41,3,0))</f>
        <v/>
      </c>
      <c r="C362" s="684"/>
      <c r="D362" s="685"/>
      <c r="E362" s="683" t="str">
        <f>IF(E361="","",VLOOKUP(E361,Espesor!$C$8:$E$41,3,0))</f>
        <v/>
      </c>
      <c r="F362" s="684"/>
      <c r="G362" s="685"/>
      <c r="H362" s="683" t="str">
        <f>IF(H361="","",VLOOKUP(H361,Espesor!$C$8:$E$41,3,0))</f>
        <v/>
      </c>
      <c r="I362" s="684"/>
      <c r="J362" s="685"/>
      <c r="K362" s="683" t="str">
        <f>IF(K361="","",VLOOKUP(K361,Espesor!$C$8:$E$41,3,0))</f>
        <v/>
      </c>
      <c r="L362" s="684"/>
      <c r="M362" s="685"/>
      <c r="N362" s="683" t="str">
        <f>IF(N361="","",VLOOKUP(N361,Espesor!$C$8:$E$41,3,0))</f>
        <v/>
      </c>
      <c r="O362" s="684"/>
      <c r="P362" s="685"/>
      <c r="Q362" s="683" t="str">
        <f>IF(Q361="","",VLOOKUP(Q361,Espesor!$C$8:$E$41,3,0))</f>
        <v/>
      </c>
      <c r="R362" s="684"/>
      <c r="S362" s="685"/>
      <c r="T362" s="683" t="str">
        <f>IF(T361="","",VLOOKUP(T361,Espesor!$C$8:$E$41,3,0))</f>
        <v/>
      </c>
      <c r="U362" s="684"/>
      <c r="V362" s="685"/>
      <c r="W362" s="683" t="str">
        <f>IF(W361="","",VLOOKUP(W361,Espesor!$C$8:$E$41,3,0))</f>
        <v/>
      </c>
      <c r="X362" s="684"/>
      <c r="Y362" s="685"/>
      <c r="Z362" s="683" t="str">
        <f>IF(Z361="","",VLOOKUP(Z361,Espesor!$C$8:$E$41,3,0))</f>
        <v/>
      </c>
      <c r="AA362" s="684"/>
      <c r="AB362" s="685"/>
      <c r="AD362" s="338" t="s">
        <v>4</v>
      </c>
      <c r="AE362" s="322" t="s">
        <v>3</v>
      </c>
      <c r="AF362" s="339" t="s">
        <v>138</v>
      </c>
      <c r="AG362" s="637" t="s">
        <v>139</v>
      </c>
      <c r="AH362" s="638"/>
      <c r="AI362" s="638"/>
      <c r="AJ362" s="639"/>
      <c r="AK362" s="640" t="s">
        <v>142</v>
      </c>
      <c r="AL362" s="641"/>
      <c r="AM362" s="637" t="s">
        <v>143</v>
      </c>
      <c r="AN362" s="639"/>
      <c r="AO362" s="642" t="s">
        <v>144</v>
      </c>
      <c r="AP362" s="643"/>
      <c r="AQ362" s="643"/>
      <c r="AR362" s="644"/>
      <c r="AS362" s="642" t="s">
        <v>145</v>
      </c>
      <c r="AT362" s="643"/>
      <c r="AU362" s="644"/>
      <c r="AV362" s="645" t="s">
        <v>157</v>
      </c>
      <c r="AW362" s="646"/>
      <c r="AX362" s="646"/>
      <c r="AY362" s="646"/>
      <c r="AZ362" s="646"/>
      <c r="BA362" s="647"/>
      <c r="BC362" s="422">
        <f>+A358</f>
        <v>10</v>
      </c>
      <c r="BD362" s="433" t="s">
        <v>183</v>
      </c>
      <c r="BE362" s="429">
        <f>IF(BE361=$B$361,$B$373,IF(BE361=$E$361,$E$373,IF(BE361=$H$361,$H$373,IF(BE361=$K$361,$K$373,IF(BE361=$N$361,$N$373,IF(BE361=$Q$361,$Q$373,IF(BE361=$T$361,$T$373,IF(BE361=$W$361,$W$373,IF(BE361=$Z$361,$Z$373,0)))))))))</f>
        <v>0</v>
      </c>
      <c r="BF362" s="429">
        <f t="shared" ref="BF362:CL362" si="614">IF(BF361=$B$361,$B$373,IF(BF361=$E$361,$E$373,IF(BF361=$H$361,$H$373,IF(BF361=$K$361,$K$373,IF(BF361=$N$361,$N$373,IF(BF361=$Q$361,$Q$373,IF(BF361=$T$361,$T$373,IF(BF361=$W$361,$W$373,IF(BF361=$Z$361,$Z$373,0)))))))))</f>
        <v>0</v>
      </c>
      <c r="BG362" s="429">
        <f t="shared" si="614"/>
        <v>0</v>
      </c>
      <c r="BH362" s="429">
        <f t="shared" si="614"/>
        <v>0</v>
      </c>
      <c r="BI362" s="429">
        <f t="shared" si="614"/>
        <v>0</v>
      </c>
      <c r="BJ362" s="429">
        <f t="shared" si="614"/>
        <v>0</v>
      </c>
      <c r="BK362" s="429">
        <f t="shared" si="614"/>
        <v>0</v>
      </c>
      <c r="BL362" s="429">
        <f t="shared" si="614"/>
        <v>0</v>
      </c>
      <c r="BM362" s="429">
        <f t="shared" si="614"/>
        <v>0</v>
      </c>
      <c r="BN362" s="429">
        <f t="shared" si="614"/>
        <v>0</v>
      </c>
      <c r="BO362" s="429">
        <f t="shared" si="614"/>
        <v>0</v>
      </c>
      <c r="BP362" s="429">
        <f t="shared" si="614"/>
        <v>0</v>
      </c>
      <c r="BQ362" s="429">
        <f t="shared" si="614"/>
        <v>0</v>
      </c>
      <c r="BR362" s="429">
        <f t="shared" si="614"/>
        <v>0</v>
      </c>
      <c r="BS362" s="429">
        <f t="shared" si="614"/>
        <v>0</v>
      </c>
      <c r="BT362" s="429">
        <f t="shared" si="614"/>
        <v>0</v>
      </c>
      <c r="BU362" s="429">
        <f t="shared" si="614"/>
        <v>0</v>
      </c>
      <c r="BV362" s="429">
        <f t="shared" si="614"/>
        <v>0</v>
      </c>
      <c r="BW362" s="429">
        <f t="shared" si="614"/>
        <v>0</v>
      </c>
      <c r="BX362" s="429">
        <f t="shared" si="614"/>
        <v>0</v>
      </c>
      <c r="BY362" s="429">
        <f t="shared" si="614"/>
        <v>0</v>
      </c>
      <c r="BZ362" s="429">
        <f t="shared" si="614"/>
        <v>0</v>
      </c>
      <c r="CA362" s="429">
        <f t="shared" si="614"/>
        <v>0</v>
      </c>
      <c r="CB362" s="429">
        <f t="shared" si="614"/>
        <v>0</v>
      </c>
      <c r="CC362" s="429">
        <f t="shared" si="614"/>
        <v>0</v>
      </c>
      <c r="CD362" s="429">
        <f t="shared" si="614"/>
        <v>0</v>
      </c>
      <c r="CE362" s="429">
        <f t="shared" si="614"/>
        <v>0</v>
      </c>
      <c r="CF362" s="429">
        <f t="shared" si="614"/>
        <v>0</v>
      </c>
      <c r="CG362" s="429">
        <f t="shared" si="614"/>
        <v>0</v>
      </c>
      <c r="CH362" s="429">
        <f t="shared" si="614"/>
        <v>0</v>
      </c>
      <c r="CI362" s="429">
        <f t="shared" si="614"/>
        <v>0</v>
      </c>
      <c r="CJ362" s="429">
        <f t="shared" si="614"/>
        <v>0</v>
      </c>
      <c r="CK362" s="429">
        <f t="shared" si="614"/>
        <v>0</v>
      </c>
      <c r="CL362" s="429">
        <f t="shared" si="614"/>
        <v>0</v>
      </c>
    </row>
    <row r="363" spans="1:90" ht="21.75" customHeight="1">
      <c r="A363" s="257" t="s">
        <v>65</v>
      </c>
      <c r="B363" s="679" t="str">
        <f>+IF(B361="","",IF(LOOKUP(B361,Espesor!$C$8:$C$41,Espesor!$K$8:$K$41)="en voladizo","",0.75/B362))</f>
        <v/>
      </c>
      <c r="C363" s="680"/>
      <c r="D363" s="681"/>
      <c r="E363" s="679" t="str">
        <f>IF(E361="","",IF(LOOKUP(E361,Espesor!$C$8:$C$41,Espesor!$K$8:$K$41)="en voladizo","",IF(H361="",0.75/E362,1/E362)))</f>
        <v/>
      </c>
      <c r="F363" s="680"/>
      <c r="G363" s="681"/>
      <c r="H363" s="679" t="str">
        <f>IF(H361="","",IF(LOOKUP(H361,Espesor!$C$8:$C$41,Espesor!$K$8:$K$41)="en voladizo","",IF(K361="",0.75/H362,1/H362)))</f>
        <v/>
      </c>
      <c r="I363" s="680"/>
      <c r="J363" s="681"/>
      <c r="K363" s="679" t="str">
        <f>IF(K361="","",IF(LOOKUP(K361,Espesor!$C$8:$C$41,Espesor!$K$8:$K$41)="en voladizo","",IF(N361="",0.75/K362,1/K362)))</f>
        <v/>
      </c>
      <c r="L363" s="680"/>
      <c r="M363" s="681"/>
      <c r="N363" s="679" t="str">
        <f>IF(N361="","",IF(LOOKUP(N361,Espesor!$C$8:$C$41,Espesor!$K$8:$K$41)="en voladizo","",IF(Q361="",0.75/N362,1/N362)))</f>
        <v/>
      </c>
      <c r="O363" s="680"/>
      <c r="P363" s="681"/>
      <c r="Q363" s="679" t="str">
        <f>IF(Q361="","",IF(LOOKUP(Q361,Espesor!$C$8:$C$41,Espesor!$K$8:$K$41)="en voladizo","",IF(T361="",0.75/Q362,1/Q362)))</f>
        <v/>
      </c>
      <c r="R363" s="680"/>
      <c r="S363" s="681"/>
      <c r="T363" s="679" t="str">
        <f>IF(T361="","",IF(LOOKUP(T361,Espesor!$C$8:$C$41,Espesor!$K$8:$K$41)="en voladizo","",IF(W361="",0.75/T362,1/T362)))</f>
        <v/>
      </c>
      <c r="U363" s="680"/>
      <c r="V363" s="681"/>
      <c r="W363" s="679" t="str">
        <f>IF(W361="","",IF(LOOKUP(W361,Espesor!$C$8:$C$41,Espesor!$K$8:$K$41)="en voladizo","",IF(Z361="",0.75/W362,1/W362)))</f>
        <v/>
      </c>
      <c r="X363" s="680"/>
      <c r="Y363" s="681"/>
      <c r="Z363" s="679" t="str">
        <f>IF(Z361="","",IF(LOOKUP(Z361,Espesor!$C$8:$C$41,Espesor!$K$8:$K$41)="en voladizo","",IF(AC361="",0.75/Z362,1/Z362)))</f>
        <v/>
      </c>
      <c r="AA363" s="680"/>
      <c r="AB363" s="681"/>
      <c r="AD363" s="320" t="str">
        <f>+IF(AE361="","",AE361)</f>
        <v/>
      </c>
      <c r="AE363" s="323" t="str">
        <f>IF(B337="","",IF($K$2="X - X",VLOOKUP(B337,Espesor!$C$8:$E$41,2,0),VLOOKUP(B337,Espesor!$C$8:$E$41,3,0)))</f>
        <v/>
      </c>
      <c r="AF363" s="318" t="str">
        <f>+IF(AD363="","",IF(LOOKUP(AD363,Espesor!$C$8:$C$41,Espesor!$K$8:$K$41)="en voladizo","",0.75/AE363))</f>
        <v/>
      </c>
      <c r="AG363" s="648" t="str">
        <f>IF(AF363="","",IF(AF364="","",ROUND(AF363/(AF363+AF364),3)))</f>
        <v/>
      </c>
      <c r="AH363" s="343"/>
      <c r="AI363" s="648" t="str">
        <f>IF(AF364="","",IF(AF363="","",ROUND(AF364/(AF364+AF363),3)))</f>
        <v/>
      </c>
      <c r="AJ363" s="343"/>
      <c r="AK363" s="342">
        <v>0</v>
      </c>
      <c r="AL363" s="316" t="e">
        <f>-IF(B336="","",IF($K$2="X - X",VLOOKUP(B336,'Moms de Empt'!$P$3:$T$36,3,0),VLOOKUP(B336,'Moms de Empt'!$P$3:$T$36,5,0)))</f>
        <v>#VALUE!</v>
      </c>
      <c r="AM363" s="649">
        <f>IF(AD364="",0,IF(LOOKUP(AD364,Espesor!$C$8:$C$41,Espesor!$K$8:$K$41)="en voladizo",MAX(ABS(AL363),ABS(AK364)),-(AK364+AL363)))</f>
        <v>0</v>
      </c>
      <c r="AN363" s="345"/>
      <c r="AO363" s="650" t="str">
        <f>IF(AG363="","",AM363*AG363)</f>
        <v/>
      </c>
      <c r="AP363" s="342"/>
      <c r="AQ363" s="650" t="str">
        <f>IF(AI363="","",AM363*AI363)</f>
        <v/>
      </c>
      <c r="AR363" s="342"/>
      <c r="AS363" s="651" t="e">
        <f>-IF(AM363="","",IF(AL363="",IF(AO363="",0,AO363),IF(AO363="",AL363,AL363+AO363)))</f>
        <v>#VALUE!</v>
      </c>
      <c r="AT363" s="341"/>
      <c r="AU363" s="341" t="e">
        <f>+AS363</f>
        <v>#VALUE!</v>
      </c>
      <c r="AV363" s="329" t="str">
        <f>IF(B336="","",IF(L336="X - X",VLOOKUP(B361,'Moms de Empt'!$P$3:$T$36,2,0),VLOOKUP(B361,'Moms de Empt'!$P$3:$T$36,4,0)))</f>
        <v/>
      </c>
      <c r="AW363" s="653" t="str">
        <f>IF(B363="","",IF(D365="","",IF(ABS(D369)&gt;ABS(D365),-0.5*ABS(D367),0.5*ABS(D367))))</f>
        <v/>
      </c>
      <c r="AX363" s="330"/>
      <c r="AY363" s="653" t="str">
        <f>IF(AV364="","",IF(AV363="","",ROUND(AV364/(AV364+AV363),3)))</f>
        <v/>
      </c>
      <c r="AZ363" s="330"/>
      <c r="BA363" s="331" t="str">
        <f t="shared" ref="BA363:BA370" si="615">+AV363</f>
        <v/>
      </c>
      <c r="BC363" s="422"/>
      <c r="BD363" s="398"/>
      <c r="BE363" s="429"/>
    </row>
    <row r="364" spans="1:90" ht="21.75" customHeight="1">
      <c r="A364" s="247" t="s">
        <v>123</v>
      </c>
      <c r="B364" s="29"/>
      <c r="C364" s="30"/>
      <c r="D364" s="31">
        <f>IF(B363="",0,IF(E363="",0,ROUND(B363/(B363+E363),3)))</f>
        <v>0</v>
      </c>
      <c r="E364" s="29">
        <f>IF(E363="",0,IF(B363="",0,ROUND(E363/(E363+B363),3)))</f>
        <v>0</v>
      </c>
      <c r="F364" s="30"/>
      <c r="G364" s="31">
        <f>IF(E363="",0,IF(H363="",0,ROUND(E363/(E363+H363),3)))</f>
        <v>0</v>
      </c>
      <c r="H364" s="29">
        <f>IF(H363="",0,IF(E363="",0,ROUND(H363/(H363+E363),3)))</f>
        <v>0</v>
      </c>
      <c r="I364" s="30"/>
      <c r="J364" s="31">
        <f>IF(H363="",0,IF(K363="",0,ROUND(H363/(H363+K363),3)))</f>
        <v>0</v>
      </c>
      <c r="K364" s="29">
        <f>IF(K363="",0,IF(H363="",0,ROUND(K363/(K363+H363),3)))</f>
        <v>0</v>
      </c>
      <c r="L364" s="30"/>
      <c r="M364" s="31">
        <f>IF(K363="",0,IF(N363="",0,ROUND(K363/(K363+N363),3)))</f>
        <v>0</v>
      </c>
      <c r="N364" s="29">
        <f>IF(N363="",0,IF(K363="",0,ROUND(N363/(N363+K363),3)))</f>
        <v>0</v>
      </c>
      <c r="O364" s="30"/>
      <c r="P364" s="31">
        <f>IF(N363="",0,IF(Q363="",0,ROUND(N363/(N363+Q363),3)))</f>
        <v>0</v>
      </c>
      <c r="Q364" s="29">
        <f>IF(Q363="",0,IF(N363="",0,ROUND(Q363/(Q363+N363),3)))</f>
        <v>0</v>
      </c>
      <c r="R364" s="30"/>
      <c r="S364" s="31">
        <f>IF(Q363="",0,IF(T363="",0,ROUND(Q363/(Q363+T363),3)))</f>
        <v>0</v>
      </c>
      <c r="T364" s="29">
        <f>IF(T363="",0,IF(Q363="",0,ROUND(T363/(T363+Q363),3)))</f>
        <v>0</v>
      </c>
      <c r="U364" s="30"/>
      <c r="V364" s="31">
        <f>IF(T363="",0,IF(W363="",0,ROUND(T363/(T363+W363),3)))</f>
        <v>0</v>
      </c>
      <c r="W364" s="29">
        <f>IF(W363="",0,IF(T363="",0,ROUND(W363/(W363+T363),3)))</f>
        <v>0</v>
      </c>
      <c r="X364" s="30"/>
      <c r="Y364" s="31">
        <f>IF(W363="",0,IF(Z363="",0,ROUND(W363/(W363+Z363),3)))</f>
        <v>0</v>
      </c>
      <c r="Z364" s="29">
        <f>IF(Z363="",0,IF(W363="",0,ROUND(Z363/(Z363+W363),3)))</f>
        <v>0</v>
      </c>
      <c r="AA364" s="30"/>
      <c r="AB364" s="31">
        <f>IF(Z363="",0,IF(AC363="",0,ROUND(Z363/(Z363+AC363),3)))</f>
        <v>0</v>
      </c>
      <c r="AD364" s="321" t="str">
        <f>+IF(AF361="","",AF361)</f>
        <v/>
      </c>
      <c r="AE364" s="324" t="str">
        <f>IF(C336="","",IF($K$2="X - X",VLOOKUP(C336,Espesor!$C$8:$E$41,2,0),VLOOKUP(C336,Espesor!$C$8:$E$41,3,0)))</f>
        <v/>
      </c>
      <c r="AF364" s="319" t="str">
        <f>IF(AD364="","",IF(LOOKUP(AD364,Espesor!$C$8:$C$41,Espesor!$K$8:$K$41)="en voladizo","",IF(AD365="",0.75/AE364,1/AE364)))</f>
        <v/>
      </c>
      <c r="AG364" s="634"/>
      <c r="AH364" s="634" t="str">
        <f>IF(AF364="","",IF(AF365="","",ROUND(AF364/(AF364+AF365),3)))</f>
        <v/>
      </c>
      <c r="AI364" s="634"/>
      <c r="AJ364" s="634" t="str">
        <f>IF(AF364="","",IF(AF365="","",ROUND(AF365/(AF364+AF365),3)))</f>
        <v/>
      </c>
      <c r="AK364" s="317">
        <f>IF(C336="",0,IF($K$2="X - X",VLOOKUP(C336,'Moms de Empt'!$P$3:$T$36,3,0),VLOOKUP(C336,'Moms de Empt'!$P$3:$T$36,5,0)))</f>
        <v>0</v>
      </c>
      <c r="AL364" s="317">
        <f>+IF(AD365="",0,-AK364)</f>
        <v>0</v>
      </c>
      <c r="AM364" s="629"/>
      <c r="AN364" s="629">
        <f>IF(AD365="",0,IF(LOOKUP(AD365,Espesor!$C$8:$C$41,Espesor!$K$8:$K$41)="en voladizo",MAX(ABS(AL364),ABS(AK365)),-(AK365+AL364)))</f>
        <v>0</v>
      </c>
      <c r="AO364" s="630"/>
      <c r="AP364" s="630" t="str">
        <f>IF(AH364="","",AN364*AH364)</f>
        <v/>
      </c>
      <c r="AQ364" s="630"/>
      <c r="AR364" s="630" t="str">
        <f>IF(AJ364="","",AN364*AJ364)</f>
        <v/>
      </c>
      <c r="AS364" s="652"/>
      <c r="AT364" s="631">
        <f>-IF(AN364="","",IF(AL364="",IF(AP364="",0,AP364),IF(AP364="",AL364,AL364+AP364)))</f>
        <v>0</v>
      </c>
      <c r="AU364" s="341">
        <f>+AT364</f>
        <v>0</v>
      </c>
      <c r="AV364" s="332" t="str">
        <f>IF(E361="","",IF(L336="X - X",VLOOKUP(E361,'Moms de Empt'!$P$3:$T$36,2,0),VLOOKUP(E361,'Moms de Empt'!$P$3:$T$36,4,0)))</f>
        <v/>
      </c>
      <c r="AW364" s="635"/>
      <c r="AX364" s="633" t="str">
        <f>IF(AV364="","",IF(AV365="","",ROUND(AV364/(AV364+AV365),3)))</f>
        <v/>
      </c>
      <c r="AY364" s="635"/>
      <c r="AZ364" s="633" t="str">
        <f>IF(AV364="","",IF(AV365="","",ROUND(AV365/(AV364+AV365),3)))</f>
        <v/>
      </c>
      <c r="BA364" s="331" t="str">
        <f t="shared" si="615"/>
        <v/>
      </c>
      <c r="BC364" s="422"/>
      <c r="BD364" s="398"/>
      <c r="BE364" s="429"/>
    </row>
    <row r="365" spans="1:90" ht="21.75" customHeight="1">
      <c r="A365" s="248" t="s">
        <v>124</v>
      </c>
      <c r="B365" s="249"/>
      <c r="C365" s="34"/>
      <c r="D365" s="33" t="str">
        <f>IF(B361="","",-VLOOKUP(B361,'Moms de Empt'!$P$3:$T$36,5,0))</f>
        <v/>
      </c>
      <c r="E365" s="33" t="str">
        <f>IF(E361="","",VLOOKUP(E361,'Moms de Empt'!$P$3:$T$36,5,0))</f>
        <v/>
      </c>
      <c r="F365" s="34"/>
      <c r="G365" s="33" t="str">
        <f>IF(E361="","",-VLOOKUP(E361,'Moms de Empt'!$P$3:$T$36,5,0))</f>
        <v/>
      </c>
      <c r="H365" s="33" t="str">
        <f>IF(H361="","",VLOOKUP(H361,'Moms de Empt'!$P$3:$T$36,5,0))</f>
        <v/>
      </c>
      <c r="I365" s="34"/>
      <c r="J365" s="33" t="str">
        <f>IF(H361="","",-VLOOKUP(H361,'Moms de Empt'!$P$3:$T$36,5,0))</f>
        <v/>
      </c>
      <c r="K365" s="33" t="str">
        <f>IF(K361="","",VLOOKUP(K361,'Moms de Empt'!$P$3:$T$36,5,0))</f>
        <v/>
      </c>
      <c r="L365" s="34"/>
      <c r="M365" s="33" t="str">
        <f>IF(K361="","",-VLOOKUP(K361,'Moms de Empt'!$P$3:$T$36,5,0))</f>
        <v/>
      </c>
      <c r="N365" s="33" t="str">
        <f>IF(N361="","",VLOOKUP(N361,'Moms de Empt'!$P$3:$T$36,5,0))</f>
        <v/>
      </c>
      <c r="O365" s="34"/>
      <c r="P365" s="33" t="str">
        <f>IF(N361="","",-VLOOKUP(N361,'Moms de Empt'!$P$3:$T$36,5,0))</f>
        <v/>
      </c>
      <c r="Q365" s="33" t="str">
        <f>IF(Q361="","",VLOOKUP(Q361,'Moms de Empt'!$P$3:$T$36,5,0))</f>
        <v/>
      </c>
      <c r="R365" s="34"/>
      <c r="S365" s="33" t="str">
        <f>IF(Q361="","",-VLOOKUP(Q361,'Moms de Empt'!$P$3:$T$36,5,0))</f>
        <v/>
      </c>
      <c r="T365" s="33" t="str">
        <f>IF(T361="","",VLOOKUP(T361,'Moms de Empt'!$P$3:$T$36,5,0))</f>
        <v/>
      </c>
      <c r="U365" s="34"/>
      <c r="V365" s="33" t="str">
        <f>IF(T361="","",-VLOOKUP(T361,'Moms de Empt'!$P$3:$T$36,5,0))</f>
        <v/>
      </c>
      <c r="W365" s="33" t="str">
        <f>IF(W361="","",VLOOKUP(W361,'Moms de Empt'!$P$3:$T$36,5,0))</f>
        <v/>
      </c>
      <c r="X365" s="34"/>
      <c r="Y365" s="33" t="str">
        <f>IF(W361="","",-VLOOKUP(W361,'Moms de Empt'!$P$3:$T$36,5,0))</f>
        <v/>
      </c>
      <c r="Z365" s="33" t="str">
        <f>IF(Z361="","",VLOOKUP(Z361,'Moms de Empt'!$P$3:$T$36,5,0))</f>
        <v/>
      </c>
      <c r="AA365" s="34"/>
      <c r="AB365" s="33"/>
      <c r="AD365" s="321" t="str">
        <f>+IF(AG361="","",AG361)</f>
        <v/>
      </c>
      <c r="AE365" s="324" t="str">
        <f>IF(C337="","",IF($K$2="X - X",VLOOKUP(C337,Espesor!$C$8:$E$41,2,0),VLOOKUP(C337,Espesor!$C$8:$E$41,3,0)))</f>
        <v/>
      </c>
      <c r="AF365" s="319" t="str">
        <f>IF(AD365="","",IF(LOOKUP(AD365,Espesor!$C$8:$C$41,Espesor!$K$8:$K$41)="en voladizo","",IF(AD366="",0.75/AE365,1/AE365)))</f>
        <v/>
      </c>
      <c r="AG365" s="634" t="str">
        <f>IF(AF365="","",IF(AF366="","",ROUND(AF365/(AF365+AF366),3)))</f>
        <v/>
      </c>
      <c r="AH365" s="634"/>
      <c r="AI365" s="634" t="str">
        <f>IF(AF366="","",IF(AF365="","",ROUND(AF366/(AF366+AF365),3)))</f>
        <v/>
      </c>
      <c r="AJ365" s="634"/>
      <c r="AK365" s="317">
        <f>IF(D336="",0,IF($K$2="X - X",VLOOKUP(D336,'Moms de Empt'!$P$3:$T$36,3,0),VLOOKUP(D336,'Moms de Empt'!$P$3:$T$36,5,0)))</f>
        <v>0</v>
      </c>
      <c r="AL365" s="317">
        <f>+IF(AD366="",0,-AK365)</f>
        <v>0</v>
      </c>
      <c r="AM365" s="629">
        <f>IF(AD366="",0,IF(LOOKUP(AD366,Espesor!$C$8:$C$41,Espesor!$K$8:$K$41)="en voladizo",MAX(ABS(AL365),ABS(AK366)),-(AK366+AL365)))</f>
        <v>0</v>
      </c>
      <c r="AN365" s="629"/>
      <c r="AO365" s="630" t="str">
        <f>IF(AG365="","",AM365*AG365)</f>
        <v/>
      </c>
      <c r="AP365" s="630"/>
      <c r="AQ365" s="630" t="str">
        <f>IF(AI365="","",AM365*AI365)</f>
        <v/>
      </c>
      <c r="AR365" s="630"/>
      <c r="AS365" s="631">
        <f>-IF(AM365="","",IF(AL365="",IF(AO365="",0,AO365),IF(AO365="",AL365,AL365+AO365)))</f>
        <v>0</v>
      </c>
      <c r="AT365" s="632"/>
      <c r="AU365" s="341">
        <f>+AS365</f>
        <v>0</v>
      </c>
      <c r="AV365" s="332" t="str">
        <f>IF(H361="","",IF(L336="X - X",VLOOKUP(H361,'Moms de Empt'!$P$3:$T$36,2,0),VLOOKUP(H361,'Moms de Empt'!$P$3:$T$36,4,0)))</f>
        <v/>
      </c>
      <c r="AW365" s="635" t="str">
        <f>IF(AV365="","",IF(AV366="","",ROUND(AV365/(AV365+AV366),3)))</f>
        <v/>
      </c>
      <c r="AX365" s="633"/>
      <c r="AY365" s="635" t="str">
        <f>IF(AV366="","",IF(AV365="","",ROUND(AV366/(AV366+AV365),3)))</f>
        <v/>
      </c>
      <c r="AZ365" s="633"/>
      <c r="BA365" s="331" t="str">
        <f t="shared" si="615"/>
        <v/>
      </c>
      <c r="BC365" s="422"/>
      <c r="BD365" s="398"/>
      <c r="BE365" s="429"/>
    </row>
    <row r="366" spans="1:90" ht="21.75" customHeight="1">
      <c r="A366" s="250" t="s">
        <v>125</v>
      </c>
      <c r="B366" s="272"/>
      <c r="C366" s="406"/>
      <c r="D366" s="678">
        <f>+IF(E361="",0,IF(LOOKUP(E361,Espesor!$C$8:$C$41,Espesor!$K$8:$K$41)="en voladizo",IF(LOOKUP(B361,Espesor!$C$8:$C$41,Espesor!$K$8:$K$41)="en voladizo","Inestable",MAX(ABS(D365),ABS(E365))),IF(LOOKUP(B361,Espesor!$C$8:$C$41,Espesor!$K$8:$K$41)="en voladizo",MAX(ABS(D365),ABS(E365)),-(E365+D365))))</f>
        <v>0</v>
      </c>
      <c r="E366" s="678"/>
      <c r="F366" s="406"/>
      <c r="G366" s="678">
        <f>+IF(H361="",0,IF(LOOKUP(H361,Espesor!$C$8:$C$41,Espesor!$K$8:$K$41)="en voladizo",IF(LOOKUP(E361,Espesor!$C$8:$C$41,Espesor!$K$8:$K$41)="en voladizo","Inestable",MAX(ABS(G365),ABS(H365))),IF(LOOKUP(E361,Espesor!$C$8:$C$41,Espesor!$K$8:$K$41)="en voladizo",MAX(ABS(G365),ABS(H365)),-(H365+G365))))</f>
        <v>0</v>
      </c>
      <c r="H366" s="678"/>
      <c r="I366" s="406"/>
      <c r="J366" s="678">
        <f>+IF(K361="",0,IF(LOOKUP(K361,Espesor!$C$8:$C$41,Espesor!$K$8:$K$41)="en voladizo",IF(LOOKUP(H361,Espesor!$C$8:$C$41,Espesor!$K$8:$K$41)="en voladizo","Inestable",MAX(ABS(J365),ABS(K365))),IF(LOOKUP(H361,Espesor!$C$8:$C$41,Espesor!$K$8:$K$41)="en voladizo",MAX(ABS(J365),ABS(K365)),-(K365+J365))))</f>
        <v>0</v>
      </c>
      <c r="K366" s="678"/>
      <c r="L366" s="406"/>
      <c r="M366" s="678">
        <f>+IF(N361="",0,IF(LOOKUP(N361,Espesor!$C$8:$C$41,Espesor!$K$8:$K$41)="en voladizo",IF(LOOKUP(K361,Espesor!$C$8:$C$41,Espesor!$K$8:$K$41)="en voladizo","Inestable",MAX(ABS(M365),ABS(N365))),IF(LOOKUP(K361,Espesor!$C$8:$C$41,Espesor!$K$8:$K$41)="en voladizo",MAX(ABS(M365),ABS(N365)),-(N365+M365))))</f>
        <v>0</v>
      </c>
      <c r="N366" s="678"/>
      <c r="O366" s="406"/>
      <c r="P366" s="678">
        <f>+IF(Q361="",0,IF(LOOKUP(Q361,Espesor!$C$8:$C$41,Espesor!$K$8:$K$41)="en voladizo",IF(LOOKUP(N361,Espesor!$C$8:$C$41,Espesor!$K$8:$K$41)="en voladizo","Inestable",MAX(ABS(P365),ABS(Q365))),IF(LOOKUP(N361,Espesor!$C$8:$C$41,Espesor!$K$8:$K$41)="en voladizo",MAX(ABS(P365),ABS(Q365)),-(Q365+P365))))</f>
        <v>0</v>
      </c>
      <c r="Q366" s="678"/>
      <c r="R366" s="406"/>
      <c r="S366" s="678">
        <f>+IF(T361="",0,IF(LOOKUP(T361,Espesor!$C$8:$C$41,Espesor!$K$8:$K$41)="en voladizo",IF(LOOKUP(Q361,Espesor!$C$8:$C$41,Espesor!$K$8:$K$41)="en voladizo","Inestable",MAX(ABS(S365),ABS(T365))),IF(LOOKUP(Q361,Espesor!$C$8:$C$41,Espesor!$K$8:$K$41)="en voladizo",MAX(ABS(S365),ABS(T365)),-(T365+S365))))</f>
        <v>0</v>
      </c>
      <c r="T366" s="678"/>
      <c r="U366" s="406"/>
      <c r="V366" s="678">
        <f>+IF(W361="",0,IF(LOOKUP(W361,Espesor!$C$8:$C$41,Espesor!$K$8:$K$41)="en voladizo",IF(LOOKUP(T361,Espesor!$C$8:$C$41,Espesor!$K$8:$K$41)="en voladizo","Inestable",MAX(ABS(V365),ABS(W365))),IF(LOOKUP(T361,Espesor!$C$8:$C$41,Espesor!$K$8:$K$41)="en voladizo",MAX(ABS(V365),ABS(W365)),-(W365+V365))))</f>
        <v>0</v>
      </c>
      <c r="W366" s="678"/>
      <c r="X366" s="406"/>
      <c r="Y366" s="678">
        <f>+IF(Z361="",0,IF(LOOKUP(Z361,Espesor!$C$8:$C$41,Espesor!$K$8:$K$41)="en voladizo",IF(LOOKUP(W361,Espesor!$C$8:$C$41,Espesor!$K$8:$K$41)="en voladizo","Inestable",MAX(ABS(Y365),ABS(Z365))),IF(LOOKUP(W361,Espesor!$C$8:$C$41,Espesor!$K$8:$K$41)="en voladizo",MAX(ABS(Y365),ABS(Z365)),-(Z365+Y365))))</f>
        <v>0</v>
      </c>
      <c r="Z366" s="678"/>
      <c r="AA366" s="406"/>
      <c r="AB366" s="252"/>
      <c r="AD366" s="321" t="str">
        <f>+IF(AH361="","",AH361)</f>
        <v/>
      </c>
      <c r="AE366" s="324" t="str">
        <f>IF(K361="","",IF($K$2="X - X",VLOOKUP(K361,Espesor!$C$8:$E$41,2,0),VLOOKUP(K361,Espesor!$C$8:$E$41,3,0)))</f>
        <v/>
      </c>
      <c r="AF366" s="319" t="str">
        <f>IF(AD366="","",IF(LOOKUP(AD366,Espesor!$C$8:$C$41,Espesor!$K$8:$K$41)="en voladizo","",IF(AD367="",0.75/AE366,1/AE366)))</f>
        <v/>
      </c>
      <c r="AG366" s="634"/>
      <c r="AH366" s="634" t="str">
        <f>IF(AF366="","",IF(AF367="","",ROUND(AF366/(AF366+AF367),3)))</f>
        <v/>
      </c>
      <c r="AI366" s="634"/>
      <c r="AJ366" s="634" t="str">
        <f>IF(AF366="","",IF(AF367="","",ROUND(AF367/(AF366+AF367),3)))</f>
        <v/>
      </c>
      <c r="AK366" s="317">
        <f>IF(E336="",0,IF($K$2="X - X",VLOOKUP(E336,'Moms de Empt'!$P$3:$T$36,3,0),VLOOKUP(E336,'Moms de Empt'!$P$3:$T$36,5,0)))</f>
        <v>0</v>
      </c>
      <c r="AL366" s="317">
        <f t="shared" ref="AL366:AL368" si="616">+IF(AD367="",0,-AK366)</f>
        <v>0</v>
      </c>
      <c r="AM366" s="629"/>
      <c r="AN366" s="629">
        <f>IF(AD367="",0,IF(LOOKUP(AD367,Espesor!$C$8:$C$41,Espesor!$K$8:$K$41)="en voladizo",MAX(ABS(AL366),ABS(AK367)),-(AK367+AL366)))</f>
        <v>0</v>
      </c>
      <c r="AO366" s="630"/>
      <c r="AP366" s="630" t="str">
        <f t="shared" ref="AP366" si="617">IF(AH366="","",AN366*AH366)</f>
        <v/>
      </c>
      <c r="AQ366" s="630"/>
      <c r="AR366" s="630" t="str">
        <f t="shared" ref="AR366" si="618">IF(AJ366="","",AN366*AJ366)</f>
        <v/>
      </c>
      <c r="AS366" s="632"/>
      <c r="AT366" s="631">
        <f t="shared" ref="AT366" si="619">-IF(AN366="","",IF(AL366="",IF(AP366="",0,AP366),IF(AP366="",AL366,AL366+AP366)))</f>
        <v>0</v>
      </c>
      <c r="AU366" s="341">
        <f>+AT366</f>
        <v>0</v>
      </c>
      <c r="AV366" s="332" t="str">
        <f>IF(K361="","",IF(L336="X - X",VLOOKUP(K361,'Moms de Empt'!$P$3:$T$36,2,0),VLOOKUP(K361,'Moms de Empt'!$P$3:$T$36,4,0)))</f>
        <v/>
      </c>
      <c r="AW366" s="635"/>
      <c r="AX366" s="633" t="str">
        <f>IF(AV366="","",IF(AV367="","",ROUND(AV366/(AV366+AV367),3)))</f>
        <v/>
      </c>
      <c r="AY366" s="635"/>
      <c r="AZ366" s="633" t="str">
        <f>IF(AV366="","",IF(AV367="","",ROUND(AV367/(AV366+AV367),3)))</f>
        <v/>
      </c>
      <c r="BA366" s="331" t="str">
        <f t="shared" si="615"/>
        <v/>
      </c>
      <c r="BC366" s="392"/>
      <c r="BD366" s="392"/>
      <c r="BE366" s="392"/>
    </row>
    <row r="367" spans="1:90" ht="21.75" customHeight="1">
      <c r="A367" s="253" t="s">
        <v>126</v>
      </c>
      <c r="B367" s="29"/>
      <c r="C367" s="30"/>
      <c r="D367" s="254">
        <f>IF(D364="","",D366*D364)</f>
        <v>0</v>
      </c>
      <c r="E367" s="30">
        <f>IF(E364="","",D366*E364)</f>
        <v>0</v>
      </c>
      <c r="F367" s="30"/>
      <c r="G367" s="277">
        <f>IF(G364="","",G366*G364)</f>
        <v>0</v>
      </c>
      <c r="H367" s="278">
        <f>IF(H364="","",G366*H364)</f>
        <v>0</v>
      </c>
      <c r="I367" s="30"/>
      <c r="J367" s="254">
        <f>IF(J364="","",J366*J364)</f>
        <v>0</v>
      </c>
      <c r="K367" s="30">
        <f>IF(K364="","",J366*K364)</f>
        <v>0</v>
      </c>
      <c r="L367" s="30"/>
      <c r="M367" s="254">
        <f>IF(M364="","",M366*M364)</f>
        <v>0</v>
      </c>
      <c r="N367" s="30">
        <f>IF(N364="","",M366*N364)</f>
        <v>0</v>
      </c>
      <c r="O367" s="30"/>
      <c r="P367" s="254">
        <f>IF(P364="","",P366*P364)</f>
        <v>0</v>
      </c>
      <c r="Q367" s="30">
        <f>IF(Q364="","",P366*Q364)</f>
        <v>0</v>
      </c>
      <c r="R367" s="30"/>
      <c r="S367" s="254">
        <f>IF(S364="","",S366*S364)</f>
        <v>0</v>
      </c>
      <c r="T367" s="30">
        <f>IF(T364="","",S366*T364)</f>
        <v>0</v>
      </c>
      <c r="U367" s="30"/>
      <c r="V367" s="254">
        <f>IF(V364="","",V366*V364)</f>
        <v>0</v>
      </c>
      <c r="W367" s="30">
        <f>IF(W364="","",V366*W364)</f>
        <v>0</v>
      </c>
      <c r="X367" s="30"/>
      <c r="Y367" s="254">
        <f>IF(Y364="","",Y366*Y364)</f>
        <v>0</v>
      </c>
      <c r="Z367" s="30">
        <f>IF(Z364="","",Y366*Z364)</f>
        <v>0</v>
      </c>
      <c r="AA367" s="30"/>
      <c r="AB367" s="31"/>
      <c r="AD367" s="321" t="str">
        <f>+IF(AI361="","",AI361)</f>
        <v/>
      </c>
      <c r="AE367" s="324" t="str">
        <f>IF(N361="","",IF($K$2="X - X",VLOOKUP(N361,Espesor!$C$8:$E$41,2,0),VLOOKUP(N361,Espesor!$C$8:$E$41,3,0)))</f>
        <v/>
      </c>
      <c r="AF367" s="319" t="str">
        <f>IF(AD367="","",IF(LOOKUP(AD367,Espesor!$C$8:$C$41,Espesor!$K$8:$K$41)="en voladizo","",IF(AD368="",0.75/AE367,1/AE367)))</f>
        <v/>
      </c>
      <c r="AG367" s="634" t="str">
        <f>IF(AF367="","",IF(AF368="","",ROUND(AF367/(AF367+AF368),3)))</f>
        <v/>
      </c>
      <c r="AH367" s="634"/>
      <c r="AI367" s="634" t="str">
        <f>IF(AF368="","",IF(AF367="","",ROUND(AF368/(AF368+AF367),3)))</f>
        <v/>
      </c>
      <c r="AJ367" s="634"/>
      <c r="AK367" s="317">
        <f>IF(F336="",0,IF($K$2="X - X",VLOOKUP(F336,'Moms de Empt'!$P$3:$T$36,3,0),VLOOKUP(F336,'Moms de Empt'!$P$3:$T$36,5,0)))</f>
        <v>0</v>
      </c>
      <c r="AL367" s="317">
        <f t="shared" si="616"/>
        <v>0</v>
      </c>
      <c r="AM367" s="629">
        <f>IF(AD368="",0,IF(LOOKUP(AD368,Espesor!$C$8:$C$41,Espesor!$K$8:$K$41)="en voladizo",MAX(ABS(AL367),ABS(AK368)),-(AK368+AL367)))</f>
        <v>0</v>
      </c>
      <c r="AN367" s="629"/>
      <c r="AO367" s="630" t="str">
        <f t="shared" ref="AO367" si="620">IF(AG367="","",AM367*AG367)</f>
        <v/>
      </c>
      <c r="AP367" s="630"/>
      <c r="AQ367" s="630" t="str">
        <f t="shared" ref="AQ367" si="621">IF(AI367="","",AM367*AI367)</f>
        <v/>
      </c>
      <c r="AR367" s="630"/>
      <c r="AS367" s="631">
        <f>-IF(AM367="","",IF(AL367="",IF(AO367="",0,AO367),IF(AO367="",AL367,AL367+AO367)))</f>
        <v>0</v>
      </c>
      <c r="AT367" s="632"/>
      <c r="AU367" s="341">
        <f>+AS367</f>
        <v>0</v>
      </c>
      <c r="AV367" s="332" t="str">
        <f>IF(N361="","",IF(L336="X - X",VLOOKUP(N361,'Moms de Empt'!$P$3:$T$36,2,0),VLOOKUP(N361,'Moms de Empt'!$P$3:$T$36,4,0)))</f>
        <v/>
      </c>
      <c r="AW367" s="635" t="str">
        <f>IF(AV367="","",IF(AV368="","",ROUND(AV367/(AV367+AV368),3)))</f>
        <v/>
      </c>
      <c r="AX367" s="633"/>
      <c r="AY367" s="635" t="str">
        <f>IF(AV368="","",IF(AV367="","",ROUND(AV368/(AV368+AV367),3)))</f>
        <v/>
      </c>
      <c r="AZ367" s="633"/>
      <c r="BA367" s="331" t="str">
        <f t="shared" si="615"/>
        <v/>
      </c>
      <c r="BC367" s="406"/>
      <c r="BD367" s="406"/>
      <c r="BE367" s="406"/>
    </row>
    <row r="368" spans="1:90" ht="21.75" customHeight="1" thickBot="1">
      <c r="A368" s="32"/>
      <c r="B368" s="29"/>
      <c r="C368" s="30"/>
      <c r="D368" s="255">
        <f>IF(D366="",0,IF(D365="",IF(D367="",0,D367),IF(D367="",D365,D365+D367)))</f>
        <v>0</v>
      </c>
      <c r="E368" s="256">
        <f>IF(D366="",0,IF(E365="",IF(E367="",0,E367),IF(E367="",E365,E365+E367)))</f>
        <v>0</v>
      </c>
      <c r="F368" s="30"/>
      <c r="G368" s="276">
        <f>IF(G366="",0,IF(G365="",IF(G367="",0,G367),IF(G367="",G365,G365+G367)))</f>
        <v>0</v>
      </c>
      <c r="H368" s="256">
        <f>IF(G366="",0,IF(H365="",IF(H367="",0,H367),IF(H367="",H365,H365+H367)))</f>
        <v>0</v>
      </c>
      <c r="I368" s="30"/>
      <c r="J368" s="276">
        <f>IF(J366="",0,IF(J365="",IF(J367="",0,J367),IF(J367="",J365,J365+J367)))</f>
        <v>0</v>
      </c>
      <c r="K368" s="256">
        <f>IF(J366="",0,IF(K365="",IF(K367="",0,K367),IF(K367="",K365,K365+K367)))</f>
        <v>0</v>
      </c>
      <c r="L368" s="30"/>
      <c r="M368" s="276">
        <f>IF(M366="",0,IF(M365="",IF(M367="",0,M367),IF(M367="",M365,M365+M367)))</f>
        <v>0</v>
      </c>
      <c r="N368" s="256">
        <f>IF(M366="",0,IF(N365="",IF(N367="",0,N367),IF(N367="",N365,N365+N367)))</f>
        <v>0</v>
      </c>
      <c r="O368" s="30"/>
      <c r="P368" s="276">
        <f>IF(P366="",0,IF(P365="",IF(P367="",0,P367),IF(P367="",P365,P365+P367)))</f>
        <v>0</v>
      </c>
      <c r="Q368" s="256">
        <f>IF(P366="",0,IF(Q365="",IF(Q367="",0,Q367),IF(Q367="",Q365,Q365+Q367)))</f>
        <v>0</v>
      </c>
      <c r="R368" s="30"/>
      <c r="S368" s="276">
        <f>IF(S366="",0,IF(S365="",IF(S367="",0,S367),IF(S367="",S365,S365+S367)))</f>
        <v>0</v>
      </c>
      <c r="T368" s="256">
        <f>IF(S366="",0,IF(T365="",IF(T367="",0,T367),IF(T367="",T365,T365+T367)))</f>
        <v>0</v>
      </c>
      <c r="U368" s="30"/>
      <c r="V368" s="276">
        <f>IF(V366="",0,IF(V365="",IF(V367="",0,V367),IF(V367="",V365,V365+V367)))</f>
        <v>0</v>
      </c>
      <c r="W368" s="256">
        <f>IF(V366="",0,IF(W365="",IF(W367="",0,W367),IF(W367="",W365,W365+W367)))</f>
        <v>0</v>
      </c>
      <c r="X368" s="30"/>
      <c r="Y368" s="276">
        <f>IF(Y366="",0,IF(Y365="",IF(Y367="",0,Y367),IF(Y367="",Y365,Y365+Y367)))</f>
        <v>0</v>
      </c>
      <c r="Z368" s="256">
        <f>IF(Y366="",0,IF(Z365="",IF(Z367="",0,Z367),IF(Z367="",Z365,Z365+Z367)))</f>
        <v>0</v>
      </c>
      <c r="AA368" s="30"/>
      <c r="AB368" s="31"/>
      <c r="AD368" s="321" t="str">
        <f>+IF(AJ361="","",AJ361)</f>
        <v/>
      </c>
      <c r="AE368" s="324" t="str">
        <f>IF(Q361="","",IF($K$2="X - X",VLOOKUP(Q361,Espesor!$C$8:$E$41,2,0),VLOOKUP(Q361,Espesor!$C$8:$E$41,3,0)))</f>
        <v/>
      </c>
      <c r="AF368" s="319" t="str">
        <f>IF(AD368="","",IF(LOOKUP(AD368,Espesor!$C$8:$C$41,Espesor!$K$8:$K$41)="en voladizo","",IF(AD369="",0.75/AE368,1/AE368)))</f>
        <v/>
      </c>
      <c r="AG368" s="634"/>
      <c r="AH368" s="634" t="str">
        <f>IF(AF368="","",IF(AF369="","",ROUND(AF368/(AF368+AF369),3)))</f>
        <v/>
      </c>
      <c r="AI368" s="634"/>
      <c r="AJ368" s="634" t="str">
        <f>IF(AF368="","",IF(AF369="","",ROUND(AF369/(AF368+AF369),3)))</f>
        <v/>
      </c>
      <c r="AK368" s="317">
        <f>IF(G336="",0,IF($K$2="X - X",VLOOKUP(G336,'Moms de Empt'!$P$3:$T$36,3,0),VLOOKUP(G336,'Moms de Empt'!$P$3:$T$36,5,0)))</f>
        <v>0</v>
      </c>
      <c r="AL368" s="317">
        <f t="shared" si="616"/>
        <v>0</v>
      </c>
      <c r="AM368" s="629"/>
      <c r="AN368" s="629">
        <f>IF(AD369="",0,IF(LOOKUP(AD369,Espesor!$C$8:$C$41,Espesor!$K$8:$K$41)="en voladizo",MAX(ABS(AL368),ABS(AK369)),-(AK369+AL368)))</f>
        <v>0</v>
      </c>
      <c r="AO368" s="630"/>
      <c r="AP368" s="630" t="str">
        <f t="shared" ref="AP368" si="622">IF(AH368="","",AN368*AH368)</f>
        <v/>
      </c>
      <c r="AQ368" s="630"/>
      <c r="AR368" s="630" t="str">
        <f t="shared" ref="AR368" si="623">IF(AJ368="","",AN368*AJ368)</f>
        <v/>
      </c>
      <c r="AS368" s="632"/>
      <c r="AT368" s="631">
        <f t="shared" ref="AT368" si="624">-IF(AN368="","",IF(AL368="",IF(AP368="",0,AP368),IF(AP368="",AL368,AL368+AP368)))</f>
        <v>0</v>
      </c>
      <c r="AU368" s="341">
        <f>+AT368</f>
        <v>0</v>
      </c>
      <c r="AV368" s="332" t="str">
        <f>IF(Q361="","",IF(L336="X - X",VLOOKUP(Q361,'Moms de Empt'!$P$3:$T$36,2,0),VLOOKUP(Q361,'Moms de Empt'!$P$3:$T$36,4,0)))</f>
        <v/>
      </c>
      <c r="AW368" s="635"/>
      <c r="AX368" s="633" t="str">
        <f>IF(AV368="","",IF(AV369="","",ROUND(AV368/(AV368+AV369),3)))</f>
        <v/>
      </c>
      <c r="AY368" s="635"/>
      <c r="AZ368" s="633" t="str">
        <f>IF(AV368="","",IF(AV369="","",ROUND(AV369/(AV368+AV369),3)))</f>
        <v/>
      </c>
      <c r="BA368" s="331" t="str">
        <f t="shared" si="615"/>
        <v/>
      </c>
      <c r="BC368" s="30"/>
      <c r="BD368" s="30"/>
      <c r="BE368" s="30"/>
    </row>
    <row r="369" spans="1:57" ht="21.75" customHeight="1" thickBot="1">
      <c r="A369" s="36" t="s">
        <v>66</v>
      </c>
      <c r="B369" s="273"/>
      <c r="C369" s="36"/>
      <c r="D369" s="672">
        <f>IF(E361="",0,IF(D368=0,IF(E368=0,MAX(ABS(D365),ABS(E365)),E368),MAX(ABS(D368),ABS(E368))))</f>
        <v>0</v>
      </c>
      <c r="E369" s="674"/>
      <c r="F369" s="36"/>
      <c r="G369" s="672">
        <f>IF(H361="",0,IF(G368=0,IF(H368=0,MAX(ABS(G365),ABS(H365)),H368),MAX(ABS(G368),ABS(H368))))</f>
        <v>0</v>
      </c>
      <c r="H369" s="674"/>
      <c r="I369" s="36"/>
      <c r="J369" s="672">
        <f>IF(K361="",0,IF(J368=0,IF(K368=0,MAX(ABS(J365),ABS(K365)),K368),MAX(ABS(J368),ABS(K368))))</f>
        <v>0</v>
      </c>
      <c r="K369" s="674"/>
      <c r="L369" s="36"/>
      <c r="M369" s="672">
        <f>IF(N361="",0,IF(M368=0,IF(N368=0,MAX(ABS(M365),ABS(N365)),N368),MAX(ABS(M368),ABS(N368))))</f>
        <v>0</v>
      </c>
      <c r="N369" s="674"/>
      <c r="O369" s="36"/>
      <c r="P369" s="672">
        <f>IF(Q361="",0,IF(P368=0,IF(Q368=0,MAX(ABS(P365),ABS(Q365)),Q368),MAX(ABS(P368),ABS(Q368))))</f>
        <v>0</v>
      </c>
      <c r="Q369" s="674"/>
      <c r="R369" s="36"/>
      <c r="S369" s="672">
        <f>IF(T361="",0,IF(S368=0,IF(T368=0,MAX(ABS(S365),ABS(T365)),T368),MAX(ABS(S368),ABS(T368))))</f>
        <v>0</v>
      </c>
      <c r="T369" s="674"/>
      <c r="U369" s="265"/>
      <c r="V369" s="672">
        <f>IF(W361="",0,IF(V368=0,IF(W368=0,MAX(ABS(V365),ABS(W365)),W368),MAX(ABS(V368),ABS(W368))))</f>
        <v>0</v>
      </c>
      <c r="W369" s="674"/>
      <c r="X369" s="36"/>
      <c r="Y369" s="672">
        <f>IF(Z361="",0,IF(Y368=0,IF(Z368=0,MAX(ABS(Y365),ABS(Z365)),Z368),MAX(ABS(Y368),ABS(Z368))))</f>
        <v>0</v>
      </c>
      <c r="Z369" s="674"/>
      <c r="AA369" s="37"/>
      <c r="AB369" s="38"/>
      <c r="AD369" s="321" t="str">
        <f>+IF(AK361="","",AK361)</f>
        <v/>
      </c>
      <c r="AE369" s="324" t="str">
        <f>IF(T361="","",IF($K$2="X - X",VLOOKUP(T361,Espesor!$C$8:$E$41,2,0),VLOOKUP(T361,Espesor!$C$8:$E$41,3,0)))</f>
        <v/>
      </c>
      <c r="AF369" s="319" t="str">
        <f>IF(AD369="","",IF(LOOKUP(AD369,Espesor!$C$8:$C$41,Espesor!$K$8:$K$41)="en voladizo","",IF(AD370="",0.75/AE369,1/AE369)))</f>
        <v/>
      </c>
      <c r="AG369" s="634" t="str">
        <f>IF(AF369="","",IF(AF370="","",ROUND(AF369/(AF369+AF370),3)))</f>
        <v/>
      </c>
      <c r="AH369" s="634"/>
      <c r="AI369" s="634" t="str">
        <f>IF(AF370="","",IF(AF369="","",ROUND(AF370/(AF370+AF369),3)))</f>
        <v/>
      </c>
      <c r="AJ369" s="634"/>
      <c r="AK369" s="317">
        <f>IF(H336="",0,IF($K$2="X - X",VLOOKUP(H336,'Moms de Empt'!$P$3:$T$36,3,0),VLOOKUP(H336,'Moms de Empt'!$P$3:$T$36,5,0)))</f>
        <v>0</v>
      </c>
      <c r="AL369" s="317">
        <f>+IF(AD370="",0,-AK369)</f>
        <v>0</v>
      </c>
      <c r="AM369" s="629">
        <f>IF(AD370="",0,IF(LOOKUP(AD370,Espesor!$C$8:$C$41,Espesor!$K$8:$K$41)="en voladizo",MAX(ABS(AL369),ABS(AK370)),-(AK370+AL369)))</f>
        <v>0</v>
      </c>
      <c r="AN369" s="629"/>
      <c r="AO369" s="630" t="str">
        <f>IF(AG369="","",AM369*AG369)</f>
        <v/>
      </c>
      <c r="AP369" s="630"/>
      <c r="AQ369" s="630" t="str">
        <f t="shared" ref="AQ369" si="625">IF(AI369="","",AM369*AI369)</f>
        <v/>
      </c>
      <c r="AR369" s="630"/>
      <c r="AS369" s="631">
        <f>-IF(AM369="","",IF(AL369="",IF(AO369="",0,AO369),IF(AO369="",AL369,AL369+AO369)))</f>
        <v>0</v>
      </c>
      <c r="AT369" s="632"/>
      <c r="AU369" s="341">
        <f>+AS369</f>
        <v>0</v>
      </c>
      <c r="AV369" s="332" t="str">
        <f>IF(T361="","",IF(L336="X - X",VLOOKUP(T361,'Moms de Empt'!$P$3:$T$36,2,0),VLOOKUP(T361,'Moms de Empt'!$P$3:$T$36,4,0)))</f>
        <v/>
      </c>
      <c r="AW369" s="635" t="str">
        <f>IF(AV369="","",IF(AV370="","",ROUND(AV369/(AV369+AV370),3)))</f>
        <v/>
      </c>
      <c r="AX369" s="633"/>
      <c r="AY369" s="635" t="str">
        <f>IF(AV370="","",IF(AV369="","",ROUND(AV370/(AV370+AV369),3)))</f>
        <v/>
      </c>
      <c r="AZ369" s="633"/>
      <c r="BA369" s="331" t="str">
        <f t="shared" si="615"/>
        <v/>
      </c>
      <c r="BC369" s="30"/>
      <c r="BD369" s="30"/>
      <c r="BE369" s="30"/>
    </row>
    <row r="370" spans="1:57" ht="21.75" customHeight="1" thickBot="1">
      <c r="A370" s="36"/>
      <c r="B370" s="274"/>
      <c r="C370" s="36"/>
      <c r="D370" s="690">
        <f>IF(D369="","",D369*100000)</f>
        <v>0</v>
      </c>
      <c r="E370" s="690"/>
      <c r="F370" s="36"/>
      <c r="G370" s="690">
        <f>IF(G369="","",G369*100000)</f>
        <v>0</v>
      </c>
      <c r="H370" s="690"/>
      <c r="I370" s="388"/>
      <c r="J370" s="690">
        <f>IF(J369="","",J369*100000)</f>
        <v>0</v>
      </c>
      <c r="K370" s="690"/>
      <c r="L370" s="388"/>
      <c r="M370" s="690">
        <f>IF(M369="","",M369*100000)</f>
        <v>0</v>
      </c>
      <c r="N370" s="690"/>
      <c r="O370" s="388"/>
      <c r="P370" s="690">
        <f>IF(P369="","",P369*100000)</f>
        <v>0</v>
      </c>
      <c r="Q370" s="690"/>
      <c r="R370" s="388"/>
      <c r="S370" s="690">
        <f>IF(S369="","",S369*100000)</f>
        <v>0</v>
      </c>
      <c r="T370" s="690"/>
      <c r="U370" s="387"/>
      <c r="V370" s="690">
        <f>IF(V369="","",V369*100000)</f>
        <v>0</v>
      </c>
      <c r="W370" s="690"/>
      <c r="X370" s="388"/>
      <c r="Y370" s="690">
        <f>IF(Y369="","",Y369*100000)</f>
        <v>0</v>
      </c>
      <c r="Z370" s="690"/>
      <c r="AA370" s="37"/>
      <c r="AB370" s="275"/>
      <c r="AD370" s="321" t="str">
        <f>+IF(AL361="","",AL361)</f>
        <v/>
      </c>
      <c r="AE370" s="324" t="str">
        <f>IF(W361="","",IF($K$2="X - X",VLOOKUP(W361,Espesor!$C$8:$E$41,2,0),VLOOKUP(W361,Espesor!$C$8:$E$41,3,0)))</f>
        <v/>
      </c>
      <c r="AF370" s="319" t="str">
        <f>IF(AD370="","",IF(LOOKUP(AD370,Espesor!$C$8:$C$41,Espesor!$K$8:$K$41)="en voladizo","",IF(AD371="",0.75/AE370,1/AE370)))</f>
        <v/>
      </c>
      <c r="AG370" s="634"/>
      <c r="AH370" s="634" t="str">
        <f>IF(AF370="","",IF(AF371="","",ROUND(AF370/(AF370+AF371),3)))</f>
        <v/>
      </c>
      <c r="AI370" s="634"/>
      <c r="AJ370" s="634" t="str">
        <f>IF(AF370="","",IF(AF371="","",ROUND(AF371/(AF370+AF371),3)))</f>
        <v/>
      </c>
      <c r="AK370" s="317">
        <f>IF(I336="",0,IF($K$2="X - X",VLOOKUP(I336,'Moms de Empt'!$P$3:$T$36,3,0),VLOOKUP(I336,'Moms de Empt'!$P$3:$T$36,5,0)))</f>
        <v>0</v>
      </c>
      <c r="AL370" s="317">
        <f t="shared" ref="AL370:AL371" si="626">+IF(AD371="",0,-AK370)</f>
        <v>0</v>
      </c>
      <c r="AM370" s="629"/>
      <c r="AN370" s="629">
        <f>IF(AD371="",0,IF(LOOKUP(AD371,Espesor!$C$8:$C$41,Espesor!$K$8:$K$41)="en voladizo",MAX(ABS(AL370),ABS(AK371)),-(AK371+AL370)))</f>
        <v>0</v>
      </c>
      <c r="AO370" s="630"/>
      <c r="AP370" s="630" t="str">
        <f t="shared" ref="AP370" si="627">IF(AH370="","",AN370*AH370)</f>
        <v/>
      </c>
      <c r="AQ370" s="630"/>
      <c r="AR370" s="630" t="str">
        <f t="shared" ref="AR370" si="628">IF(AJ370="","",AN370*AJ370)</f>
        <v/>
      </c>
      <c r="AS370" s="632"/>
      <c r="AT370" s="631">
        <f t="shared" ref="AT370" si="629">-IF(AN370="","",IF(AL370="",IF(AP370="",0,AP370),IF(AP370="",AL370,AL370+AP370)))</f>
        <v>0</v>
      </c>
      <c r="AU370" s="341">
        <f>+AT370</f>
        <v>0</v>
      </c>
      <c r="AV370" s="332" t="str">
        <f>IF(W361="","",IF(L336="X - X",VLOOKUP(W361,'Moms de Empt'!$P$3:$T$36,2,0),VLOOKUP(W361,'Moms de Empt'!$P$3:$T$36,4,0)))</f>
        <v/>
      </c>
      <c r="AW370" s="635"/>
      <c r="AX370" s="633" t="str">
        <f>IF(AV370="","",IF(AV371="","",ROUND(AV370/(AV370+AV371),3)))</f>
        <v/>
      </c>
      <c r="AY370" s="635"/>
      <c r="AZ370" s="633" t="str">
        <f>IF(AV370="","",IF(AV371="","",ROUND(AV371/(AV370+AV371),3)))</f>
        <v/>
      </c>
      <c r="BA370" s="331" t="str">
        <f t="shared" si="615"/>
        <v/>
      </c>
      <c r="BC370" s="393"/>
      <c r="BD370" s="393"/>
      <c r="BE370" s="393"/>
    </row>
    <row r="371" spans="1:57" ht="21.75" customHeight="1" thickBot="1">
      <c r="A371" s="257" t="s">
        <v>127</v>
      </c>
      <c r="B371" s="675" t="str">
        <f>+IF(B361="","",VLOOKUP(B361,'Moms de Empt'!$P$3:$T$36,4,0))</f>
        <v/>
      </c>
      <c r="C371" s="676"/>
      <c r="D371" s="677"/>
      <c r="E371" s="675" t="str">
        <f>+IF(E361="","",VLOOKUP(E361,'Moms de Empt'!$P$3:$T$36,4,0))</f>
        <v/>
      </c>
      <c r="F371" s="676"/>
      <c r="G371" s="677"/>
      <c r="H371" s="675" t="str">
        <f>+IF(H361="","",VLOOKUP(H361,'Moms de Empt'!$P$3:$T$36,4,0))</f>
        <v/>
      </c>
      <c r="I371" s="676"/>
      <c r="J371" s="677"/>
      <c r="K371" s="675" t="str">
        <f>+IF(K361="","",VLOOKUP(K361,'Moms de Empt'!$P$3:$T$36,4,0))</f>
        <v/>
      </c>
      <c r="L371" s="676"/>
      <c r="M371" s="677"/>
      <c r="N371" s="675" t="str">
        <f>+IF(N361="","",VLOOKUP(N361,'Moms de Empt'!$P$3:$T$36,4,0))</f>
        <v/>
      </c>
      <c r="O371" s="676"/>
      <c r="P371" s="677"/>
      <c r="Q371" s="675" t="str">
        <f>+IF(Q361="","",VLOOKUP(Q361,'Moms de Empt'!$P$3:$T$36,4,0))</f>
        <v/>
      </c>
      <c r="R371" s="676"/>
      <c r="S371" s="677"/>
      <c r="T371" s="675" t="str">
        <f>+IF(T361="","",VLOOKUP(T361,'Moms de Empt'!$P$3:$T$36,4,0))</f>
        <v/>
      </c>
      <c r="U371" s="676"/>
      <c r="V371" s="677"/>
      <c r="W371" s="675" t="str">
        <f>+IF(W361="","",VLOOKUP(W361,'Moms de Empt'!$P$3:$T$36,4,0))</f>
        <v/>
      </c>
      <c r="X371" s="676"/>
      <c r="Y371" s="677"/>
      <c r="Z371" s="675" t="str">
        <f>+IF(Z361="","",VLOOKUP(Z361,'Moms de Empt'!$P$3:$T$36,4,0))</f>
        <v/>
      </c>
      <c r="AA371" s="676"/>
      <c r="AB371" s="677"/>
      <c r="AD371" s="321" t="str">
        <f>+IF(AM361="","",AM361)</f>
        <v/>
      </c>
      <c r="AE371" s="324" t="str">
        <f>IF(Z361="","",IF($K$2="X - X",VLOOKUP(Z361,Espesor!$C$8:$E$41,2,0),VLOOKUP(Z361,Espesor!$C$8:$E$41,3,0)))</f>
        <v/>
      </c>
      <c r="AF371" s="319" t="str">
        <f>IF(AD371="","",IF(LOOKUP(AD371,Espesor!$C$8:$C$41,Espesor!$K$8:$K$41)="en voladizo","",IF(AD372="",0.75/AE371,1/AE371)))</f>
        <v/>
      </c>
      <c r="AG371" s="344" t="str">
        <f>IF(AF371="","",IF(AK345="","",ROUND(AF371/(AF371+AK345),3)))</f>
        <v/>
      </c>
      <c r="AH371" s="634"/>
      <c r="AI371" s="344" t="str">
        <f>IF(AK345="","",IF(AF371="","",ROUND(AK345/(AK345+AF371),3)))</f>
        <v/>
      </c>
      <c r="AJ371" s="634"/>
      <c r="AK371" s="317">
        <f>IF(J336="",0,IF($K$2="X - X",VLOOKUP(J336,'Moms de Empt'!$P$3:$T$36,3,0),VLOOKUP(J336,'Moms de Empt'!$P$3:$T$36,5,0)))</f>
        <v>0</v>
      </c>
      <c r="AL371" s="317">
        <f t="shared" si="626"/>
        <v>0</v>
      </c>
      <c r="AM371" s="307" t="str">
        <f>IF(AI345="","",IF(LOOKUP(AI345,[6]Espesor!$C$8:$C$41,[6]Espesor!$K$8:$K$41)="en voladizo",MAX(ABS(AL371),ABS(AQ345)),-(AQ345-AL371)))</f>
        <v/>
      </c>
      <c r="AN371" s="629"/>
      <c r="AO371" s="340" t="str">
        <f t="shared" ref="AO371" si="630">IF(AG371="","",AM371*AG371)</f>
        <v/>
      </c>
      <c r="AP371" s="630"/>
      <c r="AQ371" s="315" t="str">
        <f t="shared" ref="AQ371" si="631">IF(AI371="","",AM371*AI371)</f>
        <v/>
      </c>
      <c r="AR371" s="630"/>
      <c r="AS371" s="312" t="str">
        <f t="shared" ref="AS371" si="632">IF(AM371="","",IF(AL371="",IF(AO371="",0,AO371),IF(AO371="",AL371,AL371+AO371)))</f>
        <v/>
      </c>
      <c r="AT371" s="632"/>
      <c r="AU371" s="341"/>
      <c r="AV371" s="333" t="str">
        <f>IF(Z361="","",IF(L336="X - X",VLOOKUP(Z361,'Moms de Empt'!$P$3:$T$36,2,0),VLOOKUP(Z361,'Moms de Empt'!$P$3:$T$36,4,0)))</f>
        <v/>
      </c>
      <c r="AW371" s="337" t="str">
        <f>IF(AV371="","",IF(BA345="","",ROUND(AV371/(AV371+BA345),3)))</f>
        <v/>
      </c>
      <c r="AX371" s="633"/>
      <c r="AY371" s="337" t="str">
        <f>IF(BA345="","",IF(AV371="","",ROUND(BA345/(BA345+AV371),3)))</f>
        <v/>
      </c>
      <c r="AZ371" s="633"/>
      <c r="BA371" s="331"/>
      <c r="BC371" s="393"/>
      <c r="BD371" s="393"/>
      <c r="BE371" s="393"/>
    </row>
    <row r="372" spans="1:57" ht="21.75" customHeight="1" thickBot="1">
      <c r="A372" s="258"/>
      <c r="B372" s="209"/>
      <c r="C372" s="209"/>
      <c r="D372" s="209" t="str">
        <f>IF(B363="","",IF(D365="","",IF(ABS(D369)&gt;ABS(D365),-0.5*ABS(D367),0.5*ABS(D367))))</f>
        <v/>
      </c>
      <c r="E372" s="209" t="str">
        <f>IF(E363="","",IF(E365="","",IF(ABS(D369)&gt;ABS(E365),-0.5*ABS(E367),0.5*ABS(E367))))</f>
        <v/>
      </c>
      <c r="F372" s="209"/>
      <c r="G372" s="209" t="str">
        <f>IF(E363="","",IF(G365="","",IF(ABS(G369)&gt;ABS(G365),-0.5*ABS(G367),0.5*ABS(G367))))</f>
        <v/>
      </c>
      <c r="H372" s="209" t="str">
        <f>IF(H363="","",IF(H365="","",IF(ABS(G369)&gt;ABS(H365),-0.5*ABS(H367),0.5*ABS(H367))))</f>
        <v/>
      </c>
      <c r="I372" s="209"/>
      <c r="J372" s="209" t="str">
        <f>IF(H363="","",IF(J365="","",IF(ABS(J369)&gt;ABS(J365),-0.5*ABS(J367),0.5*ABS(J367))))</f>
        <v/>
      </c>
      <c r="K372" s="209" t="str">
        <f>IF(K363="","",IF(K365="","",IF(ABS(J369)&gt;ABS(K365),-0.5*ABS(K367),0.5*ABS(K367))))</f>
        <v/>
      </c>
      <c r="L372" s="209"/>
      <c r="M372" s="209" t="str">
        <f>IF(K363="","",IF(M365="","",IF(ABS(M369)&gt;ABS(M365),-0.5*ABS(M367),0.5*ABS(M367))))</f>
        <v/>
      </c>
      <c r="N372" s="209" t="str">
        <f>IF(N363="","",IF(N365="","",IF(ABS(M369)&gt;ABS(N365),-0.5*ABS(N367),0.5*ABS(N367))))</f>
        <v/>
      </c>
      <c r="O372" s="209"/>
      <c r="P372" s="209" t="str">
        <f>IF(N363="","",IF(P365="","",IF(ABS(P369)&gt;ABS(P365),-0.5*ABS(P367),0.5*ABS(P367))))</f>
        <v/>
      </c>
      <c r="Q372" s="209" t="str">
        <f>IF(Q363="","",IF(Q365="","",IF(ABS(P369)&gt;ABS(Q365),-0.5*ABS(Q367),0.5*ABS(Q367))))</f>
        <v/>
      </c>
      <c r="R372" s="209"/>
      <c r="S372" s="209" t="str">
        <f>IF(Q363="","",IF(S365="","",IF(ABS(S369)&gt;ABS(S365),-0.5*ABS(S367),0.5*ABS(S367))))</f>
        <v/>
      </c>
      <c r="T372" s="209" t="str">
        <f>IF(T363="","",IF(T365="","",IF(ABS(S369)&gt;ABS(T365),-0.5*ABS(T367),0.5*ABS(T367))))</f>
        <v/>
      </c>
      <c r="U372" s="209"/>
      <c r="V372" s="209" t="str">
        <f>IF(T363="","",IF(V365="","",IF(ABS(V369)&gt;ABS(V365),-0.5*ABS(V367),0.5*ABS(V367))))</f>
        <v/>
      </c>
      <c r="W372" s="209" t="str">
        <f>IF(W363="","",IF(W365="","",IF(ABS(V369)&gt;ABS(W365),-0.5*ABS(W367),0.5*ABS(W367))))</f>
        <v/>
      </c>
      <c r="X372" s="209"/>
      <c r="Y372" s="209" t="str">
        <f>IF(W363="","",IF(Y365="","",IF(ABS(Y369)&gt;ABS(Y365),-0.5*ABS(Y367),0.5*ABS(Y367))))</f>
        <v/>
      </c>
      <c r="Z372" s="209" t="str">
        <f>IF(Z363="","",IF(Z365="","",IF(ABS(Y369)&gt;ABS(Z365),-0.5*ABS(Z367),0.5*ABS(Z367))))</f>
        <v/>
      </c>
      <c r="AA372" s="209"/>
      <c r="AB372" s="209" t="str">
        <f>IF(Z363="","",IF(AB365="","",IF(AB369&gt;-AB365,IF(AB367&lt;0,0.5*AB367,-0.5*AB367),0.5*AB367)))</f>
        <v/>
      </c>
      <c r="AD372" s="39"/>
      <c r="AE372" s="260"/>
      <c r="AF372" s="39"/>
      <c r="AG372" s="39"/>
      <c r="AH372" s="39"/>
      <c r="AI372" s="260"/>
      <c r="AJ372" s="260"/>
      <c r="AK372" s="39"/>
      <c r="AL372" s="39"/>
      <c r="AM372" s="260"/>
      <c r="AN372" s="260"/>
      <c r="AO372" s="39"/>
      <c r="AP372" s="39"/>
      <c r="AQ372" s="39"/>
      <c r="AR372" s="39"/>
      <c r="AS372" s="260"/>
      <c r="AT372" s="260"/>
      <c r="AU372" s="260"/>
      <c r="AV372" s="260"/>
      <c r="AW372" s="260"/>
      <c r="AX372" s="260"/>
      <c r="AY372" s="260"/>
      <c r="AZ372" s="260"/>
      <c r="BA372" s="260"/>
      <c r="BC372" s="278"/>
      <c r="BD372" s="278"/>
      <c r="BE372" s="278"/>
    </row>
    <row r="373" spans="1:57" ht="21.75" customHeight="1" thickBot="1">
      <c r="A373" s="259" t="s">
        <v>128</v>
      </c>
      <c r="B373" s="672" t="str">
        <f>IF(B372="",IF(D372="",B371,B371+D372),IF(D372="",B371+B372,B371+B372+D372))</f>
        <v/>
      </c>
      <c r="C373" s="673"/>
      <c r="D373" s="674"/>
      <c r="E373" s="672" t="str">
        <f>IF(E372="",IF(G372="",E371,E371+G372),IF(G372="",E371+E372,E371+E372+G372))</f>
        <v/>
      </c>
      <c r="F373" s="673"/>
      <c r="G373" s="674"/>
      <c r="H373" s="672" t="str">
        <f>IF(H372="",IF(J372="",H371,H371+J372),IF(J372="",H371+H372,H371+H372+J372))</f>
        <v/>
      </c>
      <c r="I373" s="673"/>
      <c r="J373" s="674"/>
      <c r="K373" s="672" t="str">
        <f>IF(K372="",IF(M372="",K371,K371+M372),IF(M372="",K371+K372,K371+K372+M372))</f>
        <v/>
      </c>
      <c r="L373" s="673"/>
      <c r="M373" s="674"/>
      <c r="N373" s="672" t="str">
        <f>IF(N372="",IF(P372="",N371,N371+P372),IF(P372="",N371+N372,N371+N372+P372))</f>
        <v/>
      </c>
      <c r="O373" s="673"/>
      <c r="P373" s="674"/>
      <c r="Q373" s="672" t="str">
        <f>IF(Q372="",IF(S372="",Q371,Q371+S372),IF(S372="",Q371+Q372,Q371+Q372+S372))</f>
        <v/>
      </c>
      <c r="R373" s="673"/>
      <c r="S373" s="674"/>
      <c r="T373" s="672" t="str">
        <f>IF(T372="",IF(V372="",T371,T371+V372),IF(V372="",T371+T372,T371+T372+V372))</f>
        <v/>
      </c>
      <c r="U373" s="673"/>
      <c r="V373" s="674"/>
      <c r="W373" s="672" t="str">
        <f>IF(W372="",IF(Y372="",W371,W371+Y372),IF(Y372="",W371+W372,W371+W372+Y372))</f>
        <v/>
      </c>
      <c r="X373" s="673"/>
      <c r="Y373" s="674"/>
      <c r="Z373" s="672" t="str">
        <f>IF(Z372="",IF(AB372="",Z371,Z371+AB372),IF(AB372="",Z371+Z372,Z371+Z372+AB372))</f>
        <v/>
      </c>
      <c r="AA373" s="673"/>
      <c r="AB373" s="674"/>
    </row>
    <row r="374" spans="1:57" ht="21.75" customHeight="1">
      <c r="BC374" s="395"/>
      <c r="BD374" s="395"/>
      <c r="BE374" s="395"/>
    </row>
    <row r="375" spans="1:57" ht="21.75" customHeight="1">
      <c r="AD375" s="263"/>
      <c r="AE375" s="263"/>
      <c r="AF375" s="263"/>
      <c r="AG375" s="263"/>
      <c r="AH375" s="263"/>
      <c r="AI375" s="263"/>
      <c r="AJ375" s="263"/>
      <c r="AK375" s="263"/>
      <c r="AL375" s="263"/>
      <c r="AM375" s="263"/>
      <c r="AN375" s="263"/>
      <c r="AO375" s="263"/>
      <c r="AP375" s="263"/>
      <c r="AQ375" s="263"/>
      <c r="AR375" s="263"/>
      <c r="AS375" s="263"/>
      <c r="AT375" s="263"/>
      <c r="AU375" s="263"/>
      <c r="AV375" s="263"/>
      <c r="AW375" s="263"/>
      <c r="AX375" s="263"/>
      <c r="AY375" s="263"/>
      <c r="AZ375" s="263"/>
      <c r="BA375" s="263"/>
    </row>
    <row r="376" spans="1:57" ht="21.75" customHeight="1">
      <c r="AD376" s="263"/>
      <c r="AE376" s="263"/>
      <c r="AF376" s="263"/>
      <c r="AG376" s="263"/>
      <c r="AH376" s="263"/>
      <c r="AI376" s="263"/>
      <c r="AJ376" s="263"/>
      <c r="AK376" s="263"/>
      <c r="AL376" s="263"/>
      <c r="AM376" s="263"/>
      <c r="AN376" s="263"/>
      <c r="AO376" s="263"/>
      <c r="AP376" s="263"/>
      <c r="AQ376" s="263"/>
      <c r="AR376" s="263"/>
      <c r="AS376" s="263"/>
      <c r="AT376" s="263"/>
      <c r="AU376" s="263"/>
      <c r="AV376" s="263"/>
      <c r="AW376" s="263"/>
      <c r="AX376" s="263"/>
      <c r="AY376" s="263"/>
      <c r="AZ376" s="263"/>
      <c r="BA376" s="263"/>
    </row>
    <row r="377" spans="1:57" ht="21.75" customHeight="1">
      <c r="AD377" s="262"/>
      <c r="AE377" s="262"/>
      <c r="AF377" s="262"/>
      <c r="AG377" s="262"/>
      <c r="AH377" s="262"/>
      <c r="AI377" s="262"/>
      <c r="AJ377" s="262"/>
      <c r="AK377" s="262"/>
      <c r="AL377" s="262"/>
      <c r="AM377" s="262"/>
      <c r="AN377" s="262"/>
      <c r="AO377" s="262"/>
      <c r="AP377" s="262"/>
      <c r="AQ377" s="262"/>
      <c r="AR377" s="262"/>
      <c r="AS377" s="262"/>
      <c r="AT377" s="262"/>
      <c r="AU377" s="262"/>
      <c r="AV377" s="262"/>
      <c r="AW377" s="262"/>
      <c r="AX377" s="262"/>
      <c r="AY377" s="262"/>
      <c r="AZ377" s="262"/>
      <c r="BA377" s="262"/>
      <c r="BC377" s="397"/>
      <c r="BD377" s="397"/>
      <c r="BE377" s="397"/>
    </row>
    <row r="378" spans="1:57" ht="21.75" customHeight="1">
      <c r="AD378" s="262"/>
      <c r="AE378" s="262"/>
      <c r="AF378" s="262"/>
      <c r="AG378" s="262"/>
      <c r="AH378" s="262"/>
      <c r="AI378" s="262"/>
      <c r="AJ378" s="262"/>
      <c r="AK378" s="262"/>
      <c r="AL378" s="262"/>
      <c r="AM378" s="262"/>
      <c r="AN378" s="262"/>
      <c r="AO378" s="262"/>
      <c r="AP378" s="262"/>
      <c r="AQ378" s="262"/>
      <c r="AR378" s="262"/>
      <c r="AS378" s="262"/>
      <c r="AT378" s="262"/>
      <c r="AU378" s="262"/>
      <c r="AV378" s="262"/>
      <c r="AW378" s="262"/>
      <c r="AX378" s="262"/>
      <c r="AY378" s="262"/>
      <c r="AZ378" s="262"/>
      <c r="BA378" s="262"/>
      <c r="BB378" s="262"/>
      <c r="BC378" s="397"/>
      <c r="BD378" s="397"/>
      <c r="BE378" s="397"/>
    </row>
    <row r="379" spans="1:57" ht="21.75" customHeight="1">
      <c r="AD379" s="262"/>
      <c r="AE379" s="262"/>
      <c r="AF379" s="262"/>
      <c r="AG379" s="262"/>
      <c r="AH379" s="262"/>
      <c r="AI379" s="262"/>
      <c r="AJ379" s="262"/>
      <c r="AK379" s="262"/>
      <c r="AL379" s="262"/>
      <c r="AM379" s="262"/>
      <c r="AN379" s="262"/>
      <c r="AO379" s="262"/>
      <c r="AP379" s="262"/>
      <c r="AQ379" s="262"/>
      <c r="AR379" s="262"/>
      <c r="AS379" s="262"/>
      <c r="AT379" s="262"/>
      <c r="AU379" s="262"/>
      <c r="AV379" s="262"/>
      <c r="AW379" s="262"/>
      <c r="AX379" s="262"/>
      <c r="AY379" s="262"/>
      <c r="AZ379" s="262"/>
      <c r="BA379" s="262"/>
      <c r="BB379" s="262"/>
      <c r="BE379" s="28"/>
    </row>
    <row r="380" spans="1:57" ht="21.75" customHeight="1">
      <c r="AD380" s="262"/>
      <c r="AE380" s="262"/>
      <c r="AF380" s="262"/>
      <c r="AG380" s="262"/>
      <c r="AH380" s="262"/>
      <c r="AI380" s="262"/>
      <c r="AJ380" s="262"/>
      <c r="AK380" s="262"/>
      <c r="AL380" s="262"/>
      <c r="AM380" s="262"/>
      <c r="AN380" s="262"/>
      <c r="AO380" s="262"/>
      <c r="AP380" s="262"/>
      <c r="AQ380" s="262"/>
      <c r="AR380" s="262"/>
      <c r="AS380" s="262"/>
      <c r="AT380" s="262"/>
      <c r="AU380" s="262"/>
      <c r="AV380" s="262"/>
      <c r="AW380" s="262"/>
      <c r="AX380" s="262"/>
      <c r="AY380" s="262"/>
      <c r="AZ380" s="262"/>
      <c r="BA380" s="262"/>
      <c r="BB380" s="262"/>
      <c r="BC380" s="420"/>
      <c r="BD380" s="420"/>
      <c r="BE380" s="243"/>
    </row>
    <row r="381" spans="1:57" ht="21.75" customHeight="1">
      <c r="AD381" s="262"/>
      <c r="AE381" s="262"/>
      <c r="AF381" s="262"/>
      <c r="AG381" s="262"/>
      <c r="AH381" s="262"/>
      <c r="AI381" s="262"/>
      <c r="AJ381" s="262"/>
      <c r="AK381" s="262"/>
      <c r="AL381" s="262"/>
      <c r="AM381" s="262"/>
      <c r="AN381" s="262"/>
      <c r="AO381" s="262"/>
      <c r="AP381" s="262"/>
      <c r="AQ381" s="262"/>
      <c r="AR381" s="262"/>
      <c r="AS381" s="262"/>
      <c r="AT381" s="262"/>
      <c r="AU381" s="262"/>
      <c r="AV381" s="262"/>
      <c r="AW381" s="262"/>
      <c r="AX381" s="262"/>
      <c r="AY381" s="262"/>
      <c r="AZ381" s="262"/>
      <c r="BA381" s="262"/>
      <c r="BB381" s="262"/>
      <c r="BC381" s="413"/>
      <c r="BD381" s="413"/>
      <c r="BE381" s="244"/>
    </row>
    <row r="382" spans="1:57" ht="21.75" customHeight="1">
      <c r="AD382" s="262"/>
      <c r="AE382" s="262"/>
      <c r="AF382" s="262"/>
      <c r="AG382" s="262"/>
      <c r="AH382" s="262"/>
      <c r="AI382" s="262"/>
      <c r="AJ382" s="262"/>
      <c r="AK382" s="262"/>
      <c r="AL382" s="262"/>
      <c r="AM382" s="262"/>
      <c r="AN382" s="262"/>
      <c r="AO382" s="262"/>
      <c r="AP382" s="262"/>
      <c r="AQ382" s="262"/>
      <c r="AR382" s="262"/>
      <c r="AS382" s="262"/>
      <c r="AT382" s="262"/>
      <c r="AU382" s="262"/>
      <c r="AV382" s="262"/>
      <c r="AW382" s="262"/>
      <c r="AX382" s="262"/>
      <c r="AY382" s="262"/>
      <c r="AZ382" s="262"/>
      <c r="BA382" s="262"/>
      <c r="BB382" s="262"/>
      <c r="BC382" s="278"/>
      <c r="BD382" s="278"/>
      <c r="BE382" s="389"/>
    </row>
    <row r="383" spans="1:57" ht="21.75" customHeight="1">
      <c r="AD383" s="262"/>
      <c r="AE383" s="262"/>
      <c r="AF383" s="262"/>
      <c r="AG383" s="262"/>
      <c r="AH383" s="262"/>
      <c r="AI383" s="262"/>
      <c r="AJ383" s="262"/>
      <c r="AK383" s="262"/>
      <c r="AL383" s="262"/>
      <c r="AM383" s="262"/>
      <c r="AN383" s="262"/>
      <c r="AO383" s="262"/>
      <c r="AP383" s="262"/>
      <c r="AQ383" s="262"/>
      <c r="AR383" s="262"/>
      <c r="AS383" s="262"/>
      <c r="AT383" s="262"/>
      <c r="AU383" s="262"/>
      <c r="AV383" s="262"/>
      <c r="AW383" s="262"/>
      <c r="AX383" s="262"/>
      <c r="AY383" s="262"/>
      <c r="AZ383" s="262"/>
      <c r="BA383" s="262"/>
      <c r="BB383" s="262"/>
      <c r="BC383" s="30"/>
      <c r="BD383" s="30"/>
      <c r="BE383" s="30"/>
    </row>
    <row r="384" spans="1:57" ht="21.75" customHeight="1">
      <c r="AD384" s="262"/>
      <c r="AE384" s="262"/>
      <c r="AF384" s="262"/>
      <c r="AG384" s="262"/>
      <c r="AH384" s="262"/>
      <c r="AI384" s="262"/>
      <c r="AJ384" s="262"/>
      <c r="AK384" s="262"/>
      <c r="AL384" s="262"/>
      <c r="AM384" s="262"/>
      <c r="AN384" s="262"/>
      <c r="AO384" s="262"/>
      <c r="AP384" s="262"/>
      <c r="AQ384" s="262"/>
      <c r="AR384" s="262"/>
      <c r="AS384" s="262"/>
      <c r="AT384" s="262"/>
      <c r="AU384" s="262"/>
      <c r="AV384" s="262"/>
      <c r="AW384" s="262"/>
      <c r="AX384" s="262"/>
      <c r="AY384" s="262"/>
      <c r="AZ384" s="262"/>
      <c r="BA384" s="262"/>
      <c r="BB384" s="262"/>
      <c r="BC384" s="392"/>
      <c r="BD384" s="392"/>
      <c r="BE384" s="392"/>
    </row>
    <row r="385" spans="30:57" ht="21.75" customHeight="1">
      <c r="AD385" s="262"/>
      <c r="AE385" s="262"/>
      <c r="AF385" s="262"/>
      <c r="AG385" s="262"/>
      <c r="AH385" s="262"/>
      <c r="AI385" s="262"/>
      <c r="AJ385" s="262"/>
      <c r="AK385" s="262"/>
      <c r="AL385" s="262"/>
      <c r="AM385" s="262"/>
      <c r="AN385" s="262"/>
      <c r="AO385" s="262"/>
      <c r="AP385" s="262"/>
      <c r="AQ385" s="262"/>
      <c r="AR385" s="262"/>
      <c r="AS385" s="262"/>
      <c r="AT385" s="262"/>
      <c r="AU385" s="262"/>
      <c r="AV385" s="262"/>
      <c r="AW385" s="262"/>
      <c r="AX385" s="262"/>
      <c r="AY385" s="262"/>
      <c r="AZ385" s="262"/>
      <c r="BA385" s="262"/>
      <c r="BB385" s="262"/>
      <c r="BC385" s="406"/>
      <c r="BD385" s="406"/>
      <c r="BE385" s="406"/>
    </row>
    <row r="386" spans="30:57" ht="21.75" customHeight="1">
      <c r="AD386" s="262"/>
      <c r="AE386" s="262"/>
      <c r="AF386" s="262"/>
      <c r="AG386" s="262"/>
      <c r="AH386" s="262"/>
      <c r="AI386" s="262"/>
      <c r="AJ386" s="262"/>
      <c r="AK386" s="262"/>
      <c r="AL386" s="262"/>
      <c r="AM386" s="262"/>
      <c r="AN386" s="262"/>
      <c r="AO386" s="262"/>
      <c r="AP386" s="262"/>
      <c r="AQ386" s="262"/>
      <c r="AR386" s="262"/>
      <c r="AS386" s="262"/>
      <c r="AT386" s="262"/>
      <c r="AU386" s="262"/>
      <c r="AV386" s="262"/>
      <c r="AW386" s="262"/>
      <c r="AX386" s="262"/>
      <c r="AY386" s="262"/>
      <c r="AZ386" s="262"/>
      <c r="BA386" s="262"/>
      <c r="BB386" s="262"/>
      <c r="BC386" s="30"/>
      <c r="BD386" s="30"/>
      <c r="BE386" s="30"/>
    </row>
    <row r="387" spans="30:57" ht="21.75" customHeight="1">
      <c r="AD387" s="262"/>
      <c r="AE387" s="262"/>
      <c r="AF387" s="262"/>
      <c r="AG387" s="262"/>
      <c r="AH387" s="262"/>
      <c r="AI387" s="262"/>
      <c r="AJ387" s="262"/>
      <c r="AK387" s="262"/>
      <c r="AL387" s="262"/>
      <c r="AM387" s="262"/>
      <c r="AN387" s="262"/>
      <c r="AO387" s="262"/>
      <c r="AP387" s="262"/>
      <c r="AQ387" s="262"/>
      <c r="AR387" s="262"/>
      <c r="AS387" s="262"/>
      <c r="AT387" s="262"/>
      <c r="AU387" s="262"/>
      <c r="AV387" s="262"/>
      <c r="AW387" s="262"/>
      <c r="AX387" s="262"/>
      <c r="AY387" s="262"/>
      <c r="AZ387" s="262"/>
      <c r="BA387" s="262"/>
      <c r="BB387" s="262"/>
      <c r="BC387" s="30"/>
      <c r="BD387" s="30"/>
      <c r="BE387" s="30"/>
    </row>
    <row r="388" spans="30:57" ht="21.75" customHeight="1">
      <c r="AD388" s="262"/>
      <c r="AE388" s="262"/>
      <c r="AF388" s="262"/>
      <c r="AG388" s="262"/>
      <c r="AH388" s="262"/>
      <c r="AI388" s="262"/>
      <c r="AJ388" s="262"/>
      <c r="AK388" s="262"/>
      <c r="AL388" s="262"/>
      <c r="AM388" s="262"/>
      <c r="AN388" s="262"/>
      <c r="AO388" s="262"/>
      <c r="AP388" s="262"/>
      <c r="AQ388" s="262"/>
      <c r="AR388" s="262"/>
      <c r="AS388" s="262"/>
      <c r="AT388" s="262"/>
      <c r="AU388" s="262"/>
      <c r="AV388" s="262"/>
      <c r="AW388" s="262"/>
      <c r="AX388" s="262"/>
      <c r="AY388" s="262"/>
      <c r="AZ388" s="262"/>
      <c r="BA388" s="262"/>
      <c r="BB388" s="262"/>
      <c r="BC388" s="393"/>
      <c r="BD388" s="393"/>
      <c r="BE388" s="393"/>
    </row>
    <row r="389" spans="30:57" ht="21.75" customHeight="1">
      <c r="AD389" s="262"/>
      <c r="AE389" s="262"/>
      <c r="AF389" s="262"/>
      <c r="AG389" s="262"/>
      <c r="AH389" s="262"/>
      <c r="AI389" s="262"/>
      <c r="AJ389" s="262"/>
      <c r="AK389" s="262"/>
      <c r="AL389" s="262"/>
      <c r="AM389" s="262"/>
      <c r="AN389" s="262"/>
      <c r="AO389" s="262"/>
      <c r="AP389" s="262"/>
      <c r="AQ389" s="262"/>
      <c r="AR389" s="262"/>
      <c r="AS389" s="262"/>
      <c r="AT389" s="262"/>
      <c r="AU389" s="262"/>
      <c r="AV389" s="262"/>
      <c r="AW389" s="262"/>
      <c r="AX389" s="262"/>
      <c r="AY389" s="262"/>
      <c r="AZ389" s="262"/>
      <c r="BA389" s="262"/>
      <c r="BB389" s="262"/>
      <c r="BC389" s="393"/>
      <c r="BD389" s="393"/>
      <c r="BE389" s="393"/>
    </row>
    <row r="390" spans="30:57" ht="21.75" customHeight="1">
      <c r="AD390" s="262"/>
      <c r="AE390" s="262"/>
      <c r="AF390" s="262"/>
      <c r="AG390" s="262"/>
      <c r="AH390" s="262"/>
      <c r="AI390" s="262"/>
      <c r="AJ390" s="262"/>
      <c r="AK390" s="262"/>
      <c r="AL390" s="262"/>
      <c r="AM390" s="262"/>
      <c r="AN390" s="262"/>
      <c r="AO390" s="262"/>
      <c r="AP390" s="262"/>
      <c r="AQ390" s="262"/>
      <c r="AR390" s="262"/>
      <c r="AS390" s="262"/>
      <c r="AT390" s="262"/>
      <c r="AU390" s="262"/>
      <c r="AV390" s="262"/>
      <c r="AW390" s="262"/>
      <c r="AX390" s="262"/>
      <c r="AY390" s="262"/>
      <c r="AZ390" s="262"/>
      <c r="BA390" s="262"/>
      <c r="BB390" s="262"/>
      <c r="BC390" s="278"/>
      <c r="BD390" s="278"/>
      <c r="BE390" s="278"/>
    </row>
    <row r="391" spans="30:57" ht="21.75" customHeight="1">
      <c r="AD391" s="262"/>
      <c r="AE391" s="262"/>
      <c r="AF391" s="262"/>
      <c r="AG391" s="262"/>
      <c r="AH391" s="262"/>
      <c r="AI391" s="262"/>
      <c r="AJ391" s="262"/>
      <c r="AK391" s="262"/>
      <c r="AL391" s="262"/>
      <c r="AM391" s="262"/>
      <c r="AN391" s="262"/>
      <c r="AO391" s="262"/>
      <c r="AP391" s="262"/>
      <c r="AQ391" s="262"/>
      <c r="AR391" s="262"/>
      <c r="AS391" s="262"/>
      <c r="AT391" s="262"/>
      <c r="AU391" s="262"/>
      <c r="AV391" s="262"/>
      <c r="AW391" s="262"/>
      <c r="AX391" s="262"/>
      <c r="AY391" s="262"/>
      <c r="AZ391" s="262"/>
      <c r="BA391" s="262"/>
      <c r="BB391" s="262"/>
    </row>
    <row r="392" spans="30:57" ht="21.75" customHeight="1">
      <c r="AD392" s="262"/>
      <c r="AE392" s="262"/>
      <c r="AF392" s="262"/>
      <c r="AG392" s="262"/>
      <c r="AH392" s="262"/>
      <c r="AI392" s="262"/>
      <c r="AJ392" s="262"/>
      <c r="AK392" s="262"/>
      <c r="AL392" s="262"/>
      <c r="AM392" s="262"/>
      <c r="AN392" s="262"/>
      <c r="AO392" s="262"/>
      <c r="AP392" s="262"/>
      <c r="AQ392" s="262"/>
      <c r="AR392" s="262"/>
      <c r="AS392" s="262"/>
      <c r="AT392" s="262"/>
      <c r="AU392" s="262"/>
      <c r="AV392" s="262"/>
      <c r="AW392" s="262"/>
      <c r="AX392" s="262"/>
      <c r="AY392" s="262"/>
      <c r="AZ392" s="262"/>
      <c r="BA392" s="262"/>
      <c r="BB392" s="262"/>
      <c r="BC392" s="395"/>
      <c r="BD392" s="395"/>
      <c r="BE392" s="395"/>
    </row>
    <row r="393" spans="30:57" ht="21.75" customHeight="1">
      <c r="AD393" s="262"/>
      <c r="AE393" s="262"/>
      <c r="AF393" s="262"/>
      <c r="AG393" s="262"/>
      <c r="AH393" s="262"/>
      <c r="AI393" s="262"/>
      <c r="AJ393" s="262"/>
      <c r="AK393" s="262"/>
      <c r="AL393" s="262"/>
      <c r="AM393" s="262"/>
      <c r="AN393" s="262"/>
      <c r="AO393" s="262"/>
      <c r="AP393" s="262"/>
      <c r="AQ393" s="262"/>
      <c r="AR393" s="262"/>
      <c r="AS393" s="262"/>
      <c r="AT393" s="262"/>
      <c r="AU393" s="262"/>
      <c r="AV393" s="262"/>
      <c r="AW393" s="262"/>
      <c r="AX393" s="262"/>
      <c r="AY393" s="262"/>
      <c r="AZ393" s="262"/>
      <c r="BA393" s="262"/>
      <c r="BB393" s="262"/>
    </row>
    <row r="394" spans="30:57" ht="21.75" customHeight="1">
      <c r="AD394" s="262"/>
      <c r="AE394" s="262"/>
      <c r="AF394" s="262"/>
      <c r="AG394" s="262"/>
      <c r="AH394" s="262"/>
      <c r="AI394" s="262"/>
      <c r="AJ394" s="262"/>
      <c r="AK394" s="262"/>
      <c r="AL394" s="262"/>
      <c r="AM394" s="262"/>
      <c r="AN394" s="262"/>
      <c r="AO394" s="262"/>
      <c r="AP394" s="262"/>
      <c r="AQ394" s="262"/>
      <c r="AR394" s="262"/>
      <c r="AS394" s="262"/>
      <c r="AT394" s="262"/>
      <c r="AU394" s="262"/>
      <c r="AV394" s="262"/>
      <c r="AW394" s="262"/>
      <c r="AX394" s="262"/>
      <c r="AY394" s="262"/>
      <c r="AZ394" s="262"/>
      <c r="BA394" s="262"/>
      <c r="BB394" s="262"/>
      <c r="BC394" s="397"/>
      <c r="BD394" s="397"/>
      <c r="BE394" s="397"/>
    </row>
    <row r="395" spans="30:57" ht="21.75" customHeight="1">
      <c r="AD395" s="262"/>
      <c r="AE395" s="262"/>
      <c r="AF395" s="262"/>
      <c r="AG395" s="262"/>
      <c r="AH395" s="262"/>
      <c r="AI395" s="262"/>
      <c r="AJ395" s="262"/>
      <c r="AK395" s="262"/>
      <c r="AL395" s="262"/>
      <c r="AM395" s="262"/>
      <c r="AN395" s="262"/>
      <c r="AO395" s="262"/>
      <c r="AP395" s="262"/>
      <c r="AQ395" s="262"/>
      <c r="AR395" s="262"/>
      <c r="AS395" s="262"/>
      <c r="AT395" s="262"/>
      <c r="AU395" s="262"/>
      <c r="AV395" s="262"/>
      <c r="AW395" s="262"/>
      <c r="AX395" s="262"/>
      <c r="AY395" s="262"/>
      <c r="AZ395" s="262"/>
      <c r="BA395" s="262"/>
      <c r="BB395" s="262"/>
      <c r="BC395" s="397"/>
      <c r="BD395" s="397"/>
      <c r="BE395" s="397"/>
    </row>
    <row r="396" spans="30:57" ht="21.75" customHeight="1">
      <c r="AD396" s="262"/>
      <c r="AE396" s="262"/>
      <c r="AF396" s="262"/>
      <c r="AG396" s="262"/>
      <c r="AH396" s="262"/>
      <c r="AI396" s="262"/>
      <c r="AJ396" s="262"/>
      <c r="AK396" s="262"/>
      <c r="AL396" s="262"/>
      <c r="AM396" s="262"/>
      <c r="AN396" s="262"/>
      <c r="AO396" s="262"/>
      <c r="AP396" s="262"/>
      <c r="AQ396" s="262"/>
      <c r="AR396" s="262"/>
      <c r="AS396" s="262"/>
      <c r="AT396" s="262"/>
      <c r="AU396" s="262"/>
      <c r="AV396" s="262"/>
      <c r="AW396" s="262"/>
      <c r="AX396" s="262"/>
      <c r="AY396" s="262"/>
      <c r="AZ396" s="262"/>
      <c r="BA396" s="262"/>
      <c r="BB396" s="262"/>
      <c r="BE396" s="28"/>
    </row>
    <row r="397" spans="30:57" ht="21.75" customHeight="1">
      <c r="AD397" s="262"/>
      <c r="AE397" s="262"/>
      <c r="AF397" s="262"/>
      <c r="AG397" s="262"/>
      <c r="AH397" s="262"/>
      <c r="AI397" s="262"/>
      <c r="AJ397" s="262"/>
      <c r="AK397" s="262"/>
      <c r="AL397" s="262"/>
      <c r="AM397" s="262"/>
      <c r="AN397" s="262"/>
      <c r="AO397" s="262"/>
      <c r="AP397" s="262"/>
      <c r="AQ397" s="262"/>
      <c r="AR397" s="262"/>
      <c r="AS397" s="262"/>
      <c r="AT397" s="262"/>
      <c r="AU397" s="262"/>
      <c r="AV397" s="262"/>
      <c r="AW397" s="262"/>
      <c r="AX397" s="262"/>
      <c r="AY397" s="262"/>
      <c r="AZ397" s="262"/>
      <c r="BA397" s="262"/>
      <c r="BB397" s="262"/>
      <c r="BC397" s="420"/>
      <c r="BD397" s="420"/>
      <c r="BE397" s="243"/>
    </row>
    <row r="398" spans="30:57" ht="21.75" customHeight="1">
      <c r="AD398" s="262"/>
      <c r="AE398" s="262"/>
      <c r="AF398" s="262"/>
      <c r="AG398" s="262"/>
      <c r="AH398" s="262"/>
      <c r="AI398" s="262"/>
      <c r="AJ398" s="262"/>
      <c r="AK398" s="262"/>
      <c r="AL398" s="262"/>
      <c r="AM398" s="262"/>
      <c r="AN398" s="262"/>
      <c r="AO398" s="262"/>
      <c r="AP398" s="262"/>
      <c r="AQ398" s="262"/>
      <c r="AR398" s="262"/>
      <c r="AS398" s="262"/>
      <c r="AT398" s="262"/>
      <c r="AU398" s="262"/>
      <c r="AV398" s="262"/>
      <c r="AW398" s="262"/>
      <c r="AX398" s="262"/>
      <c r="AY398" s="262"/>
      <c r="AZ398" s="262"/>
      <c r="BA398" s="262"/>
      <c r="BB398" s="262"/>
      <c r="BC398" s="413"/>
      <c r="BD398" s="413"/>
      <c r="BE398" s="244"/>
    </row>
    <row r="399" spans="30:57" ht="21.75" customHeight="1">
      <c r="AD399" s="262"/>
      <c r="AE399" s="262"/>
      <c r="AF399" s="262"/>
      <c r="AG399" s="262"/>
      <c r="AH399" s="262"/>
      <c r="AI399" s="262"/>
      <c r="AJ399" s="262"/>
      <c r="AK399" s="262"/>
      <c r="AL399" s="262"/>
      <c r="AM399" s="262"/>
      <c r="AN399" s="262"/>
      <c r="AO399" s="262"/>
      <c r="AP399" s="262"/>
      <c r="AQ399" s="262"/>
      <c r="AR399" s="262"/>
      <c r="AS399" s="262"/>
      <c r="AT399" s="262"/>
      <c r="AU399" s="262"/>
      <c r="AV399" s="262"/>
      <c r="AW399" s="262"/>
      <c r="AX399" s="262"/>
      <c r="AY399" s="262"/>
      <c r="AZ399" s="262"/>
      <c r="BA399" s="262"/>
      <c r="BB399" s="262"/>
      <c r="BC399" s="278"/>
      <c r="BD399" s="278"/>
      <c r="BE399" s="389"/>
    </row>
    <row r="400" spans="30:57" ht="21.75" customHeight="1">
      <c r="AD400" s="262"/>
      <c r="AE400" s="262"/>
      <c r="AF400" s="262"/>
      <c r="AG400" s="262"/>
      <c r="AH400" s="262"/>
      <c r="AI400" s="262"/>
      <c r="AJ400" s="262"/>
      <c r="AK400" s="262"/>
      <c r="AL400" s="262"/>
      <c r="AM400" s="262"/>
      <c r="AN400" s="262"/>
      <c r="AO400" s="262"/>
      <c r="AP400" s="262"/>
      <c r="AQ400" s="262"/>
      <c r="AR400" s="262"/>
      <c r="AS400" s="262"/>
      <c r="AT400" s="262"/>
      <c r="AU400" s="262"/>
      <c r="AV400" s="262"/>
      <c r="AW400" s="262"/>
      <c r="AX400" s="262"/>
      <c r="AY400" s="262"/>
      <c r="AZ400" s="262"/>
      <c r="BA400" s="262"/>
      <c r="BB400" s="262"/>
      <c r="BC400" s="30"/>
      <c r="BD400" s="30"/>
      <c r="BE400" s="30"/>
    </row>
    <row r="401" spans="30:57" ht="21.75" customHeight="1">
      <c r="AD401" s="262"/>
      <c r="AE401" s="262"/>
      <c r="AF401" s="262"/>
      <c r="AG401" s="262"/>
      <c r="AH401" s="262"/>
      <c r="AI401" s="262"/>
      <c r="AJ401" s="262"/>
      <c r="AK401" s="262"/>
      <c r="AL401" s="262"/>
      <c r="AM401" s="262"/>
      <c r="AN401" s="262"/>
      <c r="AO401" s="262"/>
      <c r="AP401" s="262"/>
      <c r="AQ401" s="262"/>
      <c r="AR401" s="262"/>
      <c r="AS401" s="262"/>
      <c r="AT401" s="262"/>
      <c r="AU401" s="262"/>
      <c r="AV401" s="262"/>
      <c r="AW401" s="262"/>
      <c r="AX401" s="262"/>
      <c r="AY401" s="262"/>
      <c r="AZ401" s="262"/>
      <c r="BA401" s="262"/>
      <c r="BB401" s="262"/>
      <c r="BC401" s="392"/>
      <c r="BD401" s="392"/>
      <c r="BE401" s="392"/>
    </row>
    <row r="402" spans="30:57" ht="21.75" customHeight="1">
      <c r="AD402" s="262"/>
      <c r="AE402" s="262"/>
      <c r="AF402" s="262"/>
      <c r="AG402" s="262"/>
      <c r="AH402" s="262"/>
      <c r="AI402" s="262"/>
      <c r="AJ402" s="262"/>
      <c r="AK402" s="262"/>
      <c r="AL402" s="262"/>
      <c r="AM402" s="262"/>
      <c r="AN402" s="262"/>
      <c r="AO402" s="262"/>
      <c r="AP402" s="262"/>
      <c r="AQ402" s="262"/>
      <c r="AR402" s="262"/>
      <c r="AS402" s="262"/>
      <c r="AT402" s="262"/>
      <c r="AU402" s="262"/>
      <c r="AV402" s="262"/>
      <c r="AW402" s="262"/>
      <c r="AX402" s="262"/>
      <c r="AY402" s="262"/>
      <c r="AZ402" s="262"/>
      <c r="BA402" s="262"/>
      <c r="BB402" s="262"/>
      <c r="BC402" s="406"/>
      <c r="BD402" s="406"/>
      <c r="BE402" s="406"/>
    </row>
    <row r="403" spans="30:57" ht="21.75" customHeight="1">
      <c r="AD403" s="262"/>
      <c r="AE403" s="262"/>
      <c r="AF403" s="262"/>
      <c r="AG403" s="262"/>
      <c r="AH403" s="262"/>
      <c r="AI403" s="262"/>
      <c r="AJ403" s="262"/>
      <c r="AK403" s="262"/>
      <c r="AL403" s="262"/>
      <c r="AM403" s="262"/>
      <c r="AN403" s="262"/>
      <c r="AO403" s="262"/>
      <c r="AP403" s="262"/>
      <c r="AQ403" s="262"/>
      <c r="AR403" s="262"/>
      <c r="AS403" s="262"/>
      <c r="AT403" s="262"/>
      <c r="AU403" s="262"/>
      <c r="AV403" s="262"/>
      <c r="AW403" s="262"/>
      <c r="AX403" s="262"/>
      <c r="AY403" s="262"/>
      <c r="AZ403" s="262"/>
      <c r="BA403" s="262"/>
      <c r="BB403" s="262"/>
      <c r="BC403" s="30"/>
      <c r="BD403" s="30"/>
      <c r="BE403" s="30"/>
    </row>
    <row r="404" spans="30:57" ht="21.75" customHeight="1">
      <c r="AD404" s="262"/>
      <c r="AE404" s="262"/>
      <c r="AF404" s="262"/>
      <c r="AG404" s="262"/>
      <c r="AH404" s="262"/>
      <c r="AI404" s="262"/>
      <c r="AJ404" s="262"/>
      <c r="AK404" s="262"/>
      <c r="AL404" s="262"/>
      <c r="AM404" s="262"/>
      <c r="AN404" s="262"/>
      <c r="AO404" s="262"/>
      <c r="AP404" s="262"/>
      <c r="AQ404" s="262"/>
      <c r="AR404" s="262"/>
      <c r="AS404" s="262"/>
      <c r="AT404" s="262"/>
      <c r="AU404" s="262"/>
      <c r="AV404" s="262"/>
      <c r="AW404" s="262"/>
      <c r="AX404" s="262"/>
      <c r="AY404" s="262"/>
      <c r="AZ404" s="262"/>
      <c r="BA404" s="262"/>
      <c r="BB404" s="262"/>
      <c r="BC404" s="30"/>
      <c r="BD404" s="30"/>
      <c r="BE404" s="30"/>
    </row>
    <row r="405" spans="30:57" ht="21.75" customHeight="1">
      <c r="AD405" s="262"/>
      <c r="AE405" s="262"/>
      <c r="AF405" s="262"/>
      <c r="AG405" s="262"/>
      <c r="AH405" s="262"/>
      <c r="AI405" s="262"/>
      <c r="AJ405" s="262"/>
      <c r="AK405" s="262"/>
      <c r="AL405" s="262"/>
      <c r="AM405" s="262"/>
      <c r="AN405" s="262"/>
      <c r="AO405" s="262"/>
      <c r="AP405" s="262"/>
      <c r="AQ405" s="262"/>
      <c r="AR405" s="262"/>
      <c r="AS405" s="262"/>
      <c r="AT405" s="262"/>
      <c r="AU405" s="262"/>
      <c r="AV405" s="262"/>
      <c r="AW405" s="262"/>
      <c r="AX405" s="262"/>
      <c r="AY405" s="262"/>
      <c r="AZ405" s="262"/>
      <c r="BA405" s="262"/>
      <c r="BB405" s="262"/>
      <c r="BC405" s="393"/>
      <c r="BD405" s="393"/>
      <c r="BE405" s="393"/>
    </row>
    <row r="406" spans="30:57" ht="21.75" customHeight="1">
      <c r="AD406" s="262"/>
      <c r="AE406" s="262"/>
      <c r="AF406" s="262"/>
      <c r="AG406" s="262"/>
      <c r="AH406" s="262"/>
      <c r="AI406" s="262"/>
      <c r="AJ406" s="262"/>
      <c r="AK406" s="262"/>
      <c r="AL406" s="262"/>
      <c r="AM406" s="262"/>
      <c r="AN406" s="262"/>
      <c r="AO406" s="262"/>
      <c r="AP406" s="262"/>
      <c r="AQ406" s="262"/>
      <c r="AR406" s="262"/>
      <c r="AS406" s="262"/>
      <c r="AT406" s="262"/>
      <c r="AU406" s="262"/>
      <c r="AV406" s="262"/>
      <c r="AW406" s="262"/>
      <c r="AX406" s="262"/>
      <c r="AY406" s="262"/>
      <c r="AZ406" s="262"/>
      <c r="BA406" s="262"/>
      <c r="BB406" s="262"/>
      <c r="BC406" s="393"/>
      <c r="BD406" s="393"/>
      <c r="BE406" s="393"/>
    </row>
    <row r="407" spans="30:57" ht="21.75" customHeight="1">
      <c r="AD407" s="262"/>
      <c r="AE407" s="262"/>
      <c r="AF407" s="262"/>
      <c r="AG407" s="262"/>
      <c r="AH407" s="262"/>
      <c r="AI407" s="262"/>
      <c r="AJ407" s="262"/>
      <c r="AK407" s="262"/>
      <c r="AL407" s="262"/>
      <c r="AM407" s="262"/>
      <c r="AN407" s="262"/>
      <c r="AO407" s="262"/>
      <c r="AP407" s="262"/>
      <c r="AQ407" s="262"/>
      <c r="AR407" s="262"/>
      <c r="AS407" s="262"/>
      <c r="AT407" s="262"/>
      <c r="AU407" s="262"/>
      <c r="AV407" s="262"/>
      <c r="AW407" s="262"/>
      <c r="AX407" s="262"/>
      <c r="AY407" s="262"/>
      <c r="AZ407" s="262"/>
      <c r="BA407" s="262"/>
      <c r="BB407" s="262"/>
      <c r="BC407" s="278"/>
      <c r="BD407" s="278"/>
      <c r="BE407" s="278"/>
    </row>
    <row r="408" spans="30:57" ht="21.75" customHeight="1">
      <c r="AD408" s="262"/>
      <c r="AE408" s="262"/>
      <c r="AF408" s="262"/>
      <c r="AG408" s="262"/>
      <c r="AH408" s="262"/>
      <c r="AI408" s="262"/>
      <c r="AJ408" s="262"/>
      <c r="AK408" s="262"/>
      <c r="AL408" s="262"/>
      <c r="AM408" s="262"/>
      <c r="AN408" s="262"/>
      <c r="AO408" s="262"/>
      <c r="AP408" s="262"/>
      <c r="AQ408" s="262"/>
      <c r="AR408" s="262"/>
      <c r="AS408" s="262"/>
      <c r="AT408" s="262"/>
      <c r="AU408" s="262"/>
      <c r="AV408" s="262"/>
      <c r="AW408" s="262"/>
      <c r="AX408" s="262"/>
      <c r="AY408" s="262"/>
      <c r="AZ408" s="262"/>
      <c r="BA408" s="262"/>
      <c r="BB408" s="262"/>
    </row>
    <row r="409" spans="30:57" ht="21.75" customHeight="1">
      <c r="AD409" s="262"/>
      <c r="AE409" s="262"/>
      <c r="AF409" s="262"/>
      <c r="AG409" s="262"/>
      <c r="AH409" s="262"/>
      <c r="AI409" s="262"/>
      <c r="AJ409" s="262"/>
      <c r="AK409" s="262"/>
      <c r="AL409" s="262"/>
      <c r="AM409" s="262"/>
      <c r="AN409" s="262"/>
      <c r="AO409" s="262"/>
      <c r="AP409" s="262"/>
      <c r="AQ409" s="262"/>
      <c r="AR409" s="262"/>
      <c r="AS409" s="262"/>
      <c r="AT409" s="262"/>
      <c r="AU409" s="262"/>
      <c r="AV409" s="262"/>
      <c r="AW409" s="262"/>
      <c r="AX409" s="262"/>
      <c r="AY409" s="262"/>
      <c r="AZ409" s="262"/>
      <c r="BA409" s="262"/>
      <c r="BB409" s="262"/>
      <c r="BC409" s="395"/>
      <c r="BD409" s="395"/>
      <c r="BE409" s="395"/>
    </row>
    <row r="410" spans="30:57" ht="21.75" customHeight="1">
      <c r="AD410" s="262"/>
      <c r="AE410" s="262"/>
      <c r="AF410" s="262"/>
      <c r="AG410" s="262"/>
      <c r="AH410" s="262"/>
      <c r="AI410" s="262"/>
      <c r="AJ410" s="262"/>
      <c r="AK410" s="262"/>
      <c r="AL410" s="262"/>
      <c r="AM410" s="262"/>
      <c r="AN410" s="262"/>
      <c r="AO410" s="262"/>
      <c r="AP410" s="262"/>
      <c r="AQ410" s="262"/>
      <c r="AR410" s="262"/>
      <c r="AS410" s="262"/>
      <c r="AT410" s="262"/>
      <c r="AU410" s="262"/>
      <c r="AV410" s="262"/>
      <c r="AW410" s="262"/>
      <c r="AX410" s="262"/>
      <c r="AY410" s="262"/>
      <c r="AZ410" s="262"/>
      <c r="BA410" s="262"/>
      <c r="BB410" s="262"/>
    </row>
    <row r="411" spans="30:57" ht="21.75" customHeight="1">
      <c r="AD411" s="262"/>
      <c r="AE411" s="262"/>
      <c r="AF411" s="262"/>
      <c r="AG411" s="262"/>
      <c r="AH411" s="262"/>
      <c r="AI411" s="262"/>
      <c r="AJ411" s="262"/>
      <c r="AK411" s="262"/>
      <c r="AL411" s="262"/>
      <c r="AM411" s="262"/>
      <c r="AN411" s="262"/>
      <c r="AO411" s="262"/>
      <c r="AP411" s="262"/>
      <c r="AQ411" s="262"/>
      <c r="AR411" s="262"/>
      <c r="AS411" s="262"/>
      <c r="AT411" s="262"/>
      <c r="AU411" s="262"/>
      <c r="AV411" s="262"/>
      <c r="AW411" s="262"/>
      <c r="AX411" s="262"/>
      <c r="AY411" s="262"/>
      <c r="AZ411" s="262"/>
      <c r="BA411" s="262"/>
      <c r="BB411" s="262"/>
    </row>
    <row r="412" spans="30:57" ht="21.75" customHeight="1">
      <c r="AD412" s="262"/>
      <c r="AE412" s="262"/>
      <c r="AF412" s="262"/>
      <c r="AG412" s="262"/>
      <c r="AH412" s="262"/>
      <c r="AI412" s="262"/>
      <c r="AJ412" s="262"/>
      <c r="AK412" s="262"/>
      <c r="AL412" s="262"/>
      <c r="AM412" s="262"/>
      <c r="AN412" s="262"/>
      <c r="AO412" s="262"/>
      <c r="AP412" s="262"/>
      <c r="AQ412" s="262"/>
      <c r="AR412" s="262"/>
      <c r="AS412" s="262"/>
      <c r="AT412" s="262"/>
      <c r="AU412" s="262"/>
      <c r="AV412" s="262"/>
      <c r="AW412" s="262"/>
      <c r="AX412" s="262"/>
      <c r="AY412" s="262"/>
      <c r="AZ412" s="262"/>
      <c r="BA412" s="262"/>
      <c r="BB412" s="262"/>
      <c r="BC412" s="397"/>
      <c r="BD412" s="397"/>
      <c r="BE412" s="397"/>
    </row>
    <row r="413" spans="30:57" ht="21.75" customHeight="1">
      <c r="AD413" s="262"/>
      <c r="AE413" s="262"/>
      <c r="AF413" s="262"/>
      <c r="AG413" s="262"/>
      <c r="AH413" s="262"/>
      <c r="AI413" s="262"/>
      <c r="AJ413" s="262"/>
      <c r="AK413" s="262"/>
      <c r="AL413" s="262"/>
      <c r="AM413" s="262"/>
      <c r="AN413" s="262"/>
      <c r="AO413" s="262"/>
      <c r="AP413" s="262"/>
      <c r="AQ413" s="262"/>
      <c r="AR413" s="262"/>
      <c r="AS413" s="262"/>
      <c r="AT413" s="262"/>
      <c r="AU413" s="262"/>
      <c r="AV413" s="262"/>
      <c r="AW413" s="262"/>
      <c r="AX413" s="262"/>
      <c r="AY413" s="262"/>
      <c r="AZ413" s="262"/>
      <c r="BA413" s="262"/>
      <c r="BB413" s="262"/>
      <c r="BC413" s="397"/>
      <c r="BD413" s="397"/>
      <c r="BE413" s="397"/>
    </row>
    <row r="414" spans="30:57" ht="21.75" customHeight="1">
      <c r="AD414" s="262"/>
      <c r="AE414" s="262"/>
      <c r="AF414" s="262"/>
      <c r="AG414" s="262"/>
      <c r="AH414" s="262"/>
      <c r="AI414" s="262"/>
      <c r="AJ414" s="262"/>
      <c r="AK414" s="262"/>
      <c r="AL414" s="262"/>
      <c r="AM414" s="262"/>
      <c r="AN414" s="262"/>
      <c r="AO414" s="262"/>
      <c r="AP414" s="262"/>
      <c r="AQ414" s="262"/>
      <c r="AR414" s="262"/>
      <c r="AS414" s="262"/>
      <c r="AT414" s="262"/>
      <c r="AU414" s="262"/>
      <c r="AV414" s="262"/>
      <c r="AW414" s="262"/>
      <c r="AX414" s="262"/>
      <c r="AY414" s="262"/>
      <c r="AZ414" s="262"/>
      <c r="BA414" s="262"/>
      <c r="BB414" s="262"/>
      <c r="BE414" s="28"/>
    </row>
    <row r="415" spans="30:57" ht="21.75" customHeight="1">
      <c r="AD415" s="262"/>
      <c r="AE415" s="262"/>
      <c r="AF415" s="262"/>
      <c r="AG415" s="262"/>
      <c r="AH415" s="262"/>
      <c r="AI415" s="262"/>
      <c r="AJ415" s="262"/>
      <c r="AK415" s="262"/>
      <c r="AL415" s="262"/>
      <c r="AM415" s="262"/>
      <c r="AN415" s="262"/>
      <c r="AO415" s="262"/>
      <c r="AP415" s="262"/>
      <c r="AQ415" s="262"/>
      <c r="AR415" s="262"/>
      <c r="AS415" s="262"/>
      <c r="AT415" s="262"/>
      <c r="AU415" s="262"/>
      <c r="AV415" s="262"/>
      <c r="AW415" s="262"/>
      <c r="AX415" s="262"/>
      <c r="AY415" s="262"/>
      <c r="AZ415" s="262"/>
      <c r="BA415" s="262"/>
      <c r="BB415" s="262"/>
      <c r="BC415" s="420"/>
      <c r="BD415" s="420"/>
      <c r="BE415" s="243"/>
    </row>
    <row r="416" spans="30:57" ht="21.75" customHeight="1">
      <c r="AD416" s="262"/>
      <c r="AE416" s="262"/>
      <c r="AF416" s="262"/>
      <c r="AG416" s="262"/>
      <c r="AH416" s="262"/>
      <c r="AI416" s="262"/>
      <c r="AJ416" s="262"/>
      <c r="AK416" s="262"/>
      <c r="AL416" s="262"/>
      <c r="AM416" s="262"/>
      <c r="AN416" s="262"/>
      <c r="AO416" s="262"/>
      <c r="AP416" s="262"/>
      <c r="AQ416" s="262"/>
      <c r="AR416" s="262"/>
      <c r="AS416" s="262"/>
      <c r="AT416" s="262"/>
      <c r="AU416" s="262"/>
      <c r="AV416" s="262"/>
      <c r="AW416" s="262"/>
      <c r="AX416" s="262"/>
      <c r="AY416" s="262"/>
      <c r="AZ416" s="262"/>
      <c r="BA416" s="262"/>
      <c r="BB416" s="262"/>
      <c r="BC416" s="413"/>
      <c r="BD416" s="413"/>
      <c r="BE416" s="244"/>
    </row>
    <row r="417" spans="30:57" ht="21.75" customHeight="1">
      <c r="AD417" s="262"/>
      <c r="AE417" s="262"/>
      <c r="AF417" s="262"/>
      <c r="AG417" s="262"/>
      <c r="AH417" s="262"/>
      <c r="AI417" s="262"/>
      <c r="AJ417" s="262"/>
      <c r="AK417" s="262"/>
      <c r="AL417" s="262"/>
      <c r="AM417" s="262"/>
      <c r="AN417" s="262"/>
      <c r="AO417" s="262"/>
      <c r="AP417" s="262"/>
      <c r="AQ417" s="262"/>
      <c r="AR417" s="262"/>
      <c r="AS417" s="262"/>
      <c r="AT417" s="262"/>
      <c r="AU417" s="262"/>
      <c r="AV417" s="262"/>
      <c r="AW417" s="262"/>
      <c r="AX417" s="262"/>
      <c r="AY417" s="262"/>
      <c r="AZ417" s="262"/>
      <c r="BA417" s="262"/>
      <c r="BB417" s="262"/>
      <c r="BC417" s="278"/>
      <c r="BD417" s="278"/>
      <c r="BE417" s="389"/>
    </row>
    <row r="418" spans="30:57" ht="21.75" customHeight="1">
      <c r="AD418" s="262"/>
      <c r="AE418" s="262"/>
      <c r="AF418" s="262"/>
      <c r="AG418" s="262"/>
      <c r="AH418" s="262"/>
      <c r="AI418" s="262"/>
      <c r="AJ418" s="262"/>
      <c r="AK418" s="262"/>
      <c r="AL418" s="262"/>
      <c r="AM418" s="262"/>
      <c r="AN418" s="262"/>
      <c r="AO418" s="262"/>
      <c r="AP418" s="262"/>
      <c r="AQ418" s="262"/>
      <c r="AR418" s="262"/>
      <c r="AS418" s="262"/>
      <c r="AT418" s="262"/>
      <c r="AU418" s="262"/>
      <c r="AV418" s="262"/>
      <c r="AW418" s="262"/>
      <c r="AX418" s="262"/>
      <c r="AY418" s="262"/>
      <c r="AZ418" s="262"/>
      <c r="BA418" s="262"/>
      <c r="BB418" s="262"/>
      <c r="BC418" s="30"/>
      <c r="BD418" s="30"/>
      <c r="BE418" s="30"/>
    </row>
    <row r="419" spans="30:57" ht="21.75" customHeight="1">
      <c r="AD419" s="262"/>
      <c r="AE419" s="262"/>
      <c r="AF419" s="262"/>
      <c r="AG419" s="262"/>
      <c r="AH419" s="262"/>
      <c r="AI419" s="262"/>
      <c r="AJ419" s="262"/>
      <c r="AK419" s="262"/>
      <c r="AL419" s="262"/>
      <c r="AM419" s="262"/>
      <c r="AN419" s="262"/>
      <c r="AO419" s="262"/>
      <c r="AP419" s="262"/>
      <c r="AQ419" s="262"/>
      <c r="AR419" s="262"/>
      <c r="AS419" s="262"/>
      <c r="AT419" s="262"/>
      <c r="AU419" s="262"/>
      <c r="AV419" s="262"/>
      <c r="AW419" s="262"/>
      <c r="AX419" s="262"/>
      <c r="AY419" s="262"/>
      <c r="AZ419" s="262"/>
      <c r="BA419" s="262"/>
      <c r="BB419" s="262"/>
      <c r="BC419" s="392"/>
      <c r="BD419" s="392"/>
      <c r="BE419" s="392"/>
    </row>
    <row r="420" spans="30:57" ht="21.75" customHeight="1">
      <c r="AD420" s="262"/>
      <c r="AE420" s="262"/>
      <c r="AF420" s="262"/>
      <c r="AG420" s="262"/>
      <c r="AH420" s="262"/>
      <c r="AI420" s="262"/>
      <c r="AJ420" s="262"/>
      <c r="AK420" s="262"/>
      <c r="AL420" s="262"/>
      <c r="AM420" s="262"/>
      <c r="AN420" s="262"/>
      <c r="AO420" s="262"/>
      <c r="AP420" s="262"/>
      <c r="AQ420" s="262"/>
      <c r="AR420" s="262"/>
      <c r="AS420" s="262"/>
      <c r="AT420" s="262"/>
      <c r="AU420" s="262"/>
      <c r="AV420" s="262"/>
      <c r="AW420" s="262"/>
      <c r="AX420" s="262"/>
      <c r="AY420" s="262"/>
      <c r="AZ420" s="262"/>
      <c r="BA420" s="262"/>
      <c r="BB420" s="262"/>
      <c r="BC420" s="406"/>
      <c r="BD420" s="406"/>
      <c r="BE420" s="406"/>
    </row>
    <row r="421" spans="30:57" ht="21.75" customHeight="1">
      <c r="AD421" s="262"/>
      <c r="AE421" s="262"/>
      <c r="AF421" s="262"/>
      <c r="AG421" s="262"/>
      <c r="AH421" s="262"/>
      <c r="AI421" s="262"/>
      <c r="AJ421" s="262"/>
      <c r="AK421" s="262"/>
      <c r="AL421" s="262"/>
      <c r="AM421" s="262"/>
      <c r="AN421" s="262"/>
      <c r="AO421" s="262"/>
      <c r="AP421" s="262"/>
      <c r="AQ421" s="262"/>
      <c r="AR421" s="262"/>
      <c r="AS421" s="262"/>
      <c r="AT421" s="262"/>
      <c r="AU421" s="262"/>
      <c r="AV421" s="262"/>
      <c r="AW421" s="262"/>
      <c r="AX421" s="262"/>
      <c r="AY421" s="262"/>
      <c r="AZ421" s="262"/>
      <c r="BA421" s="262"/>
      <c r="BB421" s="262"/>
      <c r="BC421" s="30"/>
      <c r="BD421" s="30"/>
      <c r="BE421" s="30"/>
    </row>
    <row r="422" spans="30:57" ht="21.75" customHeight="1">
      <c r="AD422" s="262"/>
      <c r="AE422" s="262"/>
      <c r="AF422" s="262"/>
      <c r="AG422" s="262"/>
      <c r="AH422" s="262"/>
      <c r="AI422" s="262"/>
      <c r="AJ422" s="262"/>
      <c r="AK422" s="262"/>
      <c r="AL422" s="262"/>
      <c r="AM422" s="262"/>
      <c r="AN422" s="262"/>
      <c r="AO422" s="262"/>
      <c r="AP422" s="262"/>
      <c r="AQ422" s="262"/>
      <c r="AR422" s="262"/>
      <c r="AS422" s="262"/>
      <c r="AT422" s="262"/>
      <c r="AU422" s="262"/>
      <c r="AV422" s="262"/>
      <c r="AW422" s="262"/>
      <c r="AX422" s="262"/>
      <c r="AY422" s="262"/>
      <c r="AZ422" s="262"/>
      <c r="BA422" s="262"/>
      <c r="BB422" s="262"/>
      <c r="BC422" s="30"/>
      <c r="BD422" s="30"/>
      <c r="BE422" s="30"/>
    </row>
    <row r="423" spans="30:57" ht="21.75" customHeight="1">
      <c r="AD423" s="262"/>
      <c r="AE423" s="262"/>
      <c r="AF423" s="262"/>
      <c r="AG423" s="262"/>
      <c r="AH423" s="262"/>
      <c r="AI423" s="262"/>
      <c r="AJ423" s="262"/>
      <c r="AK423" s="262"/>
      <c r="AL423" s="262"/>
      <c r="AM423" s="262"/>
      <c r="AN423" s="262"/>
      <c r="AO423" s="262"/>
      <c r="AP423" s="262"/>
      <c r="AQ423" s="262"/>
      <c r="AR423" s="262"/>
      <c r="AS423" s="262"/>
      <c r="AT423" s="262"/>
      <c r="AU423" s="262"/>
      <c r="AV423" s="262"/>
      <c r="AW423" s="262"/>
      <c r="AX423" s="262"/>
      <c r="AY423" s="262"/>
      <c r="AZ423" s="262"/>
      <c r="BA423" s="262"/>
      <c r="BB423" s="262"/>
      <c r="BC423" s="393"/>
      <c r="BD423" s="393"/>
      <c r="BE423" s="393"/>
    </row>
    <row r="424" spans="30:57" ht="21.75" customHeight="1">
      <c r="AD424" s="262"/>
      <c r="AE424" s="262"/>
      <c r="AF424" s="262"/>
      <c r="AG424" s="262"/>
      <c r="AH424" s="262"/>
      <c r="AI424" s="262"/>
      <c r="AJ424" s="262"/>
      <c r="AK424" s="262"/>
      <c r="AL424" s="262"/>
      <c r="AM424" s="262"/>
      <c r="AN424" s="262"/>
      <c r="AO424" s="262"/>
      <c r="AP424" s="262"/>
      <c r="AQ424" s="262"/>
      <c r="AR424" s="262"/>
      <c r="AS424" s="262"/>
      <c r="AT424" s="262"/>
      <c r="AU424" s="262"/>
      <c r="AV424" s="262"/>
      <c r="AW424" s="262"/>
      <c r="AX424" s="262"/>
      <c r="AY424" s="262"/>
      <c r="AZ424" s="262"/>
      <c r="BA424" s="262"/>
      <c r="BB424" s="262"/>
      <c r="BC424" s="393"/>
      <c r="BD424" s="393"/>
      <c r="BE424" s="393"/>
    </row>
    <row r="425" spans="30:57" ht="21.75" customHeight="1">
      <c r="AD425" s="262"/>
      <c r="AE425" s="262"/>
      <c r="AF425" s="262"/>
      <c r="AG425" s="262"/>
      <c r="AH425" s="262"/>
      <c r="AI425" s="262"/>
      <c r="AJ425" s="262"/>
      <c r="AK425" s="262"/>
      <c r="AL425" s="262"/>
      <c r="AM425" s="262"/>
      <c r="AN425" s="262"/>
      <c r="AO425" s="262"/>
      <c r="AP425" s="262"/>
      <c r="AQ425" s="262"/>
      <c r="AR425" s="262"/>
      <c r="AS425" s="262"/>
      <c r="AT425" s="262"/>
      <c r="AU425" s="262"/>
      <c r="AV425" s="262"/>
      <c r="AW425" s="262"/>
      <c r="AX425" s="262"/>
      <c r="AY425" s="262"/>
      <c r="AZ425" s="262"/>
      <c r="BA425" s="262"/>
      <c r="BB425" s="262"/>
      <c r="BC425" s="278"/>
      <c r="BD425" s="278"/>
      <c r="BE425" s="278"/>
    </row>
    <row r="426" spans="30:57" ht="21.75" customHeight="1">
      <c r="AD426" s="262"/>
      <c r="AE426" s="262"/>
      <c r="AF426" s="262"/>
      <c r="AG426" s="262"/>
      <c r="AH426" s="262"/>
      <c r="AI426" s="262"/>
      <c r="AJ426" s="262"/>
      <c r="AK426" s="262"/>
      <c r="AL426" s="262"/>
      <c r="AM426" s="262"/>
      <c r="AN426" s="262"/>
      <c r="AO426" s="262"/>
      <c r="AP426" s="262"/>
      <c r="AQ426" s="262"/>
      <c r="AR426" s="262"/>
      <c r="AS426" s="262"/>
      <c r="AT426" s="262"/>
      <c r="AU426" s="262"/>
      <c r="AV426" s="262"/>
      <c r="AW426" s="262"/>
      <c r="AX426" s="262"/>
      <c r="AY426" s="262"/>
      <c r="AZ426" s="262"/>
      <c r="BA426" s="262"/>
      <c r="BB426" s="262"/>
    </row>
    <row r="427" spans="30:57" ht="21.75" customHeight="1">
      <c r="AD427" s="262"/>
      <c r="AE427" s="262"/>
      <c r="AF427" s="262"/>
      <c r="AG427" s="262"/>
      <c r="AH427" s="262"/>
      <c r="AI427" s="262"/>
      <c r="AJ427" s="262"/>
      <c r="AK427" s="262"/>
      <c r="AL427" s="262"/>
      <c r="AM427" s="262"/>
      <c r="AN427" s="262"/>
      <c r="AO427" s="262"/>
      <c r="AP427" s="262"/>
      <c r="AQ427" s="262"/>
      <c r="AR427" s="262"/>
      <c r="AS427" s="262"/>
      <c r="AT427" s="262"/>
      <c r="AU427" s="262"/>
      <c r="AV427" s="262"/>
      <c r="AW427" s="262"/>
      <c r="AX427" s="262"/>
      <c r="AY427" s="262"/>
      <c r="AZ427" s="262"/>
      <c r="BA427" s="262"/>
      <c r="BB427" s="262"/>
      <c r="BC427" s="395"/>
      <c r="BD427" s="395"/>
      <c r="BE427" s="395"/>
    </row>
    <row r="428" spans="30:57" ht="21.75" customHeight="1">
      <c r="AD428" s="262"/>
      <c r="AE428" s="262"/>
      <c r="AF428" s="262"/>
      <c r="AG428" s="262"/>
      <c r="AH428" s="262"/>
      <c r="AI428" s="262"/>
      <c r="AJ428" s="262"/>
      <c r="AK428" s="262"/>
      <c r="AL428" s="262"/>
      <c r="AM428" s="262"/>
      <c r="AN428" s="262"/>
      <c r="AO428" s="262"/>
      <c r="AP428" s="262"/>
      <c r="AQ428" s="262"/>
      <c r="AR428" s="262"/>
      <c r="AS428" s="262"/>
      <c r="AT428" s="262"/>
      <c r="AU428" s="262"/>
      <c r="AV428" s="262"/>
      <c r="AW428" s="262"/>
      <c r="AX428" s="262"/>
      <c r="AY428" s="262"/>
      <c r="AZ428" s="262"/>
      <c r="BA428" s="262"/>
      <c r="BB428" s="262"/>
    </row>
    <row r="429" spans="30:57" ht="21.75" customHeight="1">
      <c r="AD429" s="262"/>
      <c r="AE429" s="262"/>
      <c r="AF429" s="262"/>
      <c r="AG429" s="262"/>
      <c r="AH429" s="262"/>
      <c r="AI429" s="262"/>
      <c r="AJ429" s="262"/>
      <c r="AK429" s="262"/>
      <c r="AL429" s="262"/>
      <c r="AM429" s="262"/>
      <c r="AN429" s="262"/>
      <c r="AO429" s="262"/>
      <c r="AP429" s="262"/>
      <c r="AQ429" s="262"/>
      <c r="AR429" s="262"/>
      <c r="AS429" s="262"/>
      <c r="AT429" s="262"/>
      <c r="AU429" s="262"/>
      <c r="AV429" s="262"/>
      <c r="AW429" s="262"/>
      <c r="AX429" s="262"/>
      <c r="AY429" s="262"/>
      <c r="AZ429" s="262"/>
      <c r="BA429" s="262"/>
      <c r="BB429" s="262"/>
    </row>
    <row r="430" spans="30:57" ht="21.75" customHeight="1">
      <c r="AD430" s="262"/>
      <c r="AE430" s="262"/>
      <c r="AF430" s="262"/>
      <c r="AG430" s="262"/>
      <c r="AH430" s="262"/>
      <c r="AI430" s="262"/>
      <c r="AJ430" s="262"/>
      <c r="AK430" s="262"/>
      <c r="AL430" s="262"/>
      <c r="AM430" s="262"/>
      <c r="AN430" s="262"/>
      <c r="AO430" s="262"/>
      <c r="AP430" s="262"/>
      <c r="AQ430" s="262"/>
      <c r="AR430" s="262"/>
      <c r="AS430" s="262"/>
      <c r="AT430" s="262"/>
      <c r="AU430" s="262"/>
      <c r="AV430" s="262"/>
      <c r="AW430" s="262"/>
      <c r="AX430" s="262"/>
      <c r="AY430" s="262"/>
      <c r="AZ430" s="262"/>
      <c r="BA430" s="262"/>
      <c r="BB430" s="262"/>
      <c r="BC430" s="397"/>
      <c r="BD430" s="397"/>
      <c r="BE430" s="397"/>
    </row>
    <row r="431" spans="30:57" ht="21.75" customHeight="1">
      <c r="AD431" s="262"/>
      <c r="AE431" s="262"/>
      <c r="AF431" s="262"/>
      <c r="AG431" s="262"/>
      <c r="AH431" s="262"/>
      <c r="AI431" s="262"/>
      <c r="AJ431" s="262"/>
      <c r="AK431" s="262"/>
      <c r="AL431" s="262"/>
      <c r="AM431" s="262"/>
      <c r="AN431" s="262"/>
      <c r="AO431" s="262"/>
      <c r="AP431" s="262"/>
      <c r="AQ431" s="262"/>
      <c r="AR431" s="262"/>
      <c r="AS431" s="262"/>
      <c r="AT431" s="262"/>
      <c r="AU431" s="262"/>
      <c r="AV431" s="262"/>
      <c r="AW431" s="262"/>
      <c r="AX431" s="262"/>
      <c r="AY431" s="262"/>
      <c r="AZ431" s="262"/>
      <c r="BA431" s="262"/>
      <c r="BB431" s="262"/>
      <c r="BC431" s="397"/>
      <c r="BD431" s="397"/>
      <c r="BE431" s="397"/>
    </row>
    <row r="432" spans="30:57" ht="21.75" customHeight="1">
      <c r="AD432" s="262"/>
      <c r="AE432" s="262"/>
      <c r="AF432" s="262"/>
      <c r="AG432" s="262"/>
      <c r="AH432" s="262"/>
      <c r="AI432" s="262"/>
      <c r="AJ432" s="262"/>
      <c r="AK432" s="262"/>
      <c r="AL432" s="262"/>
      <c r="AM432" s="262"/>
      <c r="AN432" s="262"/>
      <c r="AO432" s="262"/>
      <c r="AP432" s="262"/>
      <c r="AQ432" s="262"/>
      <c r="AR432" s="262"/>
      <c r="AS432" s="262"/>
      <c r="AT432" s="262"/>
      <c r="AU432" s="262"/>
      <c r="AV432" s="262"/>
      <c r="AW432" s="262"/>
      <c r="AX432" s="262"/>
      <c r="AY432" s="262"/>
      <c r="AZ432" s="262"/>
      <c r="BA432" s="262"/>
      <c r="BB432" s="262"/>
      <c r="BE432" s="28"/>
    </row>
    <row r="433" spans="30:57" ht="21.75" customHeight="1">
      <c r="AD433" s="262"/>
      <c r="AE433" s="262"/>
      <c r="AF433" s="262"/>
      <c r="AG433" s="262"/>
      <c r="AH433" s="262"/>
      <c r="AI433" s="262"/>
      <c r="AJ433" s="262"/>
      <c r="AK433" s="262"/>
      <c r="AL433" s="262"/>
      <c r="AM433" s="262"/>
      <c r="AN433" s="262"/>
      <c r="AO433" s="262"/>
      <c r="AP433" s="262"/>
      <c r="AQ433" s="262"/>
      <c r="AR433" s="262"/>
      <c r="AS433" s="262"/>
      <c r="AT433" s="262"/>
      <c r="AU433" s="262"/>
      <c r="AV433" s="262"/>
      <c r="AW433" s="262"/>
      <c r="AX433" s="262"/>
      <c r="AY433" s="262"/>
      <c r="AZ433" s="262"/>
      <c r="BA433" s="262"/>
      <c r="BB433" s="262"/>
      <c r="BC433" s="420"/>
      <c r="BD433" s="420"/>
      <c r="BE433" s="243"/>
    </row>
    <row r="434" spans="30:57" ht="21.75" customHeight="1">
      <c r="AD434" s="262"/>
      <c r="AE434" s="262"/>
      <c r="AF434" s="262"/>
      <c r="AG434" s="262"/>
      <c r="AH434" s="262"/>
      <c r="AI434" s="262"/>
      <c r="AJ434" s="262"/>
      <c r="AK434" s="262"/>
      <c r="AL434" s="262"/>
      <c r="AM434" s="262"/>
      <c r="AN434" s="262"/>
      <c r="AO434" s="262"/>
      <c r="AP434" s="262"/>
      <c r="AQ434" s="262"/>
      <c r="AR434" s="262"/>
      <c r="AS434" s="262"/>
      <c r="AT434" s="262"/>
      <c r="AU434" s="262"/>
      <c r="AV434" s="262"/>
      <c r="AW434" s="262"/>
      <c r="AX434" s="262"/>
      <c r="AY434" s="262"/>
      <c r="AZ434" s="262"/>
      <c r="BA434" s="262"/>
      <c r="BB434" s="262"/>
      <c r="BC434" s="413"/>
      <c r="BD434" s="413"/>
      <c r="BE434" s="244"/>
    </row>
    <row r="435" spans="30:57" ht="21.75" customHeight="1">
      <c r="AD435" s="262"/>
      <c r="AE435" s="262"/>
      <c r="AF435" s="262"/>
      <c r="AG435" s="262"/>
      <c r="AH435" s="262"/>
      <c r="AI435" s="262"/>
      <c r="AJ435" s="262"/>
      <c r="AK435" s="262"/>
      <c r="AL435" s="262"/>
      <c r="AM435" s="262"/>
      <c r="AN435" s="262"/>
      <c r="AO435" s="262"/>
      <c r="AP435" s="262"/>
      <c r="AQ435" s="262"/>
      <c r="AR435" s="262"/>
      <c r="AS435" s="262"/>
      <c r="AT435" s="262"/>
      <c r="AU435" s="262"/>
      <c r="AV435" s="262"/>
      <c r="AW435" s="262"/>
      <c r="AX435" s="262"/>
      <c r="AY435" s="262"/>
      <c r="AZ435" s="262"/>
      <c r="BA435" s="262"/>
      <c r="BB435" s="262"/>
      <c r="BC435" s="278"/>
      <c r="BD435" s="278"/>
      <c r="BE435" s="389"/>
    </row>
    <row r="436" spans="30:57" ht="21.75" customHeight="1">
      <c r="AD436" s="262"/>
      <c r="AE436" s="262"/>
      <c r="AF436" s="262"/>
      <c r="AG436" s="262"/>
      <c r="AH436" s="262"/>
      <c r="AI436" s="262"/>
      <c r="AJ436" s="262"/>
      <c r="AK436" s="262"/>
      <c r="AL436" s="262"/>
      <c r="AM436" s="262"/>
      <c r="AN436" s="262"/>
      <c r="AO436" s="262"/>
      <c r="AP436" s="262"/>
      <c r="AQ436" s="262"/>
      <c r="AR436" s="262"/>
      <c r="AS436" s="262"/>
      <c r="AT436" s="262"/>
      <c r="AU436" s="262"/>
      <c r="AV436" s="262"/>
      <c r="AW436" s="262"/>
      <c r="AX436" s="262"/>
      <c r="AY436" s="262"/>
      <c r="AZ436" s="262"/>
      <c r="BA436" s="262"/>
      <c r="BB436" s="262"/>
      <c r="BC436" s="30"/>
      <c r="BD436" s="30"/>
      <c r="BE436" s="30"/>
    </row>
    <row r="437" spans="30:57" ht="21.75" customHeight="1">
      <c r="AD437" s="262"/>
      <c r="AE437" s="262"/>
      <c r="AF437" s="262"/>
      <c r="AG437" s="262"/>
      <c r="AH437" s="262"/>
      <c r="AI437" s="262"/>
      <c r="AJ437" s="262"/>
      <c r="AK437" s="262"/>
      <c r="AL437" s="262"/>
      <c r="AM437" s="262"/>
      <c r="AN437" s="262"/>
      <c r="AO437" s="262"/>
      <c r="AP437" s="262"/>
      <c r="AQ437" s="262"/>
      <c r="AR437" s="262"/>
      <c r="AS437" s="262"/>
      <c r="AT437" s="262"/>
      <c r="AU437" s="262"/>
      <c r="AV437" s="262"/>
      <c r="AW437" s="262"/>
      <c r="AX437" s="262"/>
      <c r="AY437" s="262"/>
      <c r="AZ437" s="262"/>
      <c r="BA437" s="262"/>
      <c r="BB437" s="262"/>
      <c r="BC437" s="392"/>
      <c r="BD437" s="392"/>
      <c r="BE437" s="392"/>
    </row>
    <row r="438" spans="30:57" ht="21.75" customHeight="1">
      <c r="AD438" s="262"/>
      <c r="AE438" s="262"/>
      <c r="AF438" s="262"/>
      <c r="AG438" s="262"/>
      <c r="AH438" s="262"/>
      <c r="AI438" s="262"/>
      <c r="AJ438" s="262"/>
      <c r="AK438" s="262"/>
      <c r="AL438" s="262"/>
      <c r="AM438" s="262"/>
      <c r="AN438" s="262"/>
      <c r="AO438" s="262"/>
      <c r="AP438" s="262"/>
      <c r="AQ438" s="262"/>
      <c r="AR438" s="262"/>
      <c r="AS438" s="262"/>
      <c r="AT438" s="262"/>
      <c r="AU438" s="262"/>
      <c r="AV438" s="262"/>
      <c r="AW438" s="262"/>
      <c r="AX438" s="262"/>
      <c r="AY438" s="262"/>
      <c r="AZ438" s="262"/>
      <c r="BA438" s="262"/>
      <c r="BB438" s="262"/>
      <c r="BC438" s="406"/>
      <c r="BD438" s="406"/>
      <c r="BE438" s="406"/>
    </row>
    <row r="439" spans="30:57" ht="21.75" customHeight="1">
      <c r="AD439" s="262"/>
      <c r="AE439" s="262"/>
      <c r="AF439" s="262"/>
      <c r="AG439" s="262"/>
      <c r="AH439" s="262"/>
      <c r="AI439" s="262"/>
      <c r="AJ439" s="262"/>
      <c r="AK439" s="262"/>
      <c r="AL439" s="262"/>
      <c r="AM439" s="262"/>
      <c r="AN439" s="262"/>
      <c r="AO439" s="262"/>
      <c r="AP439" s="262"/>
      <c r="AQ439" s="262"/>
      <c r="AR439" s="262"/>
      <c r="AS439" s="262"/>
      <c r="AT439" s="262"/>
      <c r="AU439" s="262"/>
      <c r="AV439" s="262"/>
      <c r="AW439" s="262"/>
      <c r="AX439" s="262"/>
      <c r="AY439" s="262"/>
      <c r="AZ439" s="262"/>
      <c r="BA439" s="262"/>
      <c r="BB439" s="262"/>
      <c r="BC439" s="30"/>
      <c r="BD439" s="30"/>
      <c r="BE439" s="30"/>
    </row>
    <row r="440" spans="30:57" ht="21.75" customHeight="1">
      <c r="AD440" s="262"/>
      <c r="AE440" s="262"/>
      <c r="AF440" s="262"/>
      <c r="AG440" s="262"/>
      <c r="AH440" s="262"/>
      <c r="AI440" s="262"/>
      <c r="AJ440" s="262"/>
      <c r="AK440" s="262"/>
      <c r="AL440" s="262"/>
      <c r="AM440" s="262"/>
      <c r="AN440" s="262"/>
      <c r="AO440" s="262"/>
      <c r="AP440" s="262"/>
      <c r="AQ440" s="262"/>
      <c r="AR440" s="262"/>
      <c r="AS440" s="262"/>
      <c r="AT440" s="262"/>
      <c r="AU440" s="262"/>
      <c r="AV440" s="262"/>
      <c r="AW440" s="262"/>
      <c r="AX440" s="262"/>
      <c r="AY440" s="262"/>
      <c r="AZ440" s="262"/>
      <c r="BA440" s="262"/>
      <c r="BB440" s="262"/>
      <c r="BC440" s="30"/>
      <c r="BD440" s="30"/>
      <c r="BE440" s="30"/>
    </row>
    <row r="441" spans="30:57" ht="21.75" customHeight="1">
      <c r="AD441" s="262"/>
      <c r="AE441" s="262"/>
      <c r="AF441" s="262"/>
      <c r="AG441" s="262"/>
      <c r="AH441" s="262"/>
      <c r="AI441" s="262"/>
      <c r="AJ441" s="262"/>
      <c r="AK441" s="262"/>
      <c r="AL441" s="262"/>
      <c r="AM441" s="262"/>
      <c r="AN441" s="262"/>
      <c r="AO441" s="262"/>
      <c r="AP441" s="262"/>
      <c r="AQ441" s="262"/>
      <c r="AR441" s="262"/>
      <c r="AS441" s="262"/>
      <c r="AT441" s="262"/>
      <c r="AU441" s="262"/>
      <c r="AV441" s="262"/>
      <c r="AW441" s="262"/>
      <c r="AX441" s="262"/>
      <c r="AY441" s="262"/>
      <c r="AZ441" s="262"/>
      <c r="BA441" s="262"/>
      <c r="BB441" s="262"/>
      <c r="BC441" s="393"/>
      <c r="BD441" s="393"/>
      <c r="BE441" s="393"/>
    </row>
    <row r="442" spans="30:57" ht="21.75" customHeight="1">
      <c r="AD442" s="262"/>
      <c r="AE442" s="262"/>
      <c r="AF442" s="262"/>
      <c r="AG442" s="262"/>
      <c r="AH442" s="262"/>
      <c r="AI442" s="262"/>
      <c r="AJ442" s="262"/>
      <c r="AK442" s="262"/>
      <c r="AL442" s="262"/>
      <c r="AM442" s="262"/>
      <c r="AN442" s="262"/>
      <c r="AO442" s="262"/>
      <c r="AP442" s="262"/>
      <c r="AQ442" s="262"/>
      <c r="AR442" s="262"/>
      <c r="AS442" s="262"/>
      <c r="AT442" s="262"/>
      <c r="AU442" s="262"/>
      <c r="AV442" s="262"/>
      <c r="AW442" s="262"/>
      <c r="AX442" s="262"/>
      <c r="AY442" s="262"/>
      <c r="AZ442" s="262"/>
      <c r="BA442" s="262"/>
      <c r="BB442" s="262"/>
      <c r="BC442" s="393"/>
      <c r="BD442" s="393"/>
      <c r="BE442" s="393"/>
    </row>
    <row r="443" spans="30:57" ht="21.75" customHeight="1">
      <c r="AD443" s="262"/>
      <c r="AE443" s="262"/>
      <c r="AF443" s="262"/>
      <c r="AG443" s="262"/>
      <c r="AH443" s="262"/>
      <c r="AI443" s="262"/>
      <c r="AJ443" s="262"/>
      <c r="AK443" s="262"/>
      <c r="AL443" s="262"/>
      <c r="AM443" s="262"/>
      <c r="AN443" s="262"/>
      <c r="AO443" s="262"/>
      <c r="AP443" s="262"/>
      <c r="AQ443" s="262"/>
      <c r="AR443" s="262"/>
      <c r="AS443" s="262"/>
      <c r="AT443" s="262"/>
      <c r="AU443" s="262"/>
      <c r="AV443" s="262"/>
      <c r="AW443" s="262"/>
      <c r="AX443" s="262"/>
      <c r="AY443" s="262"/>
      <c r="AZ443" s="262"/>
      <c r="BA443" s="262"/>
      <c r="BB443" s="262"/>
      <c r="BC443" s="278"/>
      <c r="BD443" s="278"/>
      <c r="BE443" s="278"/>
    </row>
    <row r="444" spans="30:57" ht="21.75" customHeight="1">
      <c r="AD444" s="262"/>
      <c r="AE444" s="262"/>
      <c r="AF444" s="262"/>
      <c r="AG444" s="262"/>
      <c r="AH444" s="262"/>
      <c r="AI444" s="262"/>
      <c r="AJ444" s="262"/>
      <c r="AK444" s="262"/>
      <c r="AL444" s="262"/>
      <c r="AM444" s="262"/>
      <c r="AN444" s="262"/>
      <c r="AO444" s="262"/>
      <c r="AP444" s="262"/>
      <c r="AQ444" s="262"/>
      <c r="AR444" s="262"/>
      <c r="AS444" s="262"/>
      <c r="AT444" s="262"/>
      <c r="AU444" s="262"/>
      <c r="AV444" s="262"/>
      <c r="AW444" s="262"/>
      <c r="AX444" s="262"/>
      <c r="AY444" s="262"/>
      <c r="AZ444" s="262"/>
      <c r="BA444" s="262"/>
      <c r="BB444" s="262"/>
    </row>
    <row r="445" spans="30:57" ht="21.75" customHeight="1">
      <c r="AD445" s="262"/>
      <c r="AE445" s="262"/>
      <c r="AF445" s="262"/>
      <c r="AG445" s="262"/>
      <c r="AH445" s="262"/>
      <c r="AI445" s="262"/>
      <c r="AJ445" s="262"/>
      <c r="AK445" s="262"/>
      <c r="AL445" s="262"/>
      <c r="AM445" s="262"/>
      <c r="AN445" s="262"/>
      <c r="AO445" s="262"/>
      <c r="AP445" s="262"/>
      <c r="AQ445" s="262"/>
      <c r="AR445" s="262"/>
      <c r="AS445" s="262"/>
      <c r="AT445" s="262"/>
      <c r="AU445" s="262"/>
      <c r="AV445" s="262"/>
      <c r="AW445" s="262"/>
      <c r="AX445" s="262"/>
      <c r="AY445" s="262"/>
      <c r="AZ445" s="262"/>
      <c r="BA445" s="262"/>
      <c r="BB445" s="262"/>
      <c r="BC445" s="395"/>
      <c r="BE445" s="397"/>
    </row>
    <row r="446" spans="30:57" ht="21.75" customHeight="1">
      <c r="AD446" s="262"/>
      <c r="AE446" s="262"/>
      <c r="AF446" s="262"/>
      <c r="AG446" s="262"/>
      <c r="AH446" s="262"/>
      <c r="AI446" s="262"/>
      <c r="AJ446" s="262"/>
      <c r="AK446" s="262"/>
      <c r="AL446" s="262"/>
      <c r="AM446" s="262"/>
      <c r="AN446" s="262"/>
      <c r="AO446" s="262"/>
      <c r="AP446" s="262"/>
      <c r="AQ446" s="262"/>
      <c r="AR446" s="262"/>
      <c r="AS446" s="262"/>
      <c r="AT446" s="262"/>
      <c r="AU446" s="262"/>
      <c r="AV446" s="262"/>
      <c r="AW446" s="262"/>
      <c r="AX446" s="262"/>
      <c r="AY446" s="262"/>
      <c r="AZ446" s="262"/>
      <c r="BA446" s="262"/>
      <c r="BB446" s="262"/>
      <c r="BD446" s="395"/>
      <c r="BE446" s="28"/>
    </row>
    <row r="447" spans="30:57" ht="21.75" customHeight="1">
      <c r="AD447" s="262"/>
      <c r="AE447" s="262"/>
      <c r="AF447" s="262"/>
      <c r="AG447" s="262"/>
      <c r="AH447" s="262"/>
      <c r="AI447" s="262"/>
      <c r="AJ447" s="262"/>
      <c r="AK447" s="262"/>
      <c r="AL447" s="262"/>
      <c r="AM447" s="262"/>
      <c r="AN447" s="262"/>
      <c r="AO447" s="262"/>
      <c r="AP447" s="262"/>
      <c r="AQ447" s="262"/>
      <c r="AR447" s="262"/>
      <c r="AS447" s="262"/>
      <c r="AT447" s="262"/>
      <c r="AU447" s="262"/>
      <c r="AV447" s="262"/>
      <c r="AW447" s="262"/>
      <c r="AX447" s="262"/>
      <c r="AY447" s="262"/>
      <c r="AZ447" s="262"/>
      <c r="BA447" s="262"/>
      <c r="BB447" s="262"/>
      <c r="BE447" s="243"/>
    </row>
    <row r="448" spans="30:57" ht="21.75" customHeight="1">
      <c r="AD448" s="262"/>
      <c r="AE448" s="262"/>
      <c r="AF448" s="262"/>
      <c r="AG448" s="262"/>
      <c r="AH448" s="262"/>
      <c r="AI448" s="262"/>
      <c r="AJ448" s="262"/>
      <c r="AK448" s="262"/>
      <c r="AL448" s="262"/>
      <c r="AM448" s="262"/>
      <c r="AN448" s="262"/>
      <c r="AO448" s="262"/>
      <c r="AP448" s="262"/>
      <c r="AQ448" s="262"/>
      <c r="AR448" s="262"/>
      <c r="AS448" s="262"/>
      <c r="AT448" s="262"/>
      <c r="AU448" s="262"/>
      <c r="AV448" s="262"/>
      <c r="AW448" s="262"/>
      <c r="AX448" s="262"/>
      <c r="AY448" s="262"/>
      <c r="AZ448" s="262"/>
      <c r="BA448" s="262"/>
      <c r="BB448" s="262"/>
      <c r="BC448" s="397"/>
      <c r="BE448" s="244"/>
    </row>
    <row r="449" spans="30:57" ht="21.75" customHeight="1">
      <c r="AD449" s="262"/>
      <c r="AE449" s="262"/>
      <c r="AF449" s="262"/>
      <c r="AG449" s="262"/>
      <c r="AH449" s="262"/>
      <c r="AI449" s="262"/>
      <c r="AJ449" s="262"/>
      <c r="AK449" s="262"/>
      <c r="AL449" s="262"/>
      <c r="AM449" s="262"/>
      <c r="AN449" s="262"/>
      <c r="AO449" s="262"/>
      <c r="AP449" s="262"/>
      <c r="AQ449" s="262"/>
      <c r="AR449" s="262"/>
      <c r="AS449" s="262"/>
      <c r="AT449" s="262"/>
      <c r="AU449" s="262"/>
      <c r="AV449" s="262"/>
      <c r="AW449" s="262"/>
      <c r="AX449" s="262"/>
      <c r="AY449" s="262"/>
      <c r="AZ449" s="262"/>
      <c r="BA449" s="262"/>
      <c r="BB449" s="262"/>
      <c r="BC449" s="397"/>
      <c r="BD449" s="397"/>
      <c r="BE449" s="389"/>
    </row>
    <row r="450" spans="30:57" ht="21.75" customHeight="1">
      <c r="AD450" s="262"/>
      <c r="AE450" s="262"/>
      <c r="AF450" s="262"/>
      <c r="AG450" s="262"/>
      <c r="AH450" s="262"/>
      <c r="AI450" s="262"/>
      <c r="AJ450" s="262"/>
      <c r="AK450" s="262"/>
      <c r="AL450" s="262"/>
      <c r="AM450" s="262"/>
      <c r="AN450" s="262"/>
      <c r="AO450" s="262"/>
      <c r="AP450" s="262"/>
      <c r="AQ450" s="262"/>
      <c r="AR450" s="262"/>
      <c r="AS450" s="262"/>
      <c r="AT450" s="262"/>
      <c r="AU450" s="262"/>
      <c r="AV450" s="262"/>
      <c r="AW450" s="262"/>
      <c r="AX450" s="262"/>
      <c r="AY450" s="262"/>
      <c r="AZ450" s="262"/>
      <c r="BA450" s="262"/>
      <c r="BB450" s="262"/>
      <c r="BD450" s="397"/>
      <c r="BE450" s="30"/>
    </row>
    <row r="451" spans="30:57" ht="21.75" customHeight="1">
      <c r="AD451" s="262"/>
      <c r="AE451" s="262"/>
      <c r="AF451" s="262"/>
      <c r="AG451" s="262"/>
      <c r="AH451" s="262"/>
      <c r="AI451" s="262"/>
      <c r="AJ451" s="262"/>
      <c r="AK451" s="262"/>
      <c r="AL451" s="262"/>
      <c r="AM451" s="262"/>
      <c r="AN451" s="262"/>
      <c r="AO451" s="262"/>
      <c r="AP451" s="262"/>
      <c r="AQ451" s="262"/>
      <c r="AR451" s="262"/>
      <c r="AS451" s="262"/>
      <c r="AT451" s="262"/>
      <c r="AU451" s="262"/>
      <c r="AV451" s="262"/>
      <c r="AW451" s="262"/>
      <c r="AX451" s="262"/>
      <c r="AY451" s="262"/>
      <c r="AZ451" s="262"/>
      <c r="BA451" s="262"/>
      <c r="BB451" s="262"/>
      <c r="BC451" s="420"/>
      <c r="BE451" s="392"/>
    </row>
    <row r="452" spans="30:57" ht="21.75" customHeight="1">
      <c r="AD452" s="262"/>
      <c r="AE452" s="262"/>
      <c r="AF452" s="262"/>
      <c r="AG452" s="262"/>
      <c r="AH452" s="262"/>
      <c r="AI452" s="262"/>
      <c r="AJ452" s="262"/>
      <c r="AK452" s="262"/>
      <c r="AL452" s="262"/>
      <c r="AM452" s="262"/>
      <c r="AN452" s="262"/>
      <c r="AO452" s="262"/>
      <c r="AP452" s="262"/>
      <c r="AQ452" s="262"/>
      <c r="AR452" s="262"/>
      <c r="AS452" s="262"/>
      <c r="AT452" s="262"/>
      <c r="AU452" s="262"/>
      <c r="AV452" s="262"/>
      <c r="AW452" s="262"/>
      <c r="AX452" s="262"/>
      <c r="AY452" s="262"/>
      <c r="AZ452" s="262"/>
      <c r="BA452" s="262"/>
      <c r="BB452" s="262"/>
      <c r="BC452" s="413"/>
      <c r="BD452" s="420"/>
      <c r="BE452" s="406"/>
    </row>
    <row r="453" spans="30:57" ht="21.75" customHeight="1">
      <c r="AD453" s="262"/>
      <c r="AE453" s="262"/>
      <c r="AF453" s="262"/>
      <c r="AG453" s="262"/>
      <c r="AH453" s="262"/>
      <c r="AI453" s="262"/>
      <c r="AJ453" s="262"/>
      <c r="AK453" s="262"/>
      <c r="AL453" s="262"/>
      <c r="AM453" s="262"/>
      <c r="AN453" s="262"/>
      <c r="AO453" s="262"/>
      <c r="AP453" s="262"/>
      <c r="AQ453" s="262"/>
      <c r="AR453" s="262"/>
      <c r="AS453" s="262"/>
      <c r="AT453" s="262"/>
      <c r="AU453" s="262"/>
      <c r="AV453" s="262"/>
      <c r="AW453" s="262"/>
      <c r="AX453" s="262"/>
      <c r="AY453" s="262"/>
      <c r="AZ453" s="262"/>
      <c r="BA453" s="262"/>
      <c r="BB453" s="262"/>
      <c r="BC453" s="278"/>
      <c r="BD453" s="413"/>
      <c r="BE453" s="30"/>
    </row>
    <row r="454" spans="30:57" ht="21.75" customHeight="1">
      <c r="AD454" s="262"/>
      <c r="AE454" s="262"/>
      <c r="AF454" s="262"/>
      <c r="AG454" s="262"/>
      <c r="AH454" s="262"/>
      <c r="AI454" s="262"/>
      <c r="AJ454" s="262"/>
      <c r="AK454" s="262"/>
      <c r="AL454" s="262"/>
      <c r="AM454" s="262"/>
      <c r="AN454" s="262"/>
      <c r="AO454" s="262"/>
      <c r="AP454" s="262"/>
      <c r="AQ454" s="262"/>
      <c r="AR454" s="262"/>
      <c r="AS454" s="262"/>
      <c r="AT454" s="262"/>
      <c r="AU454" s="262"/>
      <c r="AV454" s="262"/>
      <c r="AW454" s="262"/>
      <c r="AX454" s="262"/>
      <c r="AY454" s="262"/>
      <c r="AZ454" s="262"/>
      <c r="BA454" s="262"/>
      <c r="BB454" s="262"/>
      <c r="BC454" s="30"/>
      <c r="BD454" s="278"/>
      <c r="BE454" s="30"/>
    </row>
    <row r="455" spans="30:57" ht="21.75" customHeight="1">
      <c r="AD455" s="262"/>
      <c r="AE455" s="262"/>
      <c r="AF455" s="262"/>
      <c r="AG455" s="262"/>
      <c r="AH455" s="262"/>
      <c r="AI455" s="262"/>
      <c r="AJ455" s="262"/>
      <c r="AK455" s="262"/>
      <c r="AL455" s="262"/>
      <c r="AM455" s="262"/>
      <c r="AN455" s="262"/>
      <c r="AO455" s="262"/>
      <c r="AP455" s="262"/>
      <c r="AQ455" s="262"/>
      <c r="AR455" s="262"/>
      <c r="AS455" s="262"/>
      <c r="AT455" s="262"/>
      <c r="AU455" s="262"/>
      <c r="AV455" s="262"/>
      <c r="AW455" s="262"/>
      <c r="AX455" s="262"/>
      <c r="AY455" s="262"/>
      <c r="AZ455" s="262"/>
      <c r="BA455" s="262"/>
      <c r="BB455" s="262"/>
      <c r="BC455" s="392"/>
      <c r="BD455" s="30"/>
      <c r="BE455" s="393"/>
    </row>
    <row r="456" spans="30:57" ht="21.75" customHeight="1">
      <c r="AD456" s="262"/>
      <c r="AE456" s="262"/>
      <c r="AF456" s="262"/>
      <c r="AG456" s="262"/>
      <c r="AH456" s="262"/>
      <c r="AI456" s="262"/>
      <c r="AJ456" s="262"/>
      <c r="AK456" s="262"/>
      <c r="AL456" s="262"/>
      <c r="AM456" s="262"/>
      <c r="AN456" s="262"/>
      <c r="AO456" s="262"/>
      <c r="AP456" s="262"/>
      <c r="AQ456" s="262"/>
      <c r="AR456" s="262"/>
      <c r="AS456" s="262"/>
      <c r="AT456" s="262"/>
      <c r="AU456" s="262"/>
      <c r="AV456" s="262"/>
      <c r="AW456" s="262"/>
      <c r="AX456" s="262"/>
      <c r="AY456" s="262"/>
      <c r="AZ456" s="262"/>
      <c r="BA456" s="262"/>
      <c r="BB456" s="262"/>
      <c r="BC456" s="406"/>
      <c r="BD456" s="392"/>
      <c r="BE456" s="393"/>
    </row>
    <row r="457" spans="30:57" ht="21.75" customHeight="1">
      <c r="BB457" s="262"/>
      <c r="BC457" s="30"/>
      <c r="BD457" s="406"/>
      <c r="BE457" s="278"/>
    </row>
    <row r="458" spans="30:57" ht="21.75" customHeight="1">
      <c r="BC458" s="30"/>
      <c r="BD458" s="30"/>
    </row>
    <row r="459" spans="30:57" ht="21.75" customHeight="1">
      <c r="BC459" s="393"/>
      <c r="BD459" s="30"/>
      <c r="BE459" s="395"/>
    </row>
    <row r="460" spans="30:57" ht="21.75" customHeight="1">
      <c r="BC460" s="393"/>
      <c r="BD460" s="393"/>
    </row>
    <row r="461" spans="30:57" ht="21.75" customHeight="1">
      <c r="BC461" s="278"/>
      <c r="BD461" s="393"/>
    </row>
    <row r="462" spans="30:57" ht="21.75" customHeight="1">
      <c r="BD462" s="278"/>
    </row>
    <row r="463" spans="30:57" ht="21.75" customHeight="1">
      <c r="BC463" s="395"/>
    </row>
    <row r="464" spans="30:57" ht="21.75" customHeight="1">
      <c r="BD464" s="395"/>
    </row>
    <row r="465" spans="55:57" ht="21.75" customHeight="1">
      <c r="BC465" s="397"/>
    </row>
    <row r="466" spans="55:57" ht="21.75" customHeight="1">
      <c r="BC466" s="397"/>
      <c r="BD466" s="397"/>
    </row>
    <row r="467" spans="55:57" ht="21.75" customHeight="1">
      <c r="BD467" s="397"/>
    </row>
    <row r="468" spans="55:57" ht="21.75" customHeight="1">
      <c r="BC468" s="420"/>
    </row>
    <row r="469" spans="55:57" ht="21.75" customHeight="1">
      <c r="BC469" s="413"/>
      <c r="BD469" s="420"/>
    </row>
    <row r="470" spans="55:57" ht="21.75" customHeight="1">
      <c r="BC470" s="278"/>
      <c r="BD470" s="413"/>
    </row>
    <row r="471" spans="55:57" ht="21.75" customHeight="1">
      <c r="BC471" s="30"/>
      <c r="BD471" s="278"/>
    </row>
    <row r="472" spans="55:57" ht="21.75" customHeight="1">
      <c r="BC472" s="392"/>
      <c r="BD472" s="30"/>
    </row>
    <row r="473" spans="55:57" ht="21.75" customHeight="1">
      <c r="BC473" s="406"/>
      <c r="BD473" s="392"/>
    </row>
    <row r="474" spans="55:57" ht="21.75" customHeight="1">
      <c r="BC474" s="30"/>
      <c r="BD474" s="406"/>
    </row>
    <row r="475" spans="55:57" ht="21.75" customHeight="1">
      <c r="BC475" s="30"/>
      <c r="BD475" s="30"/>
    </row>
    <row r="476" spans="55:57" ht="21.75" customHeight="1">
      <c r="BC476" s="393"/>
      <c r="BD476" s="30"/>
    </row>
    <row r="477" spans="55:57" ht="21.75" customHeight="1">
      <c r="BC477" s="393"/>
      <c r="BD477" s="393"/>
    </row>
    <row r="478" spans="55:57" ht="21.75" customHeight="1">
      <c r="BC478" s="278"/>
      <c r="BD478" s="393"/>
    </row>
    <row r="479" spans="55:57" ht="21.75" customHeight="1">
      <c r="BD479" s="278"/>
      <c r="BE479" s="28"/>
    </row>
    <row r="480" spans="55:57" ht="21.75" customHeight="1">
      <c r="BC480" s="395"/>
      <c r="BE480" s="28"/>
    </row>
    <row r="481" spans="55:57" ht="21.75" customHeight="1">
      <c r="BD481" s="395"/>
      <c r="BE481" s="28"/>
    </row>
    <row r="482" spans="55:57" ht="21.75" customHeight="1">
      <c r="BE482" s="28"/>
    </row>
    <row r="483" spans="55:57" ht="21.75" customHeight="1">
      <c r="BC483" s="397"/>
      <c r="BE483" s="28"/>
    </row>
    <row r="484" spans="55:57" ht="21.75" customHeight="1">
      <c r="BC484" s="397"/>
      <c r="BD484" s="397"/>
      <c r="BE484" s="28"/>
    </row>
    <row r="485" spans="55:57" ht="21.75" customHeight="1">
      <c r="BD485" s="397"/>
      <c r="BE485" s="28"/>
    </row>
    <row r="486" spans="55:57" ht="21.75" customHeight="1">
      <c r="BC486" s="420"/>
      <c r="BE486" s="28"/>
    </row>
    <row r="487" spans="55:57" ht="21.75" customHeight="1">
      <c r="BC487" s="413"/>
      <c r="BD487" s="420"/>
      <c r="BE487" s="28"/>
    </row>
    <row r="488" spans="55:57" ht="21.75" customHeight="1">
      <c r="BC488" s="278"/>
      <c r="BD488" s="413"/>
      <c r="BE488" s="28"/>
    </row>
    <row r="489" spans="55:57" ht="21.75" customHeight="1">
      <c r="BC489" s="30"/>
      <c r="BD489" s="278"/>
      <c r="BE489" s="28"/>
    </row>
    <row r="490" spans="55:57" ht="21.75" customHeight="1">
      <c r="BC490" s="392"/>
      <c r="BD490" s="30"/>
      <c r="BE490" s="28"/>
    </row>
    <row r="491" spans="55:57" ht="21.75" customHeight="1">
      <c r="BC491" s="406"/>
      <c r="BD491" s="392"/>
      <c r="BE491" s="28"/>
    </row>
    <row r="492" spans="55:57" ht="21.75" customHeight="1">
      <c r="BC492" s="30"/>
      <c r="BD492" s="406"/>
      <c r="BE492" s="28"/>
    </row>
    <row r="493" spans="55:57" ht="21.75" customHeight="1">
      <c r="BC493" s="30"/>
      <c r="BD493" s="30"/>
      <c r="BE493" s="28"/>
    </row>
    <row r="494" spans="55:57" ht="21.75" customHeight="1">
      <c r="BC494" s="393"/>
      <c r="BD494" s="30"/>
      <c r="BE494" s="28"/>
    </row>
    <row r="495" spans="55:57" ht="21.75" customHeight="1">
      <c r="BC495" s="393"/>
      <c r="BD495" s="393"/>
      <c r="BE495" s="28"/>
    </row>
    <row r="496" spans="55:57" ht="21.75" customHeight="1">
      <c r="BC496" s="278"/>
      <c r="BD496" s="393"/>
    </row>
    <row r="497" spans="55:56" ht="21.75" customHeight="1">
      <c r="BD497" s="278"/>
    </row>
    <row r="498" spans="55:56" ht="21.75" customHeight="1">
      <c r="BC498" s="395"/>
    </row>
    <row r="499" spans="55:56" ht="21.75" customHeight="1">
      <c r="BD499" s="395"/>
    </row>
    <row r="500" spans="55:56" ht="21.75" customHeight="1">
      <c r="BC500" s="397"/>
    </row>
    <row r="501" spans="55:56" ht="21.75" customHeight="1">
      <c r="BC501" s="397"/>
      <c r="BD501" s="397"/>
    </row>
    <row r="502" spans="55:56" ht="21.75" customHeight="1">
      <c r="BD502" s="397"/>
    </row>
    <row r="503" spans="55:56" ht="21.75" customHeight="1">
      <c r="BC503" s="420"/>
    </row>
    <row r="504" spans="55:56" ht="21.75" customHeight="1">
      <c r="BC504" s="413"/>
      <c r="BD504" s="420"/>
    </row>
    <row r="505" spans="55:56" ht="21.75" customHeight="1">
      <c r="BC505" s="278"/>
      <c r="BD505" s="413"/>
    </row>
    <row r="506" spans="55:56" ht="21.75" customHeight="1">
      <c r="BC506" s="30"/>
      <c r="BD506" s="278"/>
    </row>
    <row r="507" spans="55:56" ht="21.75" customHeight="1">
      <c r="BC507" s="392"/>
      <c r="BD507" s="30"/>
    </row>
    <row r="508" spans="55:56" ht="21.75" customHeight="1">
      <c r="BC508" s="406"/>
      <c r="BD508" s="392"/>
    </row>
    <row r="509" spans="55:56" ht="21.75" customHeight="1">
      <c r="BC509" s="30"/>
      <c r="BD509" s="406"/>
    </row>
    <row r="510" spans="55:56" ht="21.75" customHeight="1">
      <c r="BC510" s="30"/>
      <c r="BD510" s="30"/>
    </row>
    <row r="511" spans="55:56" ht="21.75" customHeight="1">
      <c r="BC511" s="393"/>
      <c r="BD511" s="30"/>
    </row>
    <row r="512" spans="55:56" ht="21.75" customHeight="1">
      <c r="BC512" s="393"/>
      <c r="BD512" s="393"/>
    </row>
    <row r="513" spans="55:56" ht="21.75" customHeight="1">
      <c r="BC513" s="278"/>
      <c r="BD513" s="393"/>
    </row>
    <row r="514" spans="55:56" ht="21.75" customHeight="1">
      <c r="BD514" s="278"/>
    </row>
    <row r="515" spans="55:56" ht="21.75" customHeight="1">
      <c r="BC515" s="395"/>
    </row>
    <row r="516" spans="55:56" ht="21.75" customHeight="1">
      <c r="BD516" s="395"/>
    </row>
    <row r="518" spans="55:56" ht="21.75" customHeight="1">
      <c r="BC518" s="397"/>
    </row>
    <row r="519" spans="55:56" ht="21.75" customHeight="1">
      <c r="BC519" s="397"/>
      <c r="BD519" s="397"/>
    </row>
    <row r="520" spans="55:56" ht="21.75" customHeight="1">
      <c r="BD520" s="397"/>
    </row>
    <row r="521" spans="55:56" ht="21.75" customHeight="1">
      <c r="BC521" s="420"/>
    </row>
    <row r="522" spans="55:56" ht="21.75" customHeight="1">
      <c r="BC522" s="413"/>
      <c r="BD522" s="420"/>
    </row>
    <row r="523" spans="55:56" ht="21.75" customHeight="1">
      <c r="BC523" s="278"/>
      <c r="BD523" s="413"/>
    </row>
    <row r="524" spans="55:56" ht="21.75" customHeight="1">
      <c r="BC524" s="30"/>
      <c r="BD524" s="278"/>
    </row>
    <row r="525" spans="55:56" ht="21.75" customHeight="1">
      <c r="BC525" s="392"/>
      <c r="BD525" s="30"/>
    </row>
    <row r="526" spans="55:56" ht="21.75" customHeight="1">
      <c r="BC526" s="406"/>
      <c r="BD526" s="392"/>
    </row>
    <row r="527" spans="55:56" ht="21.75" customHeight="1">
      <c r="BC527" s="30"/>
      <c r="BD527" s="406"/>
    </row>
    <row r="528" spans="55:56" ht="21.75" customHeight="1">
      <c r="BC528" s="30"/>
      <c r="BD528" s="30"/>
    </row>
    <row r="529" spans="55:56" ht="21.75" customHeight="1">
      <c r="BC529" s="393"/>
      <c r="BD529" s="30"/>
    </row>
    <row r="530" spans="55:56" ht="21.75" customHeight="1">
      <c r="BC530" s="393"/>
      <c r="BD530" s="393"/>
    </row>
    <row r="531" spans="55:56" ht="21.75" customHeight="1">
      <c r="BC531" s="278"/>
      <c r="BD531" s="393"/>
    </row>
    <row r="532" spans="55:56" ht="21.75" customHeight="1">
      <c r="BD532" s="278"/>
    </row>
    <row r="533" spans="55:56" ht="21.75" customHeight="1">
      <c r="BC533" s="395"/>
    </row>
    <row r="534" spans="55:56" ht="21.75" customHeight="1">
      <c r="BD534" s="395"/>
    </row>
    <row r="536" spans="55:56" ht="21.75" customHeight="1">
      <c r="BC536" s="397"/>
    </row>
    <row r="537" spans="55:56" ht="21.75" customHeight="1">
      <c r="BC537" s="397"/>
      <c r="BD537" s="397"/>
    </row>
    <row r="538" spans="55:56" ht="21.75" customHeight="1">
      <c r="BD538" s="397"/>
    </row>
    <row r="539" spans="55:56" ht="21.75" customHeight="1">
      <c r="BC539" s="420"/>
    </row>
    <row r="540" spans="55:56" ht="21.75" customHeight="1">
      <c r="BC540" s="413"/>
      <c r="BD540" s="420"/>
    </row>
    <row r="541" spans="55:56" ht="21.75" customHeight="1">
      <c r="BC541" s="278"/>
      <c r="BD541" s="413"/>
    </row>
    <row r="542" spans="55:56" ht="21.75" customHeight="1">
      <c r="BC542" s="30"/>
      <c r="BD542" s="278"/>
    </row>
    <row r="543" spans="55:56" ht="21.75" customHeight="1">
      <c r="BC543" s="392"/>
      <c r="BD543" s="30"/>
    </row>
    <row r="544" spans="55:56" ht="21.75" customHeight="1">
      <c r="BC544" s="406"/>
      <c r="BD544" s="392"/>
    </row>
    <row r="545" spans="55:56" ht="21.75" customHeight="1">
      <c r="BC545" s="30"/>
      <c r="BD545" s="406"/>
    </row>
    <row r="546" spans="55:56" ht="21.75" customHeight="1">
      <c r="BC546" s="30"/>
      <c r="BD546" s="30"/>
    </row>
    <row r="547" spans="55:56" ht="21.75" customHeight="1">
      <c r="BC547" s="393"/>
      <c r="BD547" s="30"/>
    </row>
    <row r="548" spans="55:56" ht="21.75" customHeight="1">
      <c r="BC548" s="393"/>
      <c r="BD548" s="393"/>
    </row>
    <row r="549" spans="55:56" ht="21.75" customHeight="1">
      <c r="BC549" s="278"/>
      <c r="BD549" s="393"/>
    </row>
    <row r="550" spans="55:56" ht="21.75" customHeight="1">
      <c r="BD550" s="278"/>
    </row>
    <row r="551" spans="55:56" ht="21.75" customHeight="1">
      <c r="BC551" s="395"/>
    </row>
    <row r="552" spans="55:56" ht="21.75" customHeight="1">
      <c r="BD552" s="395"/>
    </row>
    <row r="731" spans="55:55" ht="21.75" customHeight="1">
      <c r="BC731" s="262"/>
    </row>
    <row r="732" spans="55:55" ht="21.75" customHeight="1">
      <c r="BC732" s="262"/>
    </row>
    <row r="733" spans="55:55" ht="21.75" customHeight="1">
      <c r="BC733" s="262"/>
    </row>
    <row r="734" spans="55:55" ht="21.75" customHeight="1">
      <c r="BC734" s="262"/>
    </row>
    <row r="735" spans="55:55" ht="21.75" customHeight="1">
      <c r="BC735" s="262"/>
    </row>
    <row r="736" spans="55:55" ht="21.75" customHeight="1">
      <c r="BC736" s="262"/>
    </row>
    <row r="737" spans="55:55" ht="21.75" customHeight="1">
      <c r="BC737" s="262"/>
    </row>
    <row r="738" spans="55:55" ht="21.75" customHeight="1">
      <c r="BC738" s="262"/>
    </row>
    <row r="739" spans="55:55" ht="21.75" customHeight="1">
      <c r="BC739" s="262"/>
    </row>
    <row r="740" spans="55:55" ht="21.75" customHeight="1">
      <c r="BC740" s="262"/>
    </row>
    <row r="741" spans="55:55" ht="21.75" customHeight="1">
      <c r="BC741" s="262"/>
    </row>
    <row r="742" spans="55:55" ht="21.75" customHeight="1">
      <c r="BC742" s="262"/>
    </row>
    <row r="743" spans="55:55" ht="21.75" customHeight="1">
      <c r="BC743" s="262"/>
    </row>
    <row r="744" spans="55:55" ht="21.75" customHeight="1">
      <c r="BC744" s="262"/>
    </row>
    <row r="745" spans="55:55" ht="21.75" customHeight="1">
      <c r="BC745" s="262"/>
    </row>
    <row r="746" spans="55:55" ht="21.75" customHeight="1">
      <c r="BC746" s="262"/>
    </row>
    <row r="747" spans="55:55" ht="21.75" customHeight="1">
      <c r="BC747" s="262"/>
    </row>
    <row r="748" spans="55:55" ht="21.75" customHeight="1">
      <c r="BC748" s="262"/>
    </row>
    <row r="749" spans="55:55" ht="21.75" customHeight="1">
      <c r="BC749" s="262"/>
    </row>
    <row r="750" spans="55:55" ht="21.75" customHeight="1">
      <c r="BC750" s="262"/>
    </row>
    <row r="751" spans="55:55" ht="21.75" customHeight="1">
      <c r="BC751" s="262"/>
    </row>
    <row r="752" spans="55:55" ht="21.75" customHeight="1">
      <c r="BC752" s="262"/>
    </row>
    <row r="753" spans="55:55" ht="21.75" customHeight="1">
      <c r="BC753" s="262"/>
    </row>
    <row r="754" spans="55:55" ht="21.75" customHeight="1">
      <c r="BC754" s="262"/>
    </row>
    <row r="755" spans="55:55" ht="21.75" customHeight="1">
      <c r="BC755" s="262"/>
    </row>
    <row r="756" spans="55:55" ht="21.75" customHeight="1">
      <c r="BC756" s="262"/>
    </row>
    <row r="757" spans="55:55" ht="21.75" customHeight="1">
      <c r="BC757" s="262"/>
    </row>
    <row r="758" spans="55:55" ht="21.75" customHeight="1">
      <c r="BC758" s="262"/>
    </row>
    <row r="759" spans="55:55" ht="21.75" customHeight="1">
      <c r="BC759" s="262"/>
    </row>
    <row r="760" spans="55:55" ht="21.75" customHeight="1">
      <c r="BC760" s="262"/>
    </row>
    <row r="761" spans="55:55" ht="21.75" customHeight="1">
      <c r="BC761" s="262"/>
    </row>
    <row r="762" spans="55:55" ht="21.75" customHeight="1">
      <c r="BC762" s="262"/>
    </row>
    <row r="763" spans="55:55" ht="21.75" customHeight="1">
      <c r="BC763" s="262"/>
    </row>
    <row r="764" spans="55:55" ht="21.75" customHeight="1">
      <c r="BC764" s="262"/>
    </row>
    <row r="765" spans="55:55" ht="21.75" customHeight="1">
      <c r="BC765" s="262"/>
    </row>
    <row r="766" spans="55:55" ht="21.75" customHeight="1">
      <c r="BC766" s="262"/>
    </row>
    <row r="767" spans="55:55" ht="21.75" customHeight="1">
      <c r="BC767" s="262"/>
    </row>
    <row r="768" spans="55:55" ht="21.75" customHeight="1">
      <c r="BC768" s="262"/>
    </row>
    <row r="769" spans="55:55" ht="21.75" customHeight="1">
      <c r="BC769" s="262"/>
    </row>
    <row r="770" spans="55:55" ht="21.75" customHeight="1">
      <c r="BC770" s="262"/>
    </row>
    <row r="771" spans="55:55" ht="21.75" customHeight="1">
      <c r="BC771" s="262"/>
    </row>
    <row r="772" spans="55:55" ht="21.75" customHeight="1">
      <c r="BC772" s="262"/>
    </row>
    <row r="773" spans="55:55" ht="21.75" customHeight="1">
      <c r="BC773" s="262"/>
    </row>
    <row r="774" spans="55:55" ht="21.75" customHeight="1">
      <c r="BC774" s="262"/>
    </row>
    <row r="775" spans="55:55" ht="21.75" customHeight="1">
      <c r="BC775" s="262"/>
    </row>
    <row r="776" spans="55:55" ht="21.75" customHeight="1">
      <c r="BC776" s="262"/>
    </row>
    <row r="777" spans="55:55" ht="21.75" customHeight="1">
      <c r="BC777" s="262"/>
    </row>
    <row r="778" spans="55:55" ht="21.75" customHeight="1">
      <c r="BC778" s="262"/>
    </row>
    <row r="779" spans="55:55" ht="21.75" customHeight="1">
      <c r="BC779" s="262"/>
    </row>
    <row r="780" spans="55:55" ht="21.75" customHeight="1">
      <c r="BC780" s="262"/>
    </row>
    <row r="781" spans="55:55" ht="21.75" customHeight="1">
      <c r="BC781" s="262"/>
    </row>
    <row r="782" spans="55:55" ht="21.75" customHeight="1">
      <c r="BC782" s="262"/>
    </row>
    <row r="783" spans="55:55" ht="21.75" customHeight="1">
      <c r="BC783" s="262"/>
    </row>
    <row r="784" spans="55:55" ht="21.75" customHeight="1">
      <c r="BC784" s="262"/>
    </row>
    <row r="785" spans="55:55" ht="21.75" customHeight="1">
      <c r="BC785" s="262"/>
    </row>
    <row r="786" spans="55:55" ht="21.75" customHeight="1">
      <c r="BC786" s="262"/>
    </row>
    <row r="787" spans="55:55" ht="21.75" customHeight="1">
      <c r="BC787" s="262"/>
    </row>
    <row r="788" spans="55:55" ht="21.75" customHeight="1">
      <c r="BC788" s="262"/>
    </row>
    <row r="789" spans="55:55" ht="21.75" customHeight="1">
      <c r="BC789" s="262"/>
    </row>
    <row r="790" spans="55:55" ht="21.75" customHeight="1">
      <c r="BC790" s="262"/>
    </row>
    <row r="791" spans="55:55" ht="21.75" customHeight="1">
      <c r="BC791" s="262"/>
    </row>
    <row r="792" spans="55:55" ht="21.75" customHeight="1">
      <c r="BC792" s="262"/>
    </row>
    <row r="793" spans="55:55" ht="21.75" customHeight="1">
      <c r="BC793" s="262"/>
    </row>
    <row r="794" spans="55:55" ht="21.75" customHeight="1">
      <c r="BC794" s="262"/>
    </row>
    <row r="795" spans="55:55" ht="21.75" customHeight="1">
      <c r="BC795" s="262"/>
    </row>
    <row r="796" spans="55:55" ht="21.75" customHeight="1">
      <c r="BC796" s="262"/>
    </row>
    <row r="797" spans="55:55" ht="21.75" customHeight="1">
      <c r="BC797" s="262"/>
    </row>
    <row r="798" spans="55:55" ht="21.75" customHeight="1">
      <c r="BC798" s="262"/>
    </row>
    <row r="799" spans="55:55" ht="21.75" customHeight="1">
      <c r="BC799" s="262"/>
    </row>
    <row r="800" spans="55:55" ht="21.75" customHeight="1">
      <c r="BC800" s="262"/>
    </row>
    <row r="801" spans="55:55" ht="21.75" customHeight="1">
      <c r="BC801" s="262"/>
    </row>
    <row r="802" spans="55:55" ht="21.75" customHeight="1">
      <c r="BC802" s="262"/>
    </row>
    <row r="803" spans="55:55" ht="21.75" customHeight="1">
      <c r="BC803" s="262"/>
    </row>
    <row r="804" spans="55:55" ht="21.75" customHeight="1">
      <c r="BC804" s="262"/>
    </row>
    <row r="805" spans="55:55" ht="21.75" customHeight="1">
      <c r="BC805" s="262"/>
    </row>
    <row r="806" spans="55:55" ht="21.75" customHeight="1">
      <c r="BC806" s="262"/>
    </row>
    <row r="807" spans="55:55" ht="21.75" customHeight="1">
      <c r="BC807" s="262"/>
    </row>
    <row r="808" spans="55:55" ht="21.75" customHeight="1">
      <c r="BC808" s="262"/>
    </row>
    <row r="809" spans="55:55" ht="21.75" customHeight="1">
      <c r="BC809" s="262"/>
    </row>
    <row r="810" spans="55:55" ht="21.75" customHeight="1">
      <c r="BC810" s="262"/>
    </row>
  </sheetData>
  <mergeCells count="2918">
    <mergeCell ref="D352:E352"/>
    <mergeCell ref="G352:H352"/>
    <mergeCell ref="J352:K352"/>
    <mergeCell ref="M352:N352"/>
    <mergeCell ref="P352:Q352"/>
    <mergeCell ref="S352:T352"/>
    <mergeCell ref="V352:W352"/>
    <mergeCell ref="Y352:Z352"/>
    <mergeCell ref="D370:E370"/>
    <mergeCell ref="G370:H370"/>
    <mergeCell ref="J370:K370"/>
    <mergeCell ref="M370:N370"/>
    <mergeCell ref="P370:Q370"/>
    <mergeCell ref="S370:T370"/>
    <mergeCell ref="V370:W370"/>
    <mergeCell ref="Y370:Z370"/>
    <mergeCell ref="D299:E299"/>
    <mergeCell ref="G299:H299"/>
    <mergeCell ref="J299:K299"/>
    <mergeCell ref="M299:N299"/>
    <mergeCell ref="P299:Q299"/>
    <mergeCell ref="S299:T299"/>
    <mergeCell ref="V299:W299"/>
    <mergeCell ref="Y299:Z299"/>
    <mergeCell ref="D317:E317"/>
    <mergeCell ref="G317:H317"/>
    <mergeCell ref="J317:K317"/>
    <mergeCell ref="M317:N317"/>
    <mergeCell ref="P317:Q317"/>
    <mergeCell ref="S317:T317"/>
    <mergeCell ref="V317:W317"/>
    <mergeCell ref="Y317:Z317"/>
    <mergeCell ref="D334:E334"/>
    <mergeCell ref="G334:H334"/>
    <mergeCell ref="J334:K334"/>
    <mergeCell ref="M334:N334"/>
    <mergeCell ref="P334:Q334"/>
    <mergeCell ref="S334:T334"/>
    <mergeCell ref="V334:W334"/>
    <mergeCell ref="Y334:Z334"/>
    <mergeCell ref="D247:E247"/>
    <mergeCell ref="G247:H247"/>
    <mergeCell ref="J247:K247"/>
    <mergeCell ref="M247:N247"/>
    <mergeCell ref="P247:Q247"/>
    <mergeCell ref="S247:T247"/>
    <mergeCell ref="V247:W247"/>
    <mergeCell ref="Y247:Z247"/>
    <mergeCell ref="D264:E264"/>
    <mergeCell ref="G264:H264"/>
    <mergeCell ref="J264:K264"/>
    <mergeCell ref="M264:N264"/>
    <mergeCell ref="P264:Q264"/>
    <mergeCell ref="S264:T264"/>
    <mergeCell ref="V264:W264"/>
    <mergeCell ref="Y264:Z264"/>
    <mergeCell ref="D282:E282"/>
    <mergeCell ref="G282:H282"/>
    <mergeCell ref="J282:K282"/>
    <mergeCell ref="M282:N282"/>
    <mergeCell ref="P282:Q282"/>
    <mergeCell ref="S282:T282"/>
    <mergeCell ref="V282:W282"/>
    <mergeCell ref="Y282:Z282"/>
    <mergeCell ref="D194:E194"/>
    <mergeCell ref="G194:H194"/>
    <mergeCell ref="J194:K194"/>
    <mergeCell ref="M194:N194"/>
    <mergeCell ref="P194:Q194"/>
    <mergeCell ref="S194:T194"/>
    <mergeCell ref="V194:W194"/>
    <mergeCell ref="Y194:Z194"/>
    <mergeCell ref="D212:E212"/>
    <mergeCell ref="G212:H212"/>
    <mergeCell ref="J212:K212"/>
    <mergeCell ref="M212:N212"/>
    <mergeCell ref="P212:Q212"/>
    <mergeCell ref="S212:T212"/>
    <mergeCell ref="V212:W212"/>
    <mergeCell ref="Y212:Z212"/>
    <mergeCell ref="D230:E230"/>
    <mergeCell ref="G230:H230"/>
    <mergeCell ref="J230:K230"/>
    <mergeCell ref="M230:N230"/>
    <mergeCell ref="P230:Q230"/>
    <mergeCell ref="S230:T230"/>
    <mergeCell ref="V230:W230"/>
    <mergeCell ref="Y230:Z230"/>
    <mergeCell ref="A200:E200"/>
    <mergeCell ref="J200:K200"/>
    <mergeCell ref="A201:B201"/>
    <mergeCell ref="C201:D201"/>
    <mergeCell ref="B203:D203"/>
    <mergeCell ref="E203:G203"/>
    <mergeCell ref="H203:J203"/>
    <mergeCell ref="K203:M203"/>
    <mergeCell ref="D123:E123"/>
    <mergeCell ref="G123:H123"/>
    <mergeCell ref="J123:K123"/>
    <mergeCell ref="M123:N123"/>
    <mergeCell ref="P123:Q123"/>
    <mergeCell ref="S123:T123"/>
    <mergeCell ref="V123:W123"/>
    <mergeCell ref="Y123:Z123"/>
    <mergeCell ref="D141:E141"/>
    <mergeCell ref="G141:H141"/>
    <mergeCell ref="J141:K141"/>
    <mergeCell ref="M141:N141"/>
    <mergeCell ref="P141:Q141"/>
    <mergeCell ref="S141:T141"/>
    <mergeCell ref="V141:W141"/>
    <mergeCell ref="Y141:Z141"/>
    <mergeCell ref="D158:E158"/>
    <mergeCell ref="G158:H158"/>
    <mergeCell ref="J158:K158"/>
    <mergeCell ref="M158:N158"/>
    <mergeCell ref="P158:Q158"/>
    <mergeCell ref="S158:T158"/>
    <mergeCell ref="V158:W158"/>
    <mergeCell ref="Y158:Z158"/>
    <mergeCell ref="Q133:S133"/>
    <mergeCell ref="T133:V133"/>
    <mergeCell ref="W133:Y133"/>
    <mergeCell ref="Z133:AB133"/>
    <mergeCell ref="B134:D134"/>
    <mergeCell ref="E134:G134"/>
    <mergeCell ref="H134:J134"/>
    <mergeCell ref="K134:M134"/>
    <mergeCell ref="D54:E54"/>
    <mergeCell ref="G54:H54"/>
    <mergeCell ref="J54:K54"/>
    <mergeCell ref="M54:N54"/>
    <mergeCell ref="P54:Q54"/>
    <mergeCell ref="S54:T54"/>
    <mergeCell ref="V54:W54"/>
    <mergeCell ref="Y54:Z54"/>
    <mergeCell ref="D71:E71"/>
    <mergeCell ref="G71:H71"/>
    <mergeCell ref="J71:K71"/>
    <mergeCell ref="M71:N71"/>
    <mergeCell ref="P71:Q71"/>
    <mergeCell ref="S71:T71"/>
    <mergeCell ref="V71:W71"/>
    <mergeCell ref="Y71:Z71"/>
    <mergeCell ref="Q45:S45"/>
    <mergeCell ref="T45:V45"/>
    <mergeCell ref="W45:Y45"/>
    <mergeCell ref="Z45:AB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B45:D45"/>
    <mergeCell ref="E45:G45"/>
    <mergeCell ref="H45:J45"/>
    <mergeCell ref="C25:D25"/>
    <mergeCell ref="A25:B25"/>
    <mergeCell ref="B27:D27"/>
    <mergeCell ref="E27:G27"/>
    <mergeCell ref="H27:J27"/>
    <mergeCell ref="K27:M27"/>
    <mergeCell ref="N27:P27"/>
    <mergeCell ref="AN36:AN37"/>
    <mergeCell ref="AM35:AM36"/>
    <mergeCell ref="AN34:AN35"/>
    <mergeCell ref="AM33:AM34"/>
    <mergeCell ref="AN32:AN33"/>
    <mergeCell ref="AM31:AM32"/>
    <mergeCell ref="AO31:AO32"/>
    <mergeCell ref="AO33:AO34"/>
    <mergeCell ref="AG35:AG36"/>
    <mergeCell ref="AH32:AH33"/>
    <mergeCell ref="AG33:AG34"/>
    <mergeCell ref="AH34:AH35"/>
    <mergeCell ref="AH36:AH37"/>
    <mergeCell ref="AJ30:AJ31"/>
    <mergeCell ref="AJ32:AJ33"/>
    <mergeCell ref="AJ34:AJ35"/>
    <mergeCell ref="AI31:AI32"/>
    <mergeCell ref="AI33:AI34"/>
    <mergeCell ref="AI35:AI36"/>
    <mergeCell ref="AJ36:AJ37"/>
    <mergeCell ref="B28:D28"/>
    <mergeCell ref="E28:G28"/>
    <mergeCell ref="H28:J28"/>
    <mergeCell ref="Y36:Z36"/>
    <mergeCell ref="K28:M28"/>
    <mergeCell ref="N28:P28"/>
    <mergeCell ref="AG29:AG30"/>
    <mergeCell ref="AI29:AI30"/>
    <mergeCell ref="AM29:AM30"/>
    <mergeCell ref="AO29:AO30"/>
    <mergeCell ref="AH30:AH31"/>
    <mergeCell ref="AG31:AG32"/>
    <mergeCell ref="AN30:AN31"/>
    <mergeCell ref="AM28:AN28"/>
    <mergeCell ref="AG28:AJ28"/>
    <mergeCell ref="Q27:S27"/>
    <mergeCell ref="T27:V27"/>
    <mergeCell ref="W27:Y27"/>
    <mergeCell ref="Z27:AB27"/>
    <mergeCell ref="P32:Q32"/>
    <mergeCell ref="S32:T32"/>
    <mergeCell ref="V32:W32"/>
    <mergeCell ref="Y32:Z32"/>
    <mergeCell ref="T28:V28"/>
    <mergeCell ref="W28:Y28"/>
    <mergeCell ref="Z28:AB28"/>
    <mergeCell ref="G35:H35"/>
    <mergeCell ref="J35:K35"/>
    <mergeCell ref="W37:Y37"/>
    <mergeCell ref="Z37:AB37"/>
    <mergeCell ref="K37:M37"/>
    <mergeCell ref="N37:P37"/>
    <mergeCell ref="Q37:S37"/>
    <mergeCell ref="T37:V37"/>
    <mergeCell ref="S35:T35"/>
    <mergeCell ref="V35:W35"/>
    <mergeCell ref="Y35:Z35"/>
    <mergeCell ref="D36:E36"/>
    <mergeCell ref="G36:H36"/>
    <mergeCell ref="J36:K36"/>
    <mergeCell ref="M36:N36"/>
    <mergeCell ref="P36:Q36"/>
    <mergeCell ref="S36:T36"/>
    <mergeCell ref="V36:W36"/>
    <mergeCell ref="M35:N35"/>
    <mergeCell ref="A43:B43"/>
    <mergeCell ref="C43:D43"/>
    <mergeCell ref="Q39:S39"/>
    <mergeCell ref="T39:V39"/>
    <mergeCell ref="W39:Y39"/>
    <mergeCell ref="Z39:AB39"/>
    <mergeCell ref="N39:P39"/>
    <mergeCell ref="B39:D39"/>
    <mergeCell ref="E39:G39"/>
    <mergeCell ref="H39:J39"/>
    <mergeCell ref="K39:M39"/>
    <mergeCell ref="A42:E42"/>
    <mergeCell ref="F42:I42"/>
    <mergeCell ref="J42:K42"/>
    <mergeCell ref="B37:D37"/>
    <mergeCell ref="E37:G37"/>
    <mergeCell ref="H37:J37"/>
    <mergeCell ref="K45:M45"/>
    <mergeCell ref="N45:P45"/>
    <mergeCell ref="Q47:S47"/>
    <mergeCell ref="T47:V47"/>
    <mergeCell ref="W47:Y47"/>
    <mergeCell ref="Z47:AB47"/>
    <mergeCell ref="D50:E50"/>
    <mergeCell ref="G50:H50"/>
    <mergeCell ref="J50:K50"/>
    <mergeCell ref="M50:N50"/>
    <mergeCell ref="P50:Q50"/>
    <mergeCell ref="S50:T50"/>
    <mergeCell ref="V50:W50"/>
    <mergeCell ref="Y50:Z50"/>
    <mergeCell ref="B47:D47"/>
    <mergeCell ref="E47:G47"/>
    <mergeCell ref="H47:J47"/>
    <mergeCell ref="K47:M47"/>
    <mergeCell ref="N47:P47"/>
    <mergeCell ref="D53:E53"/>
    <mergeCell ref="G53:H53"/>
    <mergeCell ref="J53:K53"/>
    <mergeCell ref="M53:N53"/>
    <mergeCell ref="P53:Q53"/>
    <mergeCell ref="S53:T53"/>
    <mergeCell ref="V53:W53"/>
    <mergeCell ref="Y53:Z53"/>
    <mergeCell ref="AI49:AI50"/>
    <mergeCell ref="AM49:AM50"/>
    <mergeCell ref="AO49:AO50"/>
    <mergeCell ref="AQ49:AQ50"/>
    <mergeCell ref="AS49:AS50"/>
    <mergeCell ref="AW49:AW50"/>
    <mergeCell ref="AY49:AY50"/>
    <mergeCell ref="AH50:AH51"/>
    <mergeCell ref="AJ50:AJ51"/>
    <mergeCell ref="AM51:AM52"/>
    <mergeCell ref="AO51:AO52"/>
    <mergeCell ref="AQ51:AQ52"/>
    <mergeCell ref="AS51:AS52"/>
    <mergeCell ref="AW51:AW52"/>
    <mergeCell ref="AY51:AY52"/>
    <mergeCell ref="AH52:AH53"/>
    <mergeCell ref="AJ52:AJ53"/>
    <mergeCell ref="AN52:AN53"/>
    <mergeCell ref="AP52:AP53"/>
    <mergeCell ref="AR52:AR53"/>
    <mergeCell ref="AT52:AT53"/>
    <mergeCell ref="AX52:AX53"/>
    <mergeCell ref="AR50:AR51"/>
    <mergeCell ref="AT50:AT51"/>
    <mergeCell ref="Q55:S55"/>
    <mergeCell ref="T55:V55"/>
    <mergeCell ref="W55:Y55"/>
    <mergeCell ref="Z55:AB55"/>
    <mergeCell ref="J59:K59"/>
    <mergeCell ref="B55:D55"/>
    <mergeCell ref="E55:G55"/>
    <mergeCell ref="H55:J55"/>
    <mergeCell ref="K55:M55"/>
    <mergeCell ref="N55:P55"/>
    <mergeCell ref="B57:D57"/>
    <mergeCell ref="E57:G57"/>
    <mergeCell ref="H57:J57"/>
    <mergeCell ref="K57:M57"/>
    <mergeCell ref="N57:P57"/>
    <mergeCell ref="Q57:S57"/>
    <mergeCell ref="T57:V57"/>
    <mergeCell ref="W57:Y57"/>
    <mergeCell ref="Z57:AB57"/>
    <mergeCell ref="A59:E59"/>
    <mergeCell ref="A60:B60"/>
    <mergeCell ref="C60:D60"/>
    <mergeCell ref="B62:D62"/>
    <mergeCell ref="E62:G62"/>
    <mergeCell ref="H62:J62"/>
    <mergeCell ref="K62:M62"/>
    <mergeCell ref="N62:P62"/>
    <mergeCell ref="Q62:S62"/>
    <mergeCell ref="T62:V62"/>
    <mergeCell ref="W62:Y62"/>
    <mergeCell ref="Z62:AB62"/>
    <mergeCell ref="A61:E61"/>
    <mergeCell ref="F61:J61"/>
    <mergeCell ref="K61:O61"/>
    <mergeCell ref="P61:T61"/>
    <mergeCell ref="U61:Y61"/>
    <mergeCell ref="Z61:AB61"/>
    <mergeCell ref="Q63:S63"/>
    <mergeCell ref="T63:V63"/>
    <mergeCell ref="W63:Y63"/>
    <mergeCell ref="Z63:AB63"/>
    <mergeCell ref="B64:D64"/>
    <mergeCell ref="E64:G64"/>
    <mergeCell ref="H64:J64"/>
    <mergeCell ref="K64:M64"/>
    <mergeCell ref="N64:P64"/>
    <mergeCell ref="Q64:S64"/>
    <mergeCell ref="T64:V64"/>
    <mergeCell ref="W64:Y64"/>
    <mergeCell ref="Z64:AB64"/>
    <mergeCell ref="B63:D63"/>
    <mergeCell ref="E63:G63"/>
    <mergeCell ref="H63:J63"/>
    <mergeCell ref="K63:M63"/>
    <mergeCell ref="N63:P63"/>
    <mergeCell ref="F76:I76"/>
    <mergeCell ref="D70:E70"/>
    <mergeCell ref="G70:H70"/>
    <mergeCell ref="J70:K70"/>
    <mergeCell ref="M70:N70"/>
    <mergeCell ref="P70:Q70"/>
    <mergeCell ref="S70:T70"/>
    <mergeCell ref="V70:W70"/>
    <mergeCell ref="Y70:Z70"/>
    <mergeCell ref="S67:T67"/>
    <mergeCell ref="V67:W67"/>
    <mergeCell ref="Y67:Z67"/>
    <mergeCell ref="D67:E67"/>
    <mergeCell ref="G67:H67"/>
    <mergeCell ref="J67:K67"/>
    <mergeCell ref="M67:N67"/>
    <mergeCell ref="P67:Q67"/>
    <mergeCell ref="A77:B77"/>
    <mergeCell ref="C77:D77"/>
    <mergeCell ref="A78:AB78"/>
    <mergeCell ref="B79:D79"/>
    <mergeCell ref="E79:G79"/>
    <mergeCell ref="H79:J79"/>
    <mergeCell ref="K79:M79"/>
    <mergeCell ref="N79:P79"/>
    <mergeCell ref="Q79:S79"/>
    <mergeCell ref="T79:V79"/>
    <mergeCell ref="W79:Y79"/>
    <mergeCell ref="Z79:AB79"/>
    <mergeCell ref="Q72:S72"/>
    <mergeCell ref="T72:V72"/>
    <mergeCell ref="W72:Y72"/>
    <mergeCell ref="Z72:AB72"/>
    <mergeCell ref="J76:K76"/>
    <mergeCell ref="K74:M74"/>
    <mergeCell ref="N74:P74"/>
    <mergeCell ref="Q74:S74"/>
    <mergeCell ref="T74:V74"/>
    <mergeCell ref="W74:Y74"/>
    <mergeCell ref="Z74:AB74"/>
    <mergeCell ref="B72:D72"/>
    <mergeCell ref="E72:G72"/>
    <mergeCell ref="H72:J72"/>
    <mergeCell ref="K72:M72"/>
    <mergeCell ref="N72:P72"/>
    <mergeCell ref="B74:D74"/>
    <mergeCell ref="E74:G74"/>
    <mergeCell ref="H74:J74"/>
    <mergeCell ref="A76:E76"/>
    <mergeCell ref="Q80:S80"/>
    <mergeCell ref="T80:V80"/>
    <mergeCell ref="W80:Y80"/>
    <mergeCell ref="Z80:AB80"/>
    <mergeCell ref="B81:D81"/>
    <mergeCell ref="E81:G81"/>
    <mergeCell ref="H81:J81"/>
    <mergeCell ref="K81:M81"/>
    <mergeCell ref="N81:P81"/>
    <mergeCell ref="Q81:S81"/>
    <mergeCell ref="T81:V81"/>
    <mergeCell ref="W81:Y81"/>
    <mergeCell ref="Z81:AB81"/>
    <mergeCell ref="B80:D80"/>
    <mergeCell ref="E80:G80"/>
    <mergeCell ref="H80:J80"/>
    <mergeCell ref="K80:M80"/>
    <mergeCell ref="N80:P80"/>
    <mergeCell ref="F94:I94"/>
    <mergeCell ref="D87:E87"/>
    <mergeCell ref="G87:H87"/>
    <mergeCell ref="J87:K87"/>
    <mergeCell ref="M87:N87"/>
    <mergeCell ref="P87:Q87"/>
    <mergeCell ref="S87:T87"/>
    <mergeCell ref="V87:W87"/>
    <mergeCell ref="Y87:Z87"/>
    <mergeCell ref="S84:T84"/>
    <mergeCell ref="V84:W84"/>
    <mergeCell ref="Y84:Z84"/>
    <mergeCell ref="D84:E84"/>
    <mergeCell ref="G84:H84"/>
    <mergeCell ref="J84:K84"/>
    <mergeCell ref="M84:N84"/>
    <mergeCell ref="P84:Q84"/>
    <mergeCell ref="D88:E88"/>
    <mergeCell ref="G88:H88"/>
    <mergeCell ref="J88:K88"/>
    <mergeCell ref="M88:N88"/>
    <mergeCell ref="P88:Q88"/>
    <mergeCell ref="S88:T88"/>
    <mergeCell ref="V88:W88"/>
    <mergeCell ref="Y88:Z88"/>
    <mergeCell ref="A95:B95"/>
    <mergeCell ref="C95:D95"/>
    <mergeCell ref="A96:AB96"/>
    <mergeCell ref="B97:D97"/>
    <mergeCell ref="E97:G97"/>
    <mergeCell ref="H97:J97"/>
    <mergeCell ref="K97:M97"/>
    <mergeCell ref="N97:P97"/>
    <mergeCell ref="Q97:S97"/>
    <mergeCell ref="T97:V97"/>
    <mergeCell ref="W97:Y97"/>
    <mergeCell ref="Z97:AB97"/>
    <mergeCell ref="Q89:S89"/>
    <mergeCell ref="T89:V89"/>
    <mergeCell ref="W89:Y89"/>
    <mergeCell ref="Z89:AB89"/>
    <mergeCell ref="J94:K94"/>
    <mergeCell ref="B91:D91"/>
    <mergeCell ref="E91:G91"/>
    <mergeCell ref="H91:J91"/>
    <mergeCell ref="K91:M91"/>
    <mergeCell ref="N91:P91"/>
    <mergeCell ref="Q91:S91"/>
    <mergeCell ref="T91:V91"/>
    <mergeCell ref="W91:Y91"/>
    <mergeCell ref="Z91:AB91"/>
    <mergeCell ref="B89:D89"/>
    <mergeCell ref="E89:G89"/>
    <mergeCell ref="H89:J89"/>
    <mergeCell ref="K89:M89"/>
    <mergeCell ref="N89:P89"/>
    <mergeCell ref="A94:E94"/>
    <mergeCell ref="Q98:S98"/>
    <mergeCell ref="T98:V98"/>
    <mergeCell ref="W98:Y98"/>
    <mergeCell ref="Z98:AB98"/>
    <mergeCell ref="B99:D99"/>
    <mergeCell ref="E99:G99"/>
    <mergeCell ref="H99:J99"/>
    <mergeCell ref="K99:M99"/>
    <mergeCell ref="N99:P99"/>
    <mergeCell ref="Q99:S99"/>
    <mergeCell ref="T99:V99"/>
    <mergeCell ref="W99:Y99"/>
    <mergeCell ref="Z99:AB99"/>
    <mergeCell ref="B98:D98"/>
    <mergeCell ref="E98:G98"/>
    <mergeCell ref="H98:J98"/>
    <mergeCell ref="K98:M98"/>
    <mergeCell ref="N98:P98"/>
    <mergeCell ref="F111:I111"/>
    <mergeCell ref="D105:E105"/>
    <mergeCell ref="G105:H105"/>
    <mergeCell ref="J105:K105"/>
    <mergeCell ref="M105:N105"/>
    <mergeCell ref="P105:Q105"/>
    <mergeCell ref="S105:T105"/>
    <mergeCell ref="V105:W105"/>
    <mergeCell ref="Y105:Z105"/>
    <mergeCell ref="S102:T102"/>
    <mergeCell ref="V102:W102"/>
    <mergeCell ref="Y102:Z102"/>
    <mergeCell ref="D102:E102"/>
    <mergeCell ref="G102:H102"/>
    <mergeCell ref="J102:K102"/>
    <mergeCell ref="M102:N102"/>
    <mergeCell ref="P102:Q102"/>
    <mergeCell ref="D106:E106"/>
    <mergeCell ref="G106:H106"/>
    <mergeCell ref="J106:K106"/>
    <mergeCell ref="M106:N106"/>
    <mergeCell ref="P106:Q106"/>
    <mergeCell ref="S106:T106"/>
    <mergeCell ref="V106:W106"/>
    <mergeCell ref="Y106:Z106"/>
    <mergeCell ref="A112:B112"/>
    <mergeCell ref="C112:D112"/>
    <mergeCell ref="A113:AB113"/>
    <mergeCell ref="B114:D114"/>
    <mergeCell ref="E114:G114"/>
    <mergeCell ref="H114:J114"/>
    <mergeCell ref="K114:M114"/>
    <mergeCell ref="N114:P114"/>
    <mergeCell ref="Q114:S114"/>
    <mergeCell ref="T114:V114"/>
    <mergeCell ref="W114:Y114"/>
    <mergeCell ref="Z114:AB114"/>
    <mergeCell ref="Q107:S107"/>
    <mergeCell ref="T107:V107"/>
    <mergeCell ref="W107:Y107"/>
    <mergeCell ref="Z107:AB107"/>
    <mergeCell ref="J111:K111"/>
    <mergeCell ref="B109:D109"/>
    <mergeCell ref="E109:G109"/>
    <mergeCell ref="H109:J109"/>
    <mergeCell ref="K109:M109"/>
    <mergeCell ref="N109:P109"/>
    <mergeCell ref="Q109:S109"/>
    <mergeCell ref="T109:V109"/>
    <mergeCell ref="W109:Y109"/>
    <mergeCell ref="Z109:AB109"/>
    <mergeCell ref="B107:D107"/>
    <mergeCell ref="E107:G107"/>
    <mergeCell ref="H107:J107"/>
    <mergeCell ref="K107:M107"/>
    <mergeCell ref="N107:P107"/>
    <mergeCell ref="A111:E111"/>
    <mergeCell ref="AM119:AM120"/>
    <mergeCell ref="AO119:AO120"/>
    <mergeCell ref="AQ119:AQ120"/>
    <mergeCell ref="Q115:S115"/>
    <mergeCell ref="T115:V115"/>
    <mergeCell ref="W115:Y115"/>
    <mergeCell ref="Z115:AB115"/>
    <mergeCell ref="B116:D116"/>
    <mergeCell ref="E116:G116"/>
    <mergeCell ref="H116:J116"/>
    <mergeCell ref="K116:M116"/>
    <mergeCell ref="N116:P116"/>
    <mergeCell ref="Q116:S116"/>
    <mergeCell ref="T116:V116"/>
    <mergeCell ref="W116:Y116"/>
    <mergeCell ref="Z116:AB116"/>
    <mergeCell ref="B115:D115"/>
    <mergeCell ref="E115:G115"/>
    <mergeCell ref="H115:J115"/>
    <mergeCell ref="K115:M115"/>
    <mergeCell ref="N115:P115"/>
    <mergeCell ref="AP118:AP119"/>
    <mergeCell ref="D122:E122"/>
    <mergeCell ref="G122:H122"/>
    <mergeCell ref="J122:K122"/>
    <mergeCell ref="M122:N122"/>
    <mergeCell ref="P122:Q122"/>
    <mergeCell ref="S122:T122"/>
    <mergeCell ref="V122:W122"/>
    <mergeCell ref="Y122:Z122"/>
    <mergeCell ref="S119:T119"/>
    <mergeCell ref="V119:W119"/>
    <mergeCell ref="Y119:Z119"/>
    <mergeCell ref="D119:E119"/>
    <mergeCell ref="G119:H119"/>
    <mergeCell ref="J119:K119"/>
    <mergeCell ref="M119:N119"/>
    <mergeCell ref="P119:Q119"/>
    <mergeCell ref="AI119:AI120"/>
    <mergeCell ref="A130:B130"/>
    <mergeCell ref="C130:D130"/>
    <mergeCell ref="A131:AB131"/>
    <mergeCell ref="B132:D132"/>
    <mergeCell ref="E132:G132"/>
    <mergeCell ref="H132:J132"/>
    <mergeCell ref="K132:M132"/>
    <mergeCell ref="N132:P132"/>
    <mergeCell ref="Q132:S132"/>
    <mergeCell ref="T132:V132"/>
    <mergeCell ref="W132:Y132"/>
    <mergeCell ref="Z132:AB132"/>
    <mergeCell ref="Q124:S124"/>
    <mergeCell ref="T124:V124"/>
    <mergeCell ref="W124:Y124"/>
    <mergeCell ref="Z124:AB124"/>
    <mergeCell ref="J129:K129"/>
    <mergeCell ref="B126:D126"/>
    <mergeCell ref="E126:G126"/>
    <mergeCell ref="H126:J126"/>
    <mergeCell ref="K126:M126"/>
    <mergeCell ref="N126:P126"/>
    <mergeCell ref="Q126:S126"/>
    <mergeCell ref="T126:V126"/>
    <mergeCell ref="W126:Y126"/>
    <mergeCell ref="Z126:AB126"/>
    <mergeCell ref="B124:D124"/>
    <mergeCell ref="E124:G124"/>
    <mergeCell ref="H124:J124"/>
    <mergeCell ref="K124:M124"/>
    <mergeCell ref="N124:P124"/>
    <mergeCell ref="A129:E129"/>
    <mergeCell ref="N134:P134"/>
    <mergeCell ref="Q134:S134"/>
    <mergeCell ref="T134:V134"/>
    <mergeCell ref="W134:Y134"/>
    <mergeCell ref="Z134:AB134"/>
    <mergeCell ref="B133:D133"/>
    <mergeCell ref="E133:G133"/>
    <mergeCell ref="H133:J133"/>
    <mergeCell ref="K133:M133"/>
    <mergeCell ref="N133:P133"/>
    <mergeCell ref="D140:E140"/>
    <mergeCell ref="G140:H140"/>
    <mergeCell ref="J140:K140"/>
    <mergeCell ref="M140:N140"/>
    <mergeCell ref="P140:Q140"/>
    <mergeCell ref="S140:T140"/>
    <mergeCell ref="V140:W140"/>
    <mergeCell ref="Y140:Z140"/>
    <mergeCell ref="S137:T137"/>
    <mergeCell ref="V137:W137"/>
    <mergeCell ref="Y137:Z137"/>
    <mergeCell ref="D137:E137"/>
    <mergeCell ref="G137:H137"/>
    <mergeCell ref="J137:K137"/>
    <mergeCell ref="M137:N137"/>
    <mergeCell ref="P137:Q137"/>
    <mergeCell ref="Q142:S142"/>
    <mergeCell ref="T142:V142"/>
    <mergeCell ref="W142:Y142"/>
    <mergeCell ref="Z142:AB142"/>
    <mergeCell ref="J146:K146"/>
    <mergeCell ref="B144:D144"/>
    <mergeCell ref="E144:G144"/>
    <mergeCell ref="H144:J144"/>
    <mergeCell ref="K144:M144"/>
    <mergeCell ref="N144:P144"/>
    <mergeCell ref="Q144:S144"/>
    <mergeCell ref="T144:V144"/>
    <mergeCell ref="W144:Y144"/>
    <mergeCell ref="Z144:AB144"/>
    <mergeCell ref="B142:D142"/>
    <mergeCell ref="E142:G142"/>
    <mergeCell ref="H142:J142"/>
    <mergeCell ref="K142:M142"/>
    <mergeCell ref="N142:P142"/>
    <mergeCell ref="A146:E146"/>
    <mergeCell ref="F146:I146"/>
    <mergeCell ref="T151:V151"/>
    <mergeCell ref="W151:Y151"/>
    <mergeCell ref="Z151:AB151"/>
    <mergeCell ref="B150:D150"/>
    <mergeCell ref="E150:G150"/>
    <mergeCell ref="N150:P150"/>
    <mergeCell ref="D157:E157"/>
    <mergeCell ref="G157:H157"/>
    <mergeCell ref="J157:K157"/>
    <mergeCell ref="M157:N157"/>
    <mergeCell ref="P157:Q157"/>
    <mergeCell ref="S157:T157"/>
    <mergeCell ref="V157:W157"/>
    <mergeCell ref="Y157:Z157"/>
    <mergeCell ref="S154:T154"/>
    <mergeCell ref="V154:W154"/>
    <mergeCell ref="Y154:Z154"/>
    <mergeCell ref="D154:E154"/>
    <mergeCell ref="G154:H154"/>
    <mergeCell ref="J154:K154"/>
    <mergeCell ref="M154:N154"/>
    <mergeCell ref="P154:Q154"/>
    <mergeCell ref="W161:Y161"/>
    <mergeCell ref="Z161:AB161"/>
    <mergeCell ref="Z149:AB149"/>
    <mergeCell ref="W149:Y149"/>
    <mergeCell ref="T149:V149"/>
    <mergeCell ref="Q149:S149"/>
    <mergeCell ref="B161:D161"/>
    <mergeCell ref="E161:G161"/>
    <mergeCell ref="H161:J161"/>
    <mergeCell ref="K161:M161"/>
    <mergeCell ref="N161:P161"/>
    <mergeCell ref="Q159:S159"/>
    <mergeCell ref="T159:V159"/>
    <mergeCell ref="W159:Y159"/>
    <mergeCell ref="Z159:AB159"/>
    <mergeCell ref="H150:J150"/>
    <mergeCell ref="K150:M150"/>
    <mergeCell ref="N159:P159"/>
    <mergeCell ref="B159:D159"/>
    <mergeCell ref="E159:G159"/>
    <mergeCell ref="H159:J159"/>
    <mergeCell ref="K159:M159"/>
    <mergeCell ref="Q150:S150"/>
    <mergeCell ref="T150:V150"/>
    <mergeCell ref="W150:Y150"/>
    <mergeCell ref="Z150:AB150"/>
    <mergeCell ref="B151:D151"/>
    <mergeCell ref="E151:G151"/>
    <mergeCell ref="H151:J151"/>
    <mergeCell ref="K151:M151"/>
    <mergeCell ref="N151:P151"/>
    <mergeCell ref="Q151:S151"/>
    <mergeCell ref="A147:B147"/>
    <mergeCell ref="C147:D147"/>
    <mergeCell ref="N167:P167"/>
    <mergeCell ref="Q167:S167"/>
    <mergeCell ref="T167:V167"/>
    <mergeCell ref="W167:Y167"/>
    <mergeCell ref="Z167:AB167"/>
    <mergeCell ref="B168:D168"/>
    <mergeCell ref="E168:G168"/>
    <mergeCell ref="H168:J168"/>
    <mergeCell ref="K168:M168"/>
    <mergeCell ref="N168:P168"/>
    <mergeCell ref="Q168:S168"/>
    <mergeCell ref="T168:V168"/>
    <mergeCell ref="W168:Y168"/>
    <mergeCell ref="Z168:AB168"/>
    <mergeCell ref="A164:E164"/>
    <mergeCell ref="F164:I164"/>
    <mergeCell ref="J164:K164"/>
    <mergeCell ref="A165:B165"/>
    <mergeCell ref="C165:D165"/>
    <mergeCell ref="B167:D167"/>
    <mergeCell ref="E167:G167"/>
    <mergeCell ref="H167:J167"/>
    <mergeCell ref="K167:M167"/>
    <mergeCell ref="N149:P149"/>
    <mergeCell ref="K149:M149"/>
    <mergeCell ref="H149:J149"/>
    <mergeCell ref="E149:G149"/>
    <mergeCell ref="B149:D149"/>
    <mergeCell ref="Q161:S161"/>
    <mergeCell ref="T161:V161"/>
    <mergeCell ref="D172:E172"/>
    <mergeCell ref="G172:H172"/>
    <mergeCell ref="J172:K172"/>
    <mergeCell ref="M172:N172"/>
    <mergeCell ref="P172:Q172"/>
    <mergeCell ref="S172:T172"/>
    <mergeCell ref="V172:W172"/>
    <mergeCell ref="Y172:Z172"/>
    <mergeCell ref="AI171:AI172"/>
    <mergeCell ref="AM171:AM172"/>
    <mergeCell ref="AO171:AO172"/>
    <mergeCell ref="AQ171:AQ172"/>
    <mergeCell ref="B169:D169"/>
    <mergeCell ref="E169:G169"/>
    <mergeCell ref="H169:J169"/>
    <mergeCell ref="K169:M169"/>
    <mergeCell ref="N169:P169"/>
    <mergeCell ref="Q169:S169"/>
    <mergeCell ref="T169:V169"/>
    <mergeCell ref="W169:Y169"/>
    <mergeCell ref="Z169:AB169"/>
    <mergeCell ref="AP170:AP171"/>
    <mergeCell ref="Z179:AB179"/>
    <mergeCell ref="B177:D177"/>
    <mergeCell ref="E177:G177"/>
    <mergeCell ref="H177:J177"/>
    <mergeCell ref="K177:M177"/>
    <mergeCell ref="N177:P177"/>
    <mergeCell ref="Q177:S177"/>
    <mergeCell ref="T177:V177"/>
    <mergeCell ref="W177:Y177"/>
    <mergeCell ref="Z177:AB177"/>
    <mergeCell ref="D175:E175"/>
    <mergeCell ref="G175:H175"/>
    <mergeCell ref="J175:K175"/>
    <mergeCell ref="M175:N175"/>
    <mergeCell ref="P175:Q175"/>
    <mergeCell ref="S175:T175"/>
    <mergeCell ref="V175:W175"/>
    <mergeCell ref="Y175:Z175"/>
    <mergeCell ref="D176:E176"/>
    <mergeCell ref="G176:H176"/>
    <mergeCell ref="J176:K176"/>
    <mergeCell ref="M176:N176"/>
    <mergeCell ref="P176:Q176"/>
    <mergeCell ref="S176:T176"/>
    <mergeCell ref="V176:W176"/>
    <mergeCell ref="Y176:Z176"/>
    <mergeCell ref="A182:E182"/>
    <mergeCell ref="F182:I182"/>
    <mergeCell ref="J182:K182"/>
    <mergeCell ref="A183:B183"/>
    <mergeCell ref="C183:D183"/>
    <mergeCell ref="B185:D185"/>
    <mergeCell ref="E185:G185"/>
    <mergeCell ref="H185:J185"/>
    <mergeCell ref="K185:M185"/>
    <mergeCell ref="B179:D179"/>
    <mergeCell ref="E179:G179"/>
    <mergeCell ref="H179:J179"/>
    <mergeCell ref="K179:M179"/>
    <mergeCell ref="N179:P179"/>
    <mergeCell ref="Q179:S179"/>
    <mergeCell ref="T179:V179"/>
    <mergeCell ref="W179:Y179"/>
    <mergeCell ref="AM189:AM190"/>
    <mergeCell ref="AO189:AO190"/>
    <mergeCell ref="AQ189:AQ190"/>
    <mergeCell ref="B187:D187"/>
    <mergeCell ref="E187:G187"/>
    <mergeCell ref="H187:J187"/>
    <mergeCell ref="K187:M187"/>
    <mergeCell ref="N187:P187"/>
    <mergeCell ref="Q187:S187"/>
    <mergeCell ref="T187:V187"/>
    <mergeCell ref="W187:Y187"/>
    <mergeCell ref="Z187:AB187"/>
    <mergeCell ref="N185:P185"/>
    <mergeCell ref="Q185:S185"/>
    <mergeCell ref="T185:V185"/>
    <mergeCell ref="W185:Y185"/>
    <mergeCell ref="Z185:AB185"/>
    <mergeCell ref="B186:D186"/>
    <mergeCell ref="E186:G186"/>
    <mergeCell ref="H186:J186"/>
    <mergeCell ref="K186:M186"/>
    <mergeCell ref="N186:P186"/>
    <mergeCell ref="Q186:S186"/>
    <mergeCell ref="T186:V186"/>
    <mergeCell ref="W186:Y186"/>
    <mergeCell ref="Z186:AB186"/>
    <mergeCell ref="D193:E193"/>
    <mergeCell ref="G193:H193"/>
    <mergeCell ref="J193:K193"/>
    <mergeCell ref="M193:N193"/>
    <mergeCell ref="P193:Q193"/>
    <mergeCell ref="S193:T193"/>
    <mergeCell ref="V193:W193"/>
    <mergeCell ref="Y193:Z193"/>
    <mergeCell ref="D190:E190"/>
    <mergeCell ref="G190:H190"/>
    <mergeCell ref="J190:K190"/>
    <mergeCell ref="M190:N190"/>
    <mergeCell ref="P190:Q190"/>
    <mergeCell ref="S190:T190"/>
    <mergeCell ref="V190:W190"/>
    <mergeCell ref="Y190:Z190"/>
    <mergeCell ref="AI189:AI190"/>
    <mergeCell ref="B197:D197"/>
    <mergeCell ref="E197:G197"/>
    <mergeCell ref="H197:J197"/>
    <mergeCell ref="K197:M197"/>
    <mergeCell ref="N197:P197"/>
    <mergeCell ref="Q197:S197"/>
    <mergeCell ref="T197:V197"/>
    <mergeCell ref="W197:Y197"/>
    <mergeCell ref="Z197:AB197"/>
    <mergeCell ref="B195:D195"/>
    <mergeCell ref="E195:G195"/>
    <mergeCell ref="H195:J195"/>
    <mergeCell ref="K195:M195"/>
    <mergeCell ref="N195:P195"/>
    <mergeCell ref="Q195:S195"/>
    <mergeCell ref="T195:V195"/>
    <mergeCell ref="W195:Y195"/>
    <mergeCell ref="Z195:AB195"/>
    <mergeCell ref="B29:D29"/>
    <mergeCell ref="E29:G29"/>
    <mergeCell ref="H29:J29"/>
    <mergeCell ref="K29:M29"/>
    <mergeCell ref="N29:P29"/>
    <mergeCell ref="Q29:S29"/>
    <mergeCell ref="T29:V29"/>
    <mergeCell ref="W29:Y29"/>
    <mergeCell ref="Z29:AB29"/>
    <mergeCell ref="Q28:S28"/>
    <mergeCell ref="AW29:AW30"/>
    <mergeCell ref="AY29:AY30"/>
    <mergeCell ref="AT30:AT31"/>
    <mergeCell ref="AS35:AS36"/>
    <mergeCell ref="AT34:AT35"/>
    <mergeCell ref="AS33:AS34"/>
    <mergeCell ref="AT32:AT33"/>
    <mergeCell ref="AS31:AS32"/>
    <mergeCell ref="AO28:AR28"/>
    <mergeCell ref="AO35:AO36"/>
    <mergeCell ref="AQ31:AQ32"/>
    <mergeCell ref="AS29:AS30"/>
    <mergeCell ref="P35:Q35"/>
    <mergeCell ref="D32:E32"/>
    <mergeCell ref="G32:H32"/>
    <mergeCell ref="J32:K32"/>
    <mergeCell ref="M32:N32"/>
    <mergeCell ref="D35:E35"/>
    <mergeCell ref="AP30:AP31"/>
    <mergeCell ref="AP32:AP33"/>
    <mergeCell ref="AP34:AP35"/>
    <mergeCell ref="AP36:AP37"/>
    <mergeCell ref="AQ29:AQ30"/>
    <mergeCell ref="AD44:AL44"/>
    <mergeCell ref="AG46:AJ46"/>
    <mergeCell ref="AK46:AL46"/>
    <mergeCell ref="AM46:AN46"/>
    <mergeCell ref="AO46:AR46"/>
    <mergeCell ref="AS46:AU46"/>
    <mergeCell ref="AD26:AL26"/>
    <mergeCell ref="AS28:AU28"/>
    <mergeCell ref="AV28:BA28"/>
    <mergeCell ref="AR30:AR31"/>
    <mergeCell ref="AR32:AR33"/>
    <mergeCell ref="AR34:AR35"/>
    <mergeCell ref="AK28:AL28"/>
    <mergeCell ref="AX30:AX31"/>
    <mergeCell ref="AZ30:AZ31"/>
    <mergeCell ref="AW31:AW32"/>
    <mergeCell ref="AY31:AY32"/>
    <mergeCell ref="AX32:AX33"/>
    <mergeCell ref="AZ32:AZ33"/>
    <mergeCell ref="AW33:AW34"/>
    <mergeCell ref="AY33:AY34"/>
    <mergeCell ref="AX34:AX35"/>
    <mergeCell ref="AZ34:AZ35"/>
    <mergeCell ref="AW35:AW36"/>
    <mergeCell ref="AY35:AY36"/>
    <mergeCell ref="AX36:AX37"/>
    <mergeCell ref="AZ36:AZ37"/>
    <mergeCell ref="AR36:AR37"/>
    <mergeCell ref="AT36:AT37"/>
    <mergeCell ref="AQ33:AQ34"/>
    <mergeCell ref="AQ35:AQ36"/>
    <mergeCell ref="B205:D205"/>
    <mergeCell ref="E205:G205"/>
    <mergeCell ref="H205:J205"/>
    <mergeCell ref="K205:M205"/>
    <mergeCell ref="N205:P205"/>
    <mergeCell ref="Q205:S205"/>
    <mergeCell ref="T205:V205"/>
    <mergeCell ref="W205:Y205"/>
    <mergeCell ref="Z205:AB205"/>
    <mergeCell ref="W203:Y203"/>
    <mergeCell ref="Z203:AB203"/>
    <mergeCell ref="B204:D204"/>
    <mergeCell ref="E204:G204"/>
    <mergeCell ref="H204:J204"/>
    <mergeCell ref="K204:M204"/>
    <mergeCell ref="N204:P204"/>
    <mergeCell ref="Q204:S204"/>
    <mergeCell ref="T204:V204"/>
    <mergeCell ref="W204:Y204"/>
    <mergeCell ref="Z204:AB204"/>
    <mergeCell ref="N203:P203"/>
    <mergeCell ref="Q203:S203"/>
    <mergeCell ref="T203:V203"/>
    <mergeCell ref="Z215:AB215"/>
    <mergeCell ref="B213:D213"/>
    <mergeCell ref="E213:G213"/>
    <mergeCell ref="H213:J213"/>
    <mergeCell ref="K213:M213"/>
    <mergeCell ref="N213:P213"/>
    <mergeCell ref="Q213:S213"/>
    <mergeCell ref="T213:V213"/>
    <mergeCell ref="W213:Y213"/>
    <mergeCell ref="Z213:AB213"/>
    <mergeCell ref="D208:E208"/>
    <mergeCell ref="G208:H208"/>
    <mergeCell ref="J208:K208"/>
    <mergeCell ref="M208:N208"/>
    <mergeCell ref="P208:Q208"/>
    <mergeCell ref="S208:T208"/>
    <mergeCell ref="V208:W208"/>
    <mergeCell ref="Y208:Z208"/>
    <mergeCell ref="D211:E211"/>
    <mergeCell ref="G211:H211"/>
    <mergeCell ref="J211:K211"/>
    <mergeCell ref="M211:N211"/>
    <mergeCell ref="P211:Q211"/>
    <mergeCell ref="S211:T211"/>
    <mergeCell ref="V211:W211"/>
    <mergeCell ref="Y211:Z211"/>
    <mergeCell ref="A218:E218"/>
    <mergeCell ref="J218:K218"/>
    <mergeCell ref="A219:B219"/>
    <mergeCell ref="C219:D219"/>
    <mergeCell ref="B221:D221"/>
    <mergeCell ref="E221:G221"/>
    <mergeCell ref="H221:J221"/>
    <mergeCell ref="K221:M221"/>
    <mergeCell ref="B215:D215"/>
    <mergeCell ref="E215:G215"/>
    <mergeCell ref="H215:J215"/>
    <mergeCell ref="K215:M215"/>
    <mergeCell ref="N215:P215"/>
    <mergeCell ref="Q215:S215"/>
    <mergeCell ref="T215:V215"/>
    <mergeCell ref="W215:Y215"/>
    <mergeCell ref="B223:D223"/>
    <mergeCell ref="E223:G223"/>
    <mergeCell ref="H223:J223"/>
    <mergeCell ref="K223:M223"/>
    <mergeCell ref="N223:P223"/>
    <mergeCell ref="Q223:S223"/>
    <mergeCell ref="T223:V223"/>
    <mergeCell ref="W223:Y223"/>
    <mergeCell ref="Z223:AB223"/>
    <mergeCell ref="N221:P221"/>
    <mergeCell ref="Q221:S221"/>
    <mergeCell ref="T221:V221"/>
    <mergeCell ref="W221:Y221"/>
    <mergeCell ref="Z221:AB221"/>
    <mergeCell ref="B222:D222"/>
    <mergeCell ref="E222:G222"/>
    <mergeCell ref="H222:J222"/>
    <mergeCell ref="K222:M222"/>
    <mergeCell ref="N222:P222"/>
    <mergeCell ref="Q222:S222"/>
    <mergeCell ref="T222:V222"/>
    <mergeCell ref="W222:Y222"/>
    <mergeCell ref="Z222:AB222"/>
    <mergeCell ref="Z233:AB233"/>
    <mergeCell ref="B231:D231"/>
    <mergeCell ref="E231:G231"/>
    <mergeCell ref="H231:J231"/>
    <mergeCell ref="K231:M231"/>
    <mergeCell ref="N231:P231"/>
    <mergeCell ref="Q231:S231"/>
    <mergeCell ref="T231:V231"/>
    <mergeCell ref="W231:Y231"/>
    <mergeCell ref="Z231:AB231"/>
    <mergeCell ref="D226:E226"/>
    <mergeCell ref="G226:H226"/>
    <mergeCell ref="J226:K226"/>
    <mergeCell ref="M226:N226"/>
    <mergeCell ref="P226:Q226"/>
    <mergeCell ref="S226:T226"/>
    <mergeCell ref="V226:W226"/>
    <mergeCell ref="Y226:Z226"/>
    <mergeCell ref="D229:E229"/>
    <mergeCell ref="G229:H229"/>
    <mergeCell ref="J229:K229"/>
    <mergeCell ref="M229:N229"/>
    <mergeCell ref="P229:Q229"/>
    <mergeCell ref="S229:T229"/>
    <mergeCell ref="V229:W229"/>
    <mergeCell ref="Y229:Z229"/>
    <mergeCell ref="A235:E235"/>
    <mergeCell ref="J235:K235"/>
    <mergeCell ref="A236:B236"/>
    <mergeCell ref="C236:D236"/>
    <mergeCell ref="A237:E237"/>
    <mergeCell ref="F237:J237"/>
    <mergeCell ref="K237:O237"/>
    <mergeCell ref="P237:T237"/>
    <mergeCell ref="U237:Y237"/>
    <mergeCell ref="B233:D233"/>
    <mergeCell ref="E233:G233"/>
    <mergeCell ref="H233:J233"/>
    <mergeCell ref="K233:M233"/>
    <mergeCell ref="N233:P233"/>
    <mergeCell ref="Q233:S233"/>
    <mergeCell ref="T233:V233"/>
    <mergeCell ref="W233:Y233"/>
    <mergeCell ref="B239:D239"/>
    <mergeCell ref="E239:G239"/>
    <mergeCell ref="H239:J239"/>
    <mergeCell ref="K239:M239"/>
    <mergeCell ref="N239:P239"/>
    <mergeCell ref="Q239:S239"/>
    <mergeCell ref="T239:V239"/>
    <mergeCell ref="W239:Y239"/>
    <mergeCell ref="Z239:AB239"/>
    <mergeCell ref="Z237:AB237"/>
    <mergeCell ref="B238:D238"/>
    <mergeCell ref="E238:G238"/>
    <mergeCell ref="H238:J238"/>
    <mergeCell ref="K238:M238"/>
    <mergeCell ref="N238:P238"/>
    <mergeCell ref="Q238:S238"/>
    <mergeCell ref="T238:V238"/>
    <mergeCell ref="W238:Y238"/>
    <mergeCell ref="Z238:AB238"/>
    <mergeCell ref="D243:E243"/>
    <mergeCell ref="G243:H243"/>
    <mergeCell ref="J243:K243"/>
    <mergeCell ref="M243:N243"/>
    <mergeCell ref="P243:Q243"/>
    <mergeCell ref="S243:T243"/>
    <mergeCell ref="V243:W243"/>
    <mergeCell ref="Y243:Z243"/>
    <mergeCell ref="D246:E246"/>
    <mergeCell ref="G246:H246"/>
    <mergeCell ref="J246:K246"/>
    <mergeCell ref="M246:N246"/>
    <mergeCell ref="P246:Q246"/>
    <mergeCell ref="S246:T246"/>
    <mergeCell ref="V246:W246"/>
    <mergeCell ref="Y246:Z246"/>
    <mergeCell ref="B240:D240"/>
    <mergeCell ref="E240:G240"/>
    <mergeCell ref="H240:J240"/>
    <mergeCell ref="K240:M240"/>
    <mergeCell ref="N240:P240"/>
    <mergeCell ref="Q240:S240"/>
    <mergeCell ref="T240:V240"/>
    <mergeCell ref="W240:Y240"/>
    <mergeCell ref="Z240:AB240"/>
    <mergeCell ref="B250:D250"/>
    <mergeCell ref="E250:G250"/>
    <mergeCell ref="H250:J250"/>
    <mergeCell ref="K250:M250"/>
    <mergeCell ref="N250:P250"/>
    <mergeCell ref="Q250:S250"/>
    <mergeCell ref="T250:V250"/>
    <mergeCell ref="W250:Y250"/>
    <mergeCell ref="Z250:AB250"/>
    <mergeCell ref="B248:D248"/>
    <mergeCell ref="E248:G248"/>
    <mergeCell ref="H248:J248"/>
    <mergeCell ref="K248:M248"/>
    <mergeCell ref="N248:P248"/>
    <mergeCell ref="Q248:S248"/>
    <mergeCell ref="T248:V248"/>
    <mergeCell ref="W248:Y248"/>
    <mergeCell ref="Z248:AB248"/>
    <mergeCell ref="B256:D256"/>
    <mergeCell ref="E256:G256"/>
    <mergeCell ref="H256:J256"/>
    <mergeCell ref="K256:M256"/>
    <mergeCell ref="N256:P256"/>
    <mergeCell ref="Q256:S256"/>
    <mergeCell ref="T256:V256"/>
    <mergeCell ref="W256:Y256"/>
    <mergeCell ref="Z256:AB256"/>
    <mergeCell ref="A252:E252"/>
    <mergeCell ref="F252:I252"/>
    <mergeCell ref="J252:K252"/>
    <mergeCell ref="A253:B253"/>
    <mergeCell ref="C253:D253"/>
    <mergeCell ref="A254:AB254"/>
    <mergeCell ref="B255:D255"/>
    <mergeCell ref="E255:G255"/>
    <mergeCell ref="H255:J255"/>
    <mergeCell ref="K255:M255"/>
    <mergeCell ref="N255:P255"/>
    <mergeCell ref="Q255:S255"/>
    <mergeCell ref="T255:V255"/>
    <mergeCell ref="W255:Y255"/>
    <mergeCell ref="Z255:AB255"/>
    <mergeCell ref="D260:E260"/>
    <mergeCell ref="G260:H260"/>
    <mergeCell ref="J260:K260"/>
    <mergeCell ref="M260:N260"/>
    <mergeCell ref="P260:Q260"/>
    <mergeCell ref="S260:T260"/>
    <mergeCell ref="V260:W260"/>
    <mergeCell ref="Y260:Z260"/>
    <mergeCell ref="D263:E263"/>
    <mergeCell ref="G263:H263"/>
    <mergeCell ref="J263:K263"/>
    <mergeCell ref="M263:N263"/>
    <mergeCell ref="P263:Q263"/>
    <mergeCell ref="S263:T263"/>
    <mergeCell ref="V263:W263"/>
    <mergeCell ref="Y263:Z263"/>
    <mergeCell ref="B257:D257"/>
    <mergeCell ref="E257:G257"/>
    <mergeCell ref="H257:J257"/>
    <mergeCell ref="K257:M257"/>
    <mergeCell ref="N257:P257"/>
    <mergeCell ref="Q257:S257"/>
    <mergeCell ref="T257:V257"/>
    <mergeCell ref="W257:Y257"/>
    <mergeCell ref="Z257:AB257"/>
    <mergeCell ref="B267:D267"/>
    <mergeCell ref="E267:G267"/>
    <mergeCell ref="H267:J267"/>
    <mergeCell ref="K267:M267"/>
    <mergeCell ref="N267:P267"/>
    <mergeCell ref="Q267:S267"/>
    <mergeCell ref="T267:V267"/>
    <mergeCell ref="W267:Y267"/>
    <mergeCell ref="Z267:AB267"/>
    <mergeCell ref="B265:D265"/>
    <mergeCell ref="E265:G265"/>
    <mergeCell ref="H265:J265"/>
    <mergeCell ref="K265:M265"/>
    <mergeCell ref="N265:P265"/>
    <mergeCell ref="Q265:S265"/>
    <mergeCell ref="T265:V265"/>
    <mergeCell ref="W265:Y265"/>
    <mergeCell ref="Z265:AB265"/>
    <mergeCell ref="B274:D274"/>
    <mergeCell ref="E274:G274"/>
    <mergeCell ref="H274:J274"/>
    <mergeCell ref="K274:M274"/>
    <mergeCell ref="N274:P274"/>
    <mergeCell ref="Q274:S274"/>
    <mergeCell ref="T274:V274"/>
    <mergeCell ref="W274:Y274"/>
    <mergeCell ref="Z274:AB274"/>
    <mergeCell ref="A270:E270"/>
    <mergeCell ref="F270:I270"/>
    <mergeCell ref="J270:K270"/>
    <mergeCell ref="A271:B271"/>
    <mergeCell ref="C271:D271"/>
    <mergeCell ref="A272:AB272"/>
    <mergeCell ref="B273:D273"/>
    <mergeCell ref="E273:G273"/>
    <mergeCell ref="H273:J273"/>
    <mergeCell ref="K273:M273"/>
    <mergeCell ref="N273:P273"/>
    <mergeCell ref="Q273:S273"/>
    <mergeCell ref="T273:V273"/>
    <mergeCell ref="W273:Y273"/>
    <mergeCell ref="Z273:AB273"/>
    <mergeCell ref="D278:E278"/>
    <mergeCell ref="G278:H278"/>
    <mergeCell ref="J278:K278"/>
    <mergeCell ref="M278:N278"/>
    <mergeCell ref="P278:Q278"/>
    <mergeCell ref="S278:T278"/>
    <mergeCell ref="V278:W278"/>
    <mergeCell ref="Y278:Z278"/>
    <mergeCell ref="D281:E281"/>
    <mergeCell ref="G281:H281"/>
    <mergeCell ref="J281:K281"/>
    <mergeCell ref="M281:N281"/>
    <mergeCell ref="P281:Q281"/>
    <mergeCell ref="S281:T281"/>
    <mergeCell ref="V281:W281"/>
    <mergeCell ref="Y281:Z281"/>
    <mergeCell ref="B275:D275"/>
    <mergeCell ref="E275:G275"/>
    <mergeCell ref="H275:J275"/>
    <mergeCell ref="K275:M275"/>
    <mergeCell ref="N275:P275"/>
    <mergeCell ref="Q275:S275"/>
    <mergeCell ref="T275:V275"/>
    <mergeCell ref="W275:Y275"/>
    <mergeCell ref="Z275:AB275"/>
    <mergeCell ref="B285:D285"/>
    <mergeCell ref="E285:G285"/>
    <mergeCell ref="H285:J285"/>
    <mergeCell ref="K285:M285"/>
    <mergeCell ref="N285:P285"/>
    <mergeCell ref="Q285:S285"/>
    <mergeCell ref="T285:V285"/>
    <mergeCell ref="W285:Y285"/>
    <mergeCell ref="Z285:AB285"/>
    <mergeCell ref="B283:D283"/>
    <mergeCell ref="E283:G283"/>
    <mergeCell ref="H283:J283"/>
    <mergeCell ref="K283:M283"/>
    <mergeCell ref="N283:P283"/>
    <mergeCell ref="Q283:S283"/>
    <mergeCell ref="T283:V283"/>
    <mergeCell ref="W283:Y283"/>
    <mergeCell ref="Z283:AB283"/>
    <mergeCell ref="B291:D291"/>
    <mergeCell ref="E291:G291"/>
    <mergeCell ref="H291:J291"/>
    <mergeCell ref="K291:M291"/>
    <mergeCell ref="N291:P291"/>
    <mergeCell ref="Q291:S291"/>
    <mergeCell ref="T291:V291"/>
    <mergeCell ref="W291:Y291"/>
    <mergeCell ref="Z291:AB291"/>
    <mergeCell ref="A287:E287"/>
    <mergeCell ref="F287:I287"/>
    <mergeCell ref="J287:K287"/>
    <mergeCell ref="A288:B288"/>
    <mergeCell ref="C288:D288"/>
    <mergeCell ref="A289:AB289"/>
    <mergeCell ref="B290:D290"/>
    <mergeCell ref="E290:G290"/>
    <mergeCell ref="H290:J290"/>
    <mergeCell ref="K290:M290"/>
    <mergeCell ref="N290:P290"/>
    <mergeCell ref="Q290:S290"/>
    <mergeCell ref="T290:V290"/>
    <mergeCell ref="W290:Y290"/>
    <mergeCell ref="Z290:AB290"/>
    <mergeCell ref="D295:E295"/>
    <mergeCell ref="G295:H295"/>
    <mergeCell ref="J295:K295"/>
    <mergeCell ref="M295:N295"/>
    <mergeCell ref="P295:Q295"/>
    <mergeCell ref="S295:T295"/>
    <mergeCell ref="V295:W295"/>
    <mergeCell ref="Y295:Z295"/>
    <mergeCell ref="D298:E298"/>
    <mergeCell ref="G298:H298"/>
    <mergeCell ref="J298:K298"/>
    <mergeCell ref="M298:N298"/>
    <mergeCell ref="P298:Q298"/>
    <mergeCell ref="S298:T298"/>
    <mergeCell ref="V298:W298"/>
    <mergeCell ref="Y298:Z298"/>
    <mergeCell ref="B292:D292"/>
    <mergeCell ref="E292:G292"/>
    <mergeCell ref="H292:J292"/>
    <mergeCell ref="K292:M292"/>
    <mergeCell ref="N292:P292"/>
    <mergeCell ref="Q292:S292"/>
    <mergeCell ref="T292:V292"/>
    <mergeCell ref="W292:Y292"/>
    <mergeCell ref="Z292:AB292"/>
    <mergeCell ref="B302:D302"/>
    <mergeCell ref="E302:G302"/>
    <mergeCell ref="H302:J302"/>
    <mergeCell ref="K302:M302"/>
    <mergeCell ref="N302:P302"/>
    <mergeCell ref="Q302:S302"/>
    <mergeCell ref="T302:V302"/>
    <mergeCell ref="W302:Y302"/>
    <mergeCell ref="Z302:AB302"/>
    <mergeCell ref="B300:D300"/>
    <mergeCell ref="E300:G300"/>
    <mergeCell ref="H300:J300"/>
    <mergeCell ref="K300:M300"/>
    <mergeCell ref="N300:P300"/>
    <mergeCell ref="Q300:S300"/>
    <mergeCell ref="T300:V300"/>
    <mergeCell ref="W300:Y300"/>
    <mergeCell ref="Z300:AB300"/>
    <mergeCell ref="B309:D309"/>
    <mergeCell ref="E309:G309"/>
    <mergeCell ref="H309:J309"/>
    <mergeCell ref="K309:M309"/>
    <mergeCell ref="N309:P309"/>
    <mergeCell ref="Q309:S309"/>
    <mergeCell ref="T309:V309"/>
    <mergeCell ref="W309:Y309"/>
    <mergeCell ref="Z309:AB309"/>
    <mergeCell ref="A305:E305"/>
    <mergeCell ref="J305:K305"/>
    <mergeCell ref="A306:B306"/>
    <mergeCell ref="C306:D306"/>
    <mergeCell ref="A307:AB307"/>
    <mergeCell ref="B308:D308"/>
    <mergeCell ref="E308:G308"/>
    <mergeCell ref="H308:J308"/>
    <mergeCell ref="K308:M308"/>
    <mergeCell ref="N308:P308"/>
    <mergeCell ref="Q308:S308"/>
    <mergeCell ref="T308:V308"/>
    <mergeCell ref="W308:Y308"/>
    <mergeCell ref="Z308:AB308"/>
    <mergeCell ref="D313:E313"/>
    <mergeCell ref="G313:H313"/>
    <mergeCell ref="J313:K313"/>
    <mergeCell ref="M313:N313"/>
    <mergeCell ref="P313:Q313"/>
    <mergeCell ref="S313:T313"/>
    <mergeCell ref="V313:W313"/>
    <mergeCell ref="Y313:Z313"/>
    <mergeCell ref="D316:E316"/>
    <mergeCell ref="G316:H316"/>
    <mergeCell ref="J316:K316"/>
    <mergeCell ref="M316:N316"/>
    <mergeCell ref="P316:Q316"/>
    <mergeCell ref="S316:T316"/>
    <mergeCell ref="V316:W316"/>
    <mergeCell ref="Y316:Z316"/>
    <mergeCell ref="B310:D310"/>
    <mergeCell ref="E310:G310"/>
    <mergeCell ref="H310:J310"/>
    <mergeCell ref="K310:M310"/>
    <mergeCell ref="N310:P310"/>
    <mergeCell ref="Q310:S310"/>
    <mergeCell ref="T310:V310"/>
    <mergeCell ref="W310:Y310"/>
    <mergeCell ref="Z310:AB310"/>
    <mergeCell ref="B320:D320"/>
    <mergeCell ref="E320:G320"/>
    <mergeCell ref="H320:J320"/>
    <mergeCell ref="K320:M320"/>
    <mergeCell ref="N320:P320"/>
    <mergeCell ref="Q320:S320"/>
    <mergeCell ref="T320:V320"/>
    <mergeCell ref="W320:Y320"/>
    <mergeCell ref="Z320:AB320"/>
    <mergeCell ref="B318:D318"/>
    <mergeCell ref="E318:G318"/>
    <mergeCell ref="H318:J318"/>
    <mergeCell ref="K318:M318"/>
    <mergeCell ref="N318:P318"/>
    <mergeCell ref="Q318:S318"/>
    <mergeCell ref="T318:V318"/>
    <mergeCell ref="W318:Y318"/>
    <mergeCell ref="Z318:AB318"/>
    <mergeCell ref="N325:P325"/>
    <mergeCell ref="Q325:S325"/>
    <mergeCell ref="T325:V325"/>
    <mergeCell ref="W325:Y325"/>
    <mergeCell ref="Z325:AB325"/>
    <mergeCell ref="B326:D326"/>
    <mergeCell ref="E326:G326"/>
    <mergeCell ref="H326:J326"/>
    <mergeCell ref="K326:M326"/>
    <mergeCell ref="N326:P326"/>
    <mergeCell ref="Q326:S326"/>
    <mergeCell ref="T326:V326"/>
    <mergeCell ref="W326:Y326"/>
    <mergeCell ref="Z326:AB326"/>
    <mergeCell ref="A322:E322"/>
    <mergeCell ref="F322:I322"/>
    <mergeCell ref="J322:K322"/>
    <mergeCell ref="A323:B323"/>
    <mergeCell ref="C323:D323"/>
    <mergeCell ref="B325:D325"/>
    <mergeCell ref="E325:G325"/>
    <mergeCell ref="H325:J325"/>
    <mergeCell ref="K325:M325"/>
    <mergeCell ref="D330:E330"/>
    <mergeCell ref="G330:H330"/>
    <mergeCell ref="J330:K330"/>
    <mergeCell ref="M330:N330"/>
    <mergeCell ref="P330:Q330"/>
    <mergeCell ref="S330:T330"/>
    <mergeCell ref="V330:W330"/>
    <mergeCell ref="Y330:Z330"/>
    <mergeCell ref="D333:E333"/>
    <mergeCell ref="G333:H333"/>
    <mergeCell ref="J333:K333"/>
    <mergeCell ref="M333:N333"/>
    <mergeCell ref="P333:Q333"/>
    <mergeCell ref="S333:T333"/>
    <mergeCell ref="V333:W333"/>
    <mergeCell ref="Y333:Z333"/>
    <mergeCell ref="B327:D327"/>
    <mergeCell ref="E327:G327"/>
    <mergeCell ref="H327:J327"/>
    <mergeCell ref="K327:M327"/>
    <mergeCell ref="N327:P327"/>
    <mergeCell ref="Q327:S327"/>
    <mergeCell ref="T327:V327"/>
    <mergeCell ref="W327:Y327"/>
    <mergeCell ref="Z327:AB327"/>
    <mergeCell ref="B337:D337"/>
    <mergeCell ref="E337:G337"/>
    <mergeCell ref="H337:J337"/>
    <mergeCell ref="K337:M337"/>
    <mergeCell ref="N337:P337"/>
    <mergeCell ref="Q337:S337"/>
    <mergeCell ref="T337:V337"/>
    <mergeCell ref="W337:Y337"/>
    <mergeCell ref="Z337:AB337"/>
    <mergeCell ref="B335:D335"/>
    <mergeCell ref="E335:G335"/>
    <mergeCell ref="H335:J335"/>
    <mergeCell ref="K335:M335"/>
    <mergeCell ref="N335:P335"/>
    <mergeCell ref="Q335:S335"/>
    <mergeCell ref="T335:V335"/>
    <mergeCell ref="W335:Y335"/>
    <mergeCell ref="Z335:AB335"/>
    <mergeCell ref="N343:P343"/>
    <mergeCell ref="Q343:S343"/>
    <mergeCell ref="T343:V343"/>
    <mergeCell ref="W343:Y343"/>
    <mergeCell ref="Z343:AB343"/>
    <mergeCell ref="B344:D344"/>
    <mergeCell ref="E344:G344"/>
    <mergeCell ref="H344:J344"/>
    <mergeCell ref="K344:M344"/>
    <mergeCell ref="N344:P344"/>
    <mergeCell ref="Q344:S344"/>
    <mergeCell ref="T344:V344"/>
    <mergeCell ref="W344:Y344"/>
    <mergeCell ref="Z344:AB344"/>
    <mergeCell ref="A340:E340"/>
    <mergeCell ref="F340:I340"/>
    <mergeCell ref="J340:K340"/>
    <mergeCell ref="A341:B341"/>
    <mergeCell ref="C341:D341"/>
    <mergeCell ref="B343:D343"/>
    <mergeCell ref="E343:G343"/>
    <mergeCell ref="H343:J343"/>
    <mergeCell ref="K343:M343"/>
    <mergeCell ref="D348:E348"/>
    <mergeCell ref="G348:H348"/>
    <mergeCell ref="J348:K348"/>
    <mergeCell ref="M348:N348"/>
    <mergeCell ref="P348:Q348"/>
    <mergeCell ref="S348:T348"/>
    <mergeCell ref="V348:W348"/>
    <mergeCell ref="Y348:Z348"/>
    <mergeCell ref="D351:E351"/>
    <mergeCell ref="G351:H351"/>
    <mergeCell ref="J351:K351"/>
    <mergeCell ref="M351:N351"/>
    <mergeCell ref="P351:Q351"/>
    <mergeCell ref="S351:T351"/>
    <mergeCell ref="V351:W351"/>
    <mergeCell ref="Y351:Z351"/>
    <mergeCell ref="B345:D345"/>
    <mergeCell ref="E345:G345"/>
    <mergeCell ref="H345:J345"/>
    <mergeCell ref="K345:M345"/>
    <mergeCell ref="N345:P345"/>
    <mergeCell ref="Q345:S345"/>
    <mergeCell ref="T345:V345"/>
    <mergeCell ref="W345:Y345"/>
    <mergeCell ref="Z345:AB345"/>
    <mergeCell ref="B355:D355"/>
    <mergeCell ref="E355:G355"/>
    <mergeCell ref="H355:J355"/>
    <mergeCell ref="K355:M355"/>
    <mergeCell ref="N355:P355"/>
    <mergeCell ref="Q355:S355"/>
    <mergeCell ref="T355:V355"/>
    <mergeCell ref="W355:Y355"/>
    <mergeCell ref="Z355:AB355"/>
    <mergeCell ref="B353:D353"/>
    <mergeCell ref="E353:G353"/>
    <mergeCell ref="H353:J353"/>
    <mergeCell ref="K353:M353"/>
    <mergeCell ref="N353:P353"/>
    <mergeCell ref="Q353:S353"/>
    <mergeCell ref="T353:V353"/>
    <mergeCell ref="W353:Y353"/>
    <mergeCell ref="Z353:AB353"/>
    <mergeCell ref="N361:P361"/>
    <mergeCell ref="Q361:S361"/>
    <mergeCell ref="T361:V361"/>
    <mergeCell ref="W361:Y361"/>
    <mergeCell ref="Z361:AB361"/>
    <mergeCell ref="B362:D362"/>
    <mergeCell ref="E362:G362"/>
    <mergeCell ref="H362:J362"/>
    <mergeCell ref="K362:M362"/>
    <mergeCell ref="N362:P362"/>
    <mergeCell ref="Q362:S362"/>
    <mergeCell ref="T362:V362"/>
    <mergeCell ref="W362:Y362"/>
    <mergeCell ref="Z362:AB362"/>
    <mergeCell ref="A358:E358"/>
    <mergeCell ref="F358:I358"/>
    <mergeCell ref="J358:K358"/>
    <mergeCell ref="A359:B359"/>
    <mergeCell ref="C359:D359"/>
    <mergeCell ref="B361:D361"/>
    <mergeCell ref="E361:G361"/>
    <mergeCell ref="H361:J361"/>
    <mergeCell ref="K361:M361"/>
    <mergeCell ref="Y366:Z366"/>
    <mergeCell ref="D369:E369"/>
    <mergeCell ref="G369:H369"/>
    <mergeCell ref="J369:K369"/>
    <mergeCell ref="M369:N369"/>
    <mergeCell ref="P369:Q369"/>
    <mergeCell ref="S369:T369"/>
    <mergeCell ref="V369:W369"/>
    <mergeCell ref="Y369:Z369"/>
    <mergeCell ref="B363:D363"/>
    <mergeCell ref="E363:G363"/>
    <mergeCell ref="H363:J363"/>
    <mergeCell ref="K363:M363"/>
    <mergeCell ref="N363:P363"/>
    <mergeCell ref="Q363:S363"/>
    <mergeCell ref="T363:V363"/>
    <mergeCell ref="W363:Y363"/>
    <mergeCell ref="Z363:AB363"/>
    <mergeCell ref="AG51:AG52"/>
    <mergeCell ref="AI51:AI52"/>
    <mergeCell ref="AZ52:AZ53"/>
    <mergeCell ref="AG53:AG54"/>
    <mergeCell ref="AI53:AI54"/>
    <mergeCell ref="B373:D373"/>
    <mergeCell ref="E373:G373"/>
    <mergeCell ref="H373:J373"/>
    <mergeCell ref="K373:M373"/>
    <mergeCell ref="N373:P373"/>
    <mergeCell ref="Q373:S373"/>
    <mergeCell ref="T373:V373"/>
    <mergeCell ref="W373:Y373"/>
    <mergeCell ref="Z373:AB373"/>
    <mergeCell ref="B371:D371"/>
    <mergeCell ref="E371:G371"/>
    <mergeCell ref="H371:J371"/>
    <mergeCell ref="K371:M371"/>
    <mergeCell ref="N371:P371"/>
    <mergeCell ref="Q371:S371"/>
    <mergeCell ref="T371:V371"/>
    <mergeCell ref="W371:Y371"/>
    <mergeCell ref="Z371:AB371"/>
    <mergeCell ref="D366:E366"/>
    <mergeCell ref="G366:H366"/>
    <mergeCell ref="J366:K366"/>
    <mergeCell ref="M366:N366"/>
    <mergeCell ref="P366:Q366"/>
    <mergeCell ref="AS53:AS54"/>
    <mergeCell ref="AW53:AW54"/>
    <mergeCell ref="S366:T366"/>
    <mergeCell ref="V366:W366"/>
    <mergeCell ref="AY53:AY54"/>
    <mergeCell ref="AH54:AH55"/>
    <mergeCell ref="AJ54:AJ55"/>
    <mergeCell ref="AN54:AN55"/>
    <mergeCell ref="AP54:AP55"/>
    <mergeCell ref="AR54:AR55"/>
    <mergeCell ref="AT54:AT55"/>
    <mergeCell ref="AX54:AX55"/>
    <mergeCell ref="AH65:AH66"/>
    <mergeCell ref="AJ65:AJ66"/>
    <mergeCell ref="AV46:BA46"/>
    <mergeCell ref="AG47:AG48"/>
    <mergeCell ref="AI47:AI48"/>
    <mergeCell ref="AM47:AM48"/>
    <mergeCell ref="AO47:AO48"/>
    <mergeCell ref="AQ47:AQ48"/>
    <mergeCell ref="AS47:AS48"/>
    <mergeCell ref="AW47:AW48"/>
    <mergeCell ref="AY47:AY48"/>
    <mergeCell ref="AH48:AH49"/>
    <mergeCell ref="AJ48:AJ49"/>
    <mergeCell ref="AN48:AN49"/>
    <mergeCell ref="AP48:AP49"/>
    <mergeCell ref="AR48:AR49"/>
    <mergeCell ref="AT48:AT49"/>
    <mergeCell ref="AX48:AX49"/>
    <mergeCell ref="AZ48:AZ49"/>
    <mergeCell ref="AG49:AG50"/>
    <mergeCell ref="AN50:AN51"/>
    <mergeCell ref="AP50:AP51"/>
    <mergeCell ref="AX50:AX51"/>
    <mergeCell ref="AZ50:AZ51"/>
    <mergeCell ref="AH67:AH68"/>
    <mergeCell ref="AJ67:AJ68"/>
    <mergeCell ref="AN67:AN68"/>
    <mergeCell ref="AP67:AP68"/>
    <mergeCell ref="AR67:AR68"/>
    <mergeCell ref="AT67:AT68"/>
    <mergeCell ref="AX67:AX68"/>
    <mergeCell ref="AZ54:AZ55"/>
    <mergeCell ref="AD61:AL61"/>
    <mergeCell ref="AG63:AJ63"/>
    <mergeCell ref="AK63:AL63"/>
    <mergeCell ref="AM63:AN63"/>
    <mergeCell ref="AO63:AR63"/>
    <mergeCell ref="AS63:AU63"/>
    <mergeCell ref="AV63:BA63"/>
    <mergeCell ref="AG64:AG65"/>
    <mergeCell ref="AI64:AI65"/>
    <mergeCell ref="AM64:AM65"/>
    <mergeCell ref="AO64:AO65"/>
    <mergeCell ref="AQ64:AQ65"/>
    <mergeCell ref="AS64:AS65"/>
    <mergeCell ref="AW64:AW65"/>
    <mergeCell ref="AY64:AY65"/>
    <mergeCell ref="AN65:AN66"/>
    <mergeCell ref="AP65:AP66"/>
    <mergeCell ref="AR65:AR66"/>
    <mergeCell ref="AT65:AT66"/>
    <mergeCell ref="AX65:AX66"/>
    <mergeCell ref="AZ65:AZ66"/>
    <mergeCell ref="AM53:AM54"/>
    <mergeCell ref="AO53:AO54"/>
    <mergeCell ref="AQ53:AQ54"/>
    <mergeCell ref="AZ67:AZ68"/>
    <mergeCell ref="AG68:AG69"/>
    <mergeCell ref="AI68:AI69"/>
    <mergeCell ref="AM68:AM69"/>
    <mergeCell ref="AO68:AO69"/>
    <mergeCell ref="AQ68:AQ69"/>
    <mergeCell ref="AS68:AS69"/>
    <mergeCell ref="AW68:AW69"/>
    <mergeCell ref="AY68:AY69"/>
    <mergeCell ref="AH69:AH70"/>
    <mergeCell ref="AJ69:AJ70"/>
    <mergeCell ref="AN69:AN70"/>
    <mergeCell ref="AP69:AP70"/>
    <mergeCell ref="AR69:AR70"/>
    <mergeCell ref="AT69:AT70"/>
    <mergeCell ref="AX69:AX70"/>
    <mergeCell ref="AZ69:AZ70"/>
    <mergeCell ref="AG70:AG71"/>
    <mergeCell ref="AI70:AI71"/>
    <mergeCell ref="AM70:AM71"/>
    <mergeCell ref="AO70:AO71"/>
    <mergeCell ref="AQ70:AQ71"/>
    <mergeCell ref="AS70:AS71"/>
    <mergeCell ref="AG66:AG67"/>
    <mergeCell ref="AI66:AI67"/>
    <mergeCell ref="AM66:AM67"/>
    <mergeCell ref="AO66:AO67"/>
    <mergeCell ref="AQ66:AQ67"/>
    <mergeCell ref="AW70:AW71"/>
    <mergeCell ref="AS66:AS67"/>
    <mergeCell ref="AW66:AW67"/>
    <mergeCell ref="AY66:AY67"/>
    <mergeCell ref="AY70:AY71"/>
    <mergeCell ref="AH71:AH72"/>
    <mergeCell ref="AJ71:AJ72"/>
    <mergeCell ref="AN71:AN72"/>
    <mergeCell ref="AP71:AP72"/>
    <mergeCell ref="AR71:AR72"/>
    <mergeCell ref="AT71:AT72"/>
    <mergeCell ref="AX71:AX72"/>
    <mergeCell ref="AZ71:AZ72"/>
    <mergeCell ref="AT85:AT86"/>
    <mergeCell ref="AX85:AX86"/>
    <mergeCell ref="AS84:AS85"/>
    <mergeCell ref="AW84:AW85"/>
    <mergeCell ref="AY84:AY85"/>
    <mergeCell ref="AH85:AH86"/>
    <mergeCell ref="AJ85:AJ86"/>
    <mergeCell ref="AN85:AN86"/>
    <mergeCell ref="AP85:AP86"/>
    <mergeCell ref="AR85:AR86"/>
    <mergeCell ref="AI86:AI87"/>
    <mergeCell ref="AM86:AM87"/>
    <mergeCell ref="AO86:AO87"/>
    <mergeCell ref="AQ86:AQ87"/>
    <mergeCell ref="AS86:AS87"/>
    <mergeCell ref="AW86:AW87"/>
    <mergeCell ref="AD79:AL79"/>
    <mergeCell ref="AG81:AJ81"/>
    <mergeCell ref="AK81:AL81"/>
    <mergeCell ref="AM81:AN81"/>
    <mergeCell ref="AO81:AR81"/>
    <mergeCell ref="AS81:AU81"/>
    <mergeCell ref="AV81:BA81"/>
    <mergeCell ref="AG82:AG83"/>
    <mergeCell ref="AI82:AI83"/>
    <mergeCell ref="AM82:AM83"/>
    <mergeCell ref="AO82:AO83"/>
    <mergeCell ref="AQ82:AQ83"/>
    <mergeCell ref="AS82:AS83"/>
    <mergeCell ref="AW82:AW83"/>
    <mergeCell ref="AY82:AY83"/>
    <mergeCell ref="AH83:AH84"/>
    <mergeCell ref="AJ83:AJ84"/>
    <mergeCell ref="AN83:AN84"/>
    <mergeCell ref="AP83:AP84"/>
    <mergeCell ref="AR83:AR84"/>
    <mergeCell ref="AT83:AT84"/>
    <mergeCell ref="AX83:AX84"/>
    <mergeCell ref="AZ83:AZ84"/>
    <mergeCell ref="AG84:AG85"/>
    <mergeCell ref="AI84:AI85"/>
    <mergeCell ref="AM84:AM85"/>
    <mergeCell ref="AO84:AO85"/>
    <mergeCell ref="AQ84:AQ85"/>
    <mergeCell ref="AZ85:AZ86"/>
    <mergeCell ref="AG86:AG87"/>
    <mergeCell ref="AY86:AY87"/>
    <mergeCell ref="AH87:AH88"/>
    <mergeCell ref="AR100:AR101"/>
    <mergeCell ref="AT100:AT101"/>
    <mergeCell ref="AX100:AX101"/>
    <mergeCell ref="AZ100:AZ101"/>
    <mergeCell ref="AG101:AG102"/>
    <mergeCell ref="AI101:AI102"/>
    <mergeCell ref="AM101:AM102"/>
    <mergeCell ref="AO101:AO102"/>
    <mergeCell ref="AQ101:AQ102"/>
    <mergeCell ref="AY88:AY89"/>
    <mergeCell ref="AH89:AH90"/>
    <mergeCell ref="AJ89:AJ90"/>
    <mergeCell ref="AN89:AN90"/>
    <mergeCell ref="AP89:AP90"/>
    <mergeCell ref="AR89:AR90"/>
    <mergeCell ref="AT89:AT90"/>
    <mergeCell ref="AX89:AX90"/>
    <mergeCell ref="AZ89:AZ90"/>
    <mergeCell ref="AJ87:AJ88"/>
    <mergeCell ref="AN87:AN88"/>
    <mergeCell ref="AP87:AP88"/>
    <mergeCell ref="AR87:AR88"/>
    <mergeCell ref="AT87:AT88"/>
    <mergeCell ref="AX87:AX88"/>
    <mergeCell ref="AZ87:AZ88"/>
    <mergeCell ref="AG88:AG89"/>
    <mergeCell ref="AI88:AI89"/>
    <mergeCell ref="AM88:AM89"/>
    <mergeCell ref="AO88:AO89"/>
    <mergeCell ref="AQ88:AQ89"/>
    <mergeCell ref="AS88:AS89"/>
    <mergeCell ref="AW88:AW89"/>
    <mergeCell ref="AQ105:AQ106"/>
    <mergeCell ref="AS105:AS106"/>
    <mergeCell ref="AW105:AW106"/>
    <mergeCell ref="AS101:AS102"/>
    <mergeCell ref="AW101:AW102"/>
    <mergeCell ref="AY101:AY102"/>
    <mergeCell ref="AH102:AH103"/>
    <mergeCell ref="AJ102:AJ103"/>
    <mergeCell ref="AN102:AN103"/>
    <mergeCell ref="AP102:AP103"/>
    <mergeCell ref="AR102:AR103"/>
    <mergeCell ref="AT102:AT103"/>
    <mergeCell ref="AX102:AX103"/>
    <mergeCell ref="AD96:AL96"/>
    <mergeCell ref="AG98:AJ98"/>
    <mergeCell ref="AK98:AL98"/>
    <mergeCell ref="AM98:AN98"/>
    <mergeCell ref="AO98:AR98"/>
    <mergeCell ref="AS98:AU98"/>
    <mergeCell ref="AV98:BA98"/>
    <mergeCell ref="AG99:AG100"/>
    <mergeCell ref="AI99:AI100"/>
    <mergeCell ref="AM99:AM100"/>
    <mergeCell ref="AO99:AO100"/>
    <mergeCell ref="AQ99:AQ100"/>
    <mergeCell ref="AS99:AS100"/>
    <mergeCell ref="AW99:AW100"/>
    <mergeCell ref="AY99:AY100"/>
    <mergeCell ref="AH100:AH101"/>
    <mergeCell ref="AJ100:AJ101"/>
    <mergeCell ref="AN100:AN101"/>
    <mergeCell ref="AP100:AP101"/>
    <mergeCell ref="AZ118:AZ119"/>
    <mergeCell ref="AG119:AG120"/>
    <mergeCell ref="AY105:AY106"/>
    <mergeCell ref="AH106:AH107"/>
    <mergeCell ref="AJ106:AJ107"/>
    <mergeCell ref="AN106:AN107"/>
    <mergeCell ref="AP106:AP107"/>
    <mergeCell ref="AR106:AR107"/>
    <mergeCell ref="AT106:AT107"/>
    <mergeCell ref="AX106:AX107"/>
    <mergeCell ref="AZ106:AZ107"/>
    <mergeCell ref="AZ102:AZ103"/>
    <mergeCell ref="AG103:AG104"/>
    <mergeCell ref="AI103:AI104"/>
    <mergeCell ref="AM103:AM104"/>
    <mergeCell ref="AO103:AO104"/>
    <mergeCell ref="AQ103:AQ104"/>
    <mergeCell ref="AS103:AS104"/>
    <mergeCell ref="AW103:AW104"/>
    <mergeCell ref="AY103:AY104"/>
    <mergeCell ref="AH104:AH105"/>
    <mergeCell ref="AJ104:AJ105"/>
    <mergeCell ref="AN104:AN105"/>
    <mergeCell ref="AP104:AP105"/>
    <mergeCell ref="AR104:AR105"/>
    <mergeCell ref="AT104:AT105"/>
    <mergeCell ref="AX104:AX105"/>
    <mergeCell ref="AZ104:AZ105"/>
    <mergeCell ref="AG105:AG106"/>
    <mergeCell ref="AI105:AI106"/>
    <mergeCell ref="AM105:AM106"/>
    <mergeCell ref="AO105:AO106"/>
    <mergeCell ref="AW123:AW124"/>
    <mergeCell ref="AS119:AS120"/>
    <mergeCell ref="AW119:AW120"/>
    <mergeCell ref="AY119:AY120"/>
    <mergeCell ref="AH120:AH121"/>
    <mergeCell ref="AJ120:AJ121"/>
    <mergeCell ref="AN120:AN121"/>
    <mergeCell ref="AP120:AP121"/>
    <mergeCell ref="AR120:AR121"/>
    <mergeCell ref="AT120:AT121"/>
    <mergeCell ref="AX120:AX121"/>
    <mergeCell ref="AD114:AL114"/>
    <mergeCell ref="AG116:AJ116"/>
    <mergeCell ref="AK116:AL116"/>
    <mergeCell ref="AM116:AN116"/>
    <mergeCell ref="AO116:AR116"/>
    <mergeCell ref="AS116:AU116"/>
    <mergeCell ref="AV116:BA116"/>
    <mergeCell ref="AG117:AG118"/>
    <mergeCell ref="AI117:AI118"/>
    <mergeCell ref="AM117:AM118"/>
    <mergeCell ref="AO117:AO118"/>
    <mergeCell ref="AQ117:AQ118"/>
    <mergeCell ref="AS117:AS118"/>
    <mergeCell ref="AW117:AW118"/>
    <mergeCell ref="AY117:AY118"/>
    <mergeCell ref="AH118:AH119"/>
    <mergeCell ref="AJ118:AJ119"/>
    <mergeCell ref="AN118:AN119"/>
    <mergeCell ref="AR118:AR119"/>
    <mergeCell ref="AT118:AT119"/>
    <mergeCell ref="AX118:AX119"/>
    <mergeCell ref="AY123:AY124"/>
    <mergeCell ref="AH124:AH125"/>
    <mergeCell ref="AJ124:AJ125"/>
    <mergeCell ref="AN124:AN125"/>
    <mergeCell ref="AP124:AP125"/>
    <mergeCell ref="AR124:AR125"/>
    <mergeCell ref="AT124:AT125"/>
    <mergeCell ref="AX124:AX125"/>
    <mergeCell ref="AZ124:AZ125"/>
    <mergeCell ref="AZ120:AZ121"/>
    <mergeCell ref="AG121:AG122"/>
    <mergeCell ref="AI121:AI122"/>
    <mergeCell ref="AM121:AM122"/>
    <mergeCell ref="AO121:AO122"/>
    <mergeCell ref="AQ121:AQ122"/>
    <mergeCell ref="AS121:AS122"/>
    <mergeCell ref="AW121:AW122"/>
    <mergeCell ref="AY121:AY122"/>
    <mergeCell ref="AH122:AH123"/>
    <mergeCell ref="AJ122:AJ123"/>
    <mergeCell ref="AN122:AN123"/>
    <mergeCell ref="AP122:AP123"/>
    <mergeCell ref="AR122:AR123"/>
    <mergeCell ref="AT122:AT123"/>
    <mergeCell ref="AX122:AX123"/>
    <mergeCell ref="AZ122:AZ123"/>
    <mergeCell ref="AG123:AG124"/>
    <mergeCell ref="AI123:AI124"/>
    <mergeCell ref="AM123:AM124"/>
    <mergeCell ref="AO123:AO124"/>
    <mergeCell ref="AQ123:AQ124"/>
    <mergeCell ref="AS123:AS124"/>
    <mergeCell ref="AD131:AL131"/>
    <mergeCell ref="AG133:AJ133"/>
    <mergeCell ref="AK133:AL133"/>
    <mergeCell ref="AM133:AN133"/>
    <mergeCell ref="AO133:AR133"/>
    <mergeCell ref="AS133:AU133"/>
    <mergeCell ref="AV133:BA133"/>
    <mergeCell ref="AG134:AG135"/>
    <mergeCell ref="AI134:AI135"/>
    <mergeCell ref="AM134:AM135"/>
    <mergeCell ref="AO134:AO135"/>
    <mergeCell ref="AQ134:AQ135"/>
    <mergeCell ref="AS134:AS135"/>
    <mergeCell ref="AW134:AW135"/>
    <mergeCell ref="AY134:AY135"/>
    <mergeCell ref="AH135:AH136"/>
    <mergeCell ref="AJ135:AJ136"/>
    <mergeCell ref="AN135:AN136"/>
    <mergeCell ref="AP135:AP136"/>
    <mergeCell ref="AR135:AR136"/>
    <mergeCell ref="AT135:AT136"/>
    <mergeCell ref="AX135:AX136"/>
    <mergeCell ref="AZ135:AZ136"/>
    <mergeCell ref="AG136:AG137"/>
    <mergeCell ref="AM136:AM137"/>
    <mergeCell ref="AO136:AO137"/>
    <mergeCell ref="AQ136:AQ137"/>
    <mergeCell ref="AZ137:AZ138"/>
    <mergeCell ref="AG138:AG139"/>
    <mergeCell ref="AI138:AI139"/>
    <mergeCell ref="AI136:AI137"/>
    <mergeCell ref="AS138:AS139"/>
    <mergeCell ref="AW138:AW139"/>
    <mergeCell ref="AY138:AY139"/>
    <mergeCell ref="AH139:AH140"/>
    <mergeCell ref="AJ139:AJ140"/>
    <mergeCell ref="AN139:AN140"/>
    <mergeCell ref="AP139:AP140"/>
    <mergeCell ref="AR139:AR140"/>
    <mergeCell ref="AT139:AT140"/>
    <mergeCell ref="AX139:AX140"/>
    <mergeCell ref="AZ139:AZ140"/>
    <mergeCell ref="AG140:AG141"/>
    <mergeCell ref="AI140:AI141"/>
    <mergeCell ref="AM140:AM141"/>
    <mergeCell ref="AO140:AO141"/>
    <mergeCell ref="AQ140:AQ141"/>
    <mergeCell ref="AS140:AS141"/>
    <mergeCell ref="AW140:AW141"/>
    <mergeCell ref="AT137:AT138"/>
    <mergeCell ref="AX137:AX138"/>
    <mergeCell ref="AJ153:AJ154"/>
    <mergeCell ref="AN153:AN154"/>
    <mergeCell ref="AP153:AP154"/>
    <mergeCell ref="AS136:AS137"/>
    <mergeCell ref="AW136:AW137"/>
    <mergeCell ref="AY136:AY137"/>
    <mergeCell ref="AH137:AH138"/>
    <mergeCell ref="AJ137:AJ138"/>
    <mergeCell ref="AN137:AN138"/>
    <mergeCell ref="AP137:AP138"/>
    <mergeCell ref="AR137:AR138"/>
    <mergeCell ref="AR153:AR154"/>
    <mergeCell ref="AT153:AT154"/>
    <mergeCell ref="AX153:AX154"/>
    <mergeCell ref="AZ153:AZ154"/>
    <mergeCell ref="AG154:AG155"/>
    <mergeCell ref="AI154:AI155"/>
    <mergeCell ref="AM154:AM155"/>
    <mergeCell ref="AO154:AO155"/>
    <mergeCell ref="AQ154:AQ155"/>
    <mergeCell ref="AY140:AY141"/>
    <mergeCell ref="AH141:AH142"/>
    <mergeCell ref="AJ141:AJ142"/>
    <mergeCell ref="AN141:AN142"/>
    <mergeCell ref="AP141:AP142"/>
    <mergeCell ref="AR141:AR142"/>
    <mergeCell ref="AT141:AT142"/>
    <mergeCell ref="AX141:AX142"/>
    <mergeCell ref="AZ141:AZ142"/>
    <mergeCell ref="AM138:AM139"/>
    <mergeCell ref="AO138:AO139"/>
    <mergeCell ref="AQ138:AQ139"/>
    <mergeCell ref="AI158:AI159"/>
    <mergeCell ref="AM158:AM159"/>
    <mergeCell ref="AO158:AO159"/>
    <mergeCell ref="AQ158:AQ159"/>
    <mergeCell ref="AS158:AS159"/>
    <mergeCell ref="AW158:AW159"/>
    <mergeCell ref="AS154:AS155"/>
    <mergeCell ref="AW154:AW155"/>
    <mergeCell ref="AY154:AY155"/>
    <mergeCell ref="AH155:AH156"/>
    <mergeCell ref="AJ155:AJ156"/>
    <mergeCell ref="AN155:AN156"/>
    <mergeCell ref="AP155:AP156"/>
    <mergeCell ref="AR155:AR156"/>
    <mergeCell ref="AT155:AT156"/>
    <mergeCell ref="AX155:AX156"/>
    <mergeCell ref="AD149:AL149"/>
    <mergeCell ref="AG151:AJ151"/>
    <mergeCell ref="AK151:AL151"/>
    <mergeCell ref="AM151:AN151"/>
    <mergeCell ref="AO151:AR151"/>
    <mergeCell ref="AS151:AU151"/>
    <mergeCell ref="AV151:BA151"/>
    <mergeCell ref="AG152:AG153"/>
    <mergeCell ref="AI152:AI153"/>
    <mergeCell ref="AM152:AM153"/>
    <mergeCell ref="AO152:AO153"/>
    <mergeCell ref="AQ152:AQ153"/>
    <mergeCell ref="AS152:AS153"/>
    <mergeCell ref="AW152:AW153"/>
    <mergeCell ref="AY152:AY153"/>
    <mergeCell ref="AH153:AH154"/>
    <mergeCell ref="AR170:AR171"/>
    <mergeCell ref="AT170:AT171"/>
    <mergeCell ref="AX170:AX171"/>
    <mergeCell ref="AZ170:AZ171"/>
    <mergeCell ref="AG171:AG172"/>
    <mergeCell ref="AY158:AY159"/>
    <mergeCell ref="AH159:AH160"/>
    <mergeCell ref="AJ159:AJ160"/>
    <mergeCell ref="AN159:AN160"/>
    <mergeCell ref="AP159:AP160"/>
    <mergeCell ref="AR159:AR160"/>
    <mergeCell ref="AT159:AT160"/>
    <mergeCell ref="AX159:AX160"/>
    <mergeCell ref="AZ159:AZ160"/>
    <mergeCell ref="AZ155:AZ156"/>
    <mergeCell ref="AG156:AG157"/>
    <mergeCell ref="AI156:AI157"/>
    <mergeCell ref="AM156:AM157"/>
    <mergeCell ref="AO156:AO157"/>
    <mergeCell ref="AQ156:AQ157"/>
    <mergeCell ref="AS156:AS157"/>
    <mergeCell ref="AW156:AW157"/>
    <mergeCell ref="AY156:AY157"/>
    <mergeCell ref="AH157:AH158"/>
    <mergeCell ref="AJ157:AJ158"/>
    <mergeCell ref="AN157:AN158"/>
    <mergeCell ref="AP157:AP158"/>
    <mergeCell ref="AR157:AR158"/>
    <mergeCell ref="AT157:AT158"/>
    <mergeCell ref="AX157:AX158"/>
    <mergeCell ref="AZ157:AZ158"/>
    <mergeCell ref="AG158:AG159"/>
    <mergeCell ref="AO175:AO176"/>
    <mergeCell ref="AQ175:AQ176"/>
    <mergeCell ref="AS175:AS176"/>
    <mergeCell ref="AW175:AW176"/>
    <mergeCell ref="AS171:AS172"/>
    <mergeCell ref="AW171:AW172"/>
    <mergeCell ref="AY171:AY172"/>
    <mergeCell ref="AH172:AH173"/>
    <mergeCell ref="AJ172:AJ173"/>
    <mergeCell ref="AN172:AN173"/>
    <mergeCell ref="AP172:AP173"/>
    <mergeCell ref="AR172:AR173"/>
    <mergeCell ref="AT172:AT173"/>
    <mergeCell ref="AX172:AX173"/>
    <mergeCell ref="AD166:AL166"/>
    <mergeCell ref="AG168:AJ168"/>
    <mergeCell ref="AK168:AL168"/>
    <mergeCell ref="AM168:AN168"/>
    <mergeCell ref="AO168:AR168"/>
    <mergeCell ref="AS168:AU168"/>
    <mergeCell ref="AV168:BA168"/>
    <mergeCell ref="AG169:AG170"/>
    <mergeCell ref="AI169:AI170"/>
    <mergeCell ref="AM169:AM170"/>
    <mergeCell ref="AO169:AO170"/>
    <mergeCell ref="AQ169:AQ170"/>
    <mergeCell ref="AS169:AS170"/>
    <mergeCell ref="AW169:AW170"/>
    <mergeCell ref="AY169:AY170"/>
    <mergeCell ref="AH170:AH171"/>
    <mergeCell ref="AJ170:AJ171"/>
    <mergeCell ref="AN170:AN171"/>
    <mergeCell ref="AX188:AX189"/>
    <mergeCell ref="AZ188:AZ189"/>
    <mergeCell ref="AG189:AG190"/>
    <mergeCell ref="AY175:AY176"/>
    <mergeCell ref="AH176:AH177"/>
    <mergeCell ref="AJ176:AJ177"/>
    <mergeCell ref="AN176:AN177"/>
    <mergeCell ref="AP176:AP177"/>
    <mergeCell ref="AR176:AR177"/>
    <mergeCell ref="AT176:AT177"/>
    <mergeCell ref="AX176:AX177"/>
    <mergeCell ref="AZ176:AZ177"/>
    <mergeCell ref="AZ172:AZ173"/>
    <mergeCell ref="AG173:AG174"/>
    <mergeCell ref="AI173:AI174"/>
    <mergeCell ref="AM173:AM174"/>
    <mergeCell ref="AO173:AO174"/>
    <mergeCell ref="AQ173:AQ174"/>
    <mergeCell ref="AS173:AS174"/>
    <mergeCell ref="AW173:AW174"/>
    <mergeCell ref="AY173:AY174"/>
    <mergeCell ref="AH174:AH175"/>
    <mergeCell ref="AJ174:AJ175"/>
    <mergeCell ref="AN174:AN175"/>
    <mergeCell ref="AP174:AP175"/>
    <mergeCell ref="AR174:AR175"/>
    <mergeCell ref="AT174:AT175"/>
    <mergeCell ref="AX174:AX175"/>
    <mergeCell ref="AZ174:AZ175"/>
    <mergeCell ref="AG175:AG176"/>
    <mergeCell ref="AI175:AI176"/>
    <mergeCell ref="AM175:AM176"/>
    <mergeCell ref="AW193:AW194"/>
    <mergeCell ref="AS189:AS190"/>
    <mergeCell ref="AW189:AW190"/>
    <mergeCell ref="AY189:AY190"/>
    <mergeCell ref="AH190:AH191"/>
    <mergeCell ref="AJ190:AJ191"/>
    <mergeCell ref="AN190:AN191"/>
    <mergeCell ref="AP190:AP191"/>
    <mergeCell ref="AR190:AR191"/>
    <mergeCell ref="AT190:AT191"/>
    <mergeCell ref="AX190:AX191"/>
    <mergeCell ref="AD184:AL184"/>
    <mergeCell ref="AG186:AJ186"/>
    <mergeCell ref="AK186:AL186"/>
    <mergeCell ref="AM186:AN186"/>
    <mergeCell ref="AO186:AR186"/>
    <mergeCell ref="AS186:AU186"/>
    <mergeCell ref="AV186:BA186"/>
    <mergeCell ref="AG187:AG188"/>
    <mergeCell ref="AI187:AI188"/>
    <mergeCell ref="AM187:AM188"/>
    <mergeCell ref="AO187:AO188"/>
    <mergeCell ref="AQ187:AQ188"/>
    <mergeCell ref="AS187:AS188"/>
    <mergeCell ref="AW187:AW188"/>
    <mergeCell ref="AY187:AY188"/>
    <mergeCell ref="AH188:AH189"/>
    <mergeCell ref="AJ188:AJ189"/>
    <mergeCell ref="AN188:AN189"/>
    <mergeCell ref="AP188:AP189"/>
    <mergeCell ref="AR188:AR189"/>
    <mergeCell ref="AT188:AT189"/>
    <mergeCell ref="AY193:AY194"/>
    <mergeCell ref="AH194:AH195"/>
    <mergeCell ref="AJ194:AJ195"/>
    <mergeCell ref="AN194:AN195"/>
    <mergeCell ref="AP194:AP195"/>
    <mergeCell ref="AR194:AR195"/>
    <mergeCell ref="AT194:AT195"/>
    <mergeCell ref="AX194:AX195"/>
    <mergeCell ref="AZ194:AZ195"/>
    <mergeCell ref="AZ190:AZ191"/>
    <mergeCell ref="AG191:AG192"/>
    <mergeCell ref="AI191:AI192"/>
    <mergeCell ref="AM191:AM192"/>
    <mergeCell ref="AO191:AO192"/>
    <mergeCell ref="AQ191:AQ192"/>
    <mergeCell ref="AS191:AS192"/>
    <mergeCell ref="AW191:AW192"/>
    <mergeCell ref="AY191:AY192"/>
    <mergeCell ref="AH192:AH193"/>
    <mergeCell ref="AJ192:AJ193"/>
    <mergeCell ref="AN192:AN193"/>
    <mergeCell ref="AP192:AP193"/>
    <mergeCell ref="AR192:AR193"/>
    <mergeCell ref="AT192:AT193"/>
    <mergeCell ref="AX192:AX193"/>
    <mergeCell ref="AZ192:AZ193"/>
    <mergeCell ref="AG193:AG194"/>
    <mergeCell ref="AI193:AI194"/>
    <mergeCell ref="AM193:AM194"/>
    <mergeCell ref="AO193:AO194"/>
    <mergeCell ref="AQ193:AQ194"/>
    <mergeCell ref="AS193:AS194"/>
    <mergeCell ref="AD201:AL201"/>
    <mergeCell ref="AG203:AJ203"/>
    <mergeCell ref="AK203:AL203"/>
    <mergeCell ref="AM203:AN203"/>
    <mergeCell ref="AO203:AR203"/>
    <mergeCell ref="AS203:AU203"/>
    <mergeCell ref="AV203:BA203"/>
    <mergeCell ref="AG204:AG205"/>
    <mergeCell ref="AI204:AI205"/>
    <mergeCell ref="AM204:AM205"/>
    <mergeCell ref="AO204:AO205"/>
    <mergeCell ref="AQ204:AQ205"/>
    <mergeCell ref="AS204:AS205"/>
    <mergeCell ref="AW204:AW205"/>
    <mergeCell ref="AY204:AY205"/>
    <mergeCell ref="AH205:AH206"/>
    <mergeCell ref="AJ205:AJ206"/>
    <mergeCell ref="AN205:AN206"/>
    <mergeCell ref="AP205:AP206"/>
    <mergeCell ref="AR205:AR206"/>
    <mergeCell ref="AT205:AT206"/>
    <mergeCell ref="AX205:AX206"/>
    <mergeCell ref="AZ205:AZ206"/>
    <mergeCell ref="AG206:AG207"/>
    <mergeCell ref="AZ209:AZ210"/>
    <mergeCell ref="AG210:AG211"/>
    <mergeCell ref="AI210:AI211"/>
    <mergeCell ref="AM210:AM211"/>
    <mergeCell ref="AO210:AO211"/>
    <mergeCell ref="AQ210:AQ211"/>
    <mergeCell ref="AS210:AS211"/>
    <mergeCell ref="AW210:AW211"/>
    <mergeCell ref="AI206:AI207"/>
    <mergeCell ref="AM206:AM207"/>
    <mergeCell ref="AO206:AO207"/>
    <mergeCell ref="AQ206:AQ207"/>
    <mergeCell ref="AS206:AS207"/>
    <mergeCell ref="AW206:AW207"/>
    <mergeCell ref="AY206:AY207"/>
    <mergeCell ref="AH207:AH208"/>
    <mergeCell ref="AJ207:AJ208"/>
    <mergeCell ref="AN207:AN208"/>
    <mergeCell ref="AP207:AP208"/>
    <mergeCell ref="AR207:AR208"/>
    <mergeCell ref="AT207:AT208"/>
    <mergeCell ref="AX207:AX208"/>
    <mergeCell ref="AN223:AN224"/>
    <mergeCell ref="AP223:AP224"/>
    <mergeCell ref="AR223:AR224"/>
    <mergeCell ref="AT223:AT224"/>
    <mergeCell ref="AX223:AX224"/>
    <mergeCell ref="AZ223:AZ224"/>
    <mergeCell ref="AG224:AG225"/>
    <mergeCell ref="AY210:AY211"/>
    <mergeCell ref="AH211:AH212"/>
    <mergeCell ref="AJ211:AJ212"/>
    <mergeCell ref="AN211:AN212"/>
    <mergeCell ref="AP211:AP212"/>
    <mergeCell ref="AR211:AR212"/>
    <mergeCell ref="AT211:AT212"/>
    <mergeCell ref="AX211:AX212"/>
    <mergeCell ref="AZ211:AZ212"/>
    <mergeCell ref="AZ207:AZ208"/>
    <mergeCell ref="AG208:AG209"/>
    <mergeCell ref="AI208:AI209"/>
    <mergeCell ref="AM208:AM209"/>
    <mergeCell ref="AO208:AO209"/>
    <mergeCell ref="AQ208:AQ209"/>
    <mergeCell ref="AS208:AS209"/>
    <mergeCell ref="AW208:AW209"/>
    <mergeCell ref="AY208:AY209"/>
    <mergeCell ref="AH209:AH210"/>
    <mergeCell ref="AJ209:AJ210"/>
    <mergeCell ref="AN209:AN210"/>
    <mergeCell ref="AP209:AP210"/>
    <mergeCell ref="AR209:AR210"/>
    <mergeCell ref="AT209:AT210"/>
    <mergeCell ref="AX209:AX210"/>
    <mergeCell ref="AW228:AW229"/>
    <mergeCell ref="AI224:AI225"/>
    <mergeCell ref="AM224:AM225"/>
    <mergeCell ref="AO224:AO225"/>
    <mergeCell ref="AQ224:AQ225"/>
    <mergeCell ref="AS224:AS225"/>
    <mergeCell ref="AW224:AW225"/>
    <mergeCell ref="AY224:AY225"/>
    <mergeCell ref="AH225:AH226"/>
    <mergeCell ref="AJ225:AJ226"/>
    <mergeCell ref="AN225:AN226"/>
    <mergeCell ref="AP225:AP226"/>
    <mergeCell ref="AR225:AR226"/>
    <mergeCell ref="AT225:AT226"/>
    <mergeCell ref="AX225:AX226"/>
    <mergeCell ref="AD219:AL219"/>
    <mergeCell ref="AG221:AJ221"/>
    <mergeCell ref="AK221:AL221"/>
    <mergeCell ref="AM221:AN221"/>
    <mergeCell ref="AO221:AR221"/>
    <mergeCell ref="AS221:AU221"/>
    <mergeCell ref="AV221:BA221"/>
    <mergeCell ref="AG222:AG223"/>
    <mergeCell ref="AI222:AI223"/>
    <mergeCell ref="AM222:AM223"/>
    <mergeCell ref="AO222:AO223"/>
    <mergeCell ref="AQ222:AQ223"/>
    <mergeCell ref="AS222:AS223"/>
    <mergeCell ref="AW222:AW223"/>
    <mergeCell ref="AY222:AY223"/>
    <mergeCell ref="AH223:AH224"/>
    <mergeCell ref="AJ223:AJ224"/>
    <mergeCell ref="AY228:AY229"/>
    <mergeCell ref="AH229:AH230"/>
    <mergeCell ref="AJ229:AJ230"/>
    <mergeCell ref="AN229:AN230"/>
    <mergeCell ref="AP229:AP230"/>
    <mergeCell ref="AR229:AR230"/>
    <mergeCell ref="AT229:AT230"/>
    <mergeCell ref="AX229:AX230"/>
    <mergeCell ref="AZ229:AZ230"/>
    <mergeCell ref="AZ225:AZ226"/>
    <mergeCell ref="AG226:AG227"/>
    <mergeCell ref="AI226:AI227"/>
    <mergeCell ref="AM226:AM227"/>
    <mergeCell ref="AO226:AO227"/>
    <mergeCell ref="AQ226:AQ227"/>
    <mergeCell ref="AS226:AS227"/>
    <mergeCell ref="AW226:AW227"/>
    <mergeCell ref="AY226:AY227"/>
    <mergeCell ref="AH227:AH228"/>
    <mergeCell ref="AJ227:AJ228"/>
    <mergeCell ref="AN227:AN228"/>
    <mergeCell ref="AP227:AP228"/>
    <mergeCell ref="AR227:AR228"/>
    <mergeCell ref="AT227:AT228"/>
    <mergeCell ref="AX227:AX228"/>
    <mergeCell ref="AZ227:AZ228"/>
    <mergeCell ref="AG228:AG229"/>
    <mergeCell ref="AI228:AI229"/>
    <mergeCell ref="AM228:AM229"/>
    <mergeCell ref="AO228:AO229"/>
    <mergeCell ref="AQ228:AQ229"/>
    <mergeCell ref="AS228:AS229"/>
    <mergeCell ref="AD236:AL236"/>
    <mergeCell ref="AG238:AJ238"/>
    <mergeCell ref="AK238:AL238"/>
    <mergeCell ref="AM238:AN238"/>
    <mergeCell ref="AO238:AR238"/>
    <mergeCell ref="AS238:AU238"/>
    <mergeCell ref="AV238:BA238"/>
    <mergeCell ref="AG239:AG240"/>
    <mergeCell ref="AI239:AI240"/>
    <mergeCell ref="AM239:AM240"/>
    <mergeCell ref="AO239:AO240"/>
    <mergeCell ref="AQ239:AQ240"/>
    <mergeCell ref="AS239:AS240"/>
    <mergeCell ref="AW239:AW240"/>
    <mergeCell ref="AY239:AY240"/>
    <mergeCell ref="AH240:AH241"/>
    <mergeCell ref="AJ240:AJ241"/>
    <mergeCell ref="AN240:AN241"/>
    <mergeCell ref="AP240:AP241"/>
    <mergeCell ref="AR240:AR241"/>
    <mergeCell ref="AT240:AT241"/>
    <mergeCell ref="AX240:AX241"/>
    <mergeCell ref="AZ240:AZ241"/>
    <mergeCell ref="AG241:AG242"/>
    <mergeCell ref="AZ244:AZ245"/>
    <mergeCell ref="AG245:AG246"/>
    <mergeCell ref="AI245:AI246"/>
    <mergeCell ref="AM245:AM246"/>
    <mergeCell ref="AO245:AO246"/>
    <mergeCell ref="AQ245:AQ246"/>
    <mergeCell ref="AS245:AS246"/>
    <mergeCell ref="AW245:AW246"/>
    <mergeCell ref="AI241:AI242"/>
    <mergeCell ref="AM241:AM242"/>
    <mergeCell ref="AO241:AO242"/>
    <mergeCell ref="AQ241:AQ242"/>
    <mergeCell ref="AS241:AS242"/>
    <mergeCell ref="AW241:AW242"/>
    <mergeCell ref="AY241:AY242"/>
    <mergeCell ref="AH242:AH243"/>
    <mergeCell ref="AJ242:AJ243"/>
    <mergeCell ref="AN242:AN243"/>
    <mergeCell ref="AP242:AP243"/>
    <mergeCell ref="AR242:AR243"/>
    <mergeCell ref="AT242:AT243"/>
    <mergeCell ref="AX242:AX243"/>
    <mergeCell ref="AN258:AN259"/>
    <mergeCell ref="AP258:AP259"/>
    <mergeCell ref="AR258:AR259"/>
    <mergeCell ref="AT258:AT259"/>
    <mergeCell ref="AX258:AX259"/>
    <mergeCell ref="AZ258:AZ259"/>
    <mergeCell ref="AG259:AG260"/>
    <mergeCell ref="AY245:AY246"/>
    <mergeCell ref="AH246:AH247"/>
    <mergeCell ref="AJ246:AJ247"/>
    <mergeCell ref="AN246:AN247"/>
    <mergeCell ref="AP246:AP247"/>
    <mergeCell ref="AR246:AR247"/>
    <mergeCell ref="AT246:AT247"/>
    <mergeCell ref="AX246:AX247"/>
    <mergeCell ref="AZ246:AZ247"/>
    <mergeCell ref="AZ242:AZ243"/>
    <mergeCell ref="AG243:AG244"/>
    <mergeCell ref="AI243:AI244"/>
    <mergeCell ref="AM243:AM244"/>
    <mergeCell ref="AO243:AO244"/>
    <mergeCell ref="AQ243:AQ244"/>
    <mergeCell ref="AS243:AS244"/>
    <mergeCell ref="AW243:AW244"/>
    <mergeCell ref="AY243:AY244"/>
    <mergeCell ref="AH244:AH245"/>
    <mergeCell ref="AJ244:AJ245"/>
    <mergeCell ref="AN244:AN245"/>
    <mergeCell ref="AP244:AP245"/>
    <mergeCell ref="AR244:AR245"/>
    <mergeCell ref="AT244:AT245"/>
    <mergeCell ref="AX244:AX245"/>
    <mergeCell ref="AW263:AW264"/>
    <mergeCell ref="AI259:AI260"/>
    <mergeCell ref="AM259:AM260"/>
    <mergeCell ref="AO259:AO260"/>
    <mergeCell ref="AQ259:AQ260"/>
    <mergeCell ref="AS259:AS260"/>
    <mergeCell ref="AW259:AW260"/>
    <mergeCell ref="AY259:AY260"/>
    <mergeCell ref="AH260:AH261"/>
    <mergeCell ref="AJ260:AJ261"/>
    <mergeCell ref="AN260:AN261"/>
    <mergeCell ref="AP260:AP261"/>
    <mergeCell ref="AR260:AR261"/>
    <mergeCell ref="AT260:AT261"/>
    <mergeCell ref="AX260:AX261"/>
    <mergeCell ref="AD254:AL254"/>
    <mergeCell ref="AG256:AJ256"/>
    <mergeCell ref="AK256:AL256"/>
    <mergeCell ref="AM256:AN256"/>
    <mergeCell ref="AO256:AR256"/>
    <mergeCell ref="AS256:AU256"/>
    <mergeCell ref="AV256:BA256"/>
    <mergeCell ref="AG257:AG258"/>
    <mergeCell ref="AI257:AI258"/>
    <mergeCell ref="AM257:AM258"/>
    <mergeCell ref="AO257:AO258"/>
    <mergeCell ref="AQ257:AQ258"/>
    <mergeCell ref="AS257:AS258"/>
    <mergeCell ref="AW257:AW258"/>
    <mergeCell ref="AY257:AY258"/>
    <mergeCell ref="AH258:AH259"/>
    <mergeCell ref="AJ258:AJ259"/>
    <mergeCell ref="AY263:AY264"/>
    <mergeCell ref="AH264:AH265"/>
    <mergeCell ref="AJ264:AJ265"/>
    <mergeCell ref="AN264:AN265"/>
    <mergeCell ref="AP264:AP265"/>
    <mergeCell ref="AR264:AR265"/>
    <mergeCell ref="AT264:AT265"/>
    <mergeCell ref="AX264:AX265"/>
    <mergeCell ref="AZ264:AZ265"/>
    <mergeCell ref="AZ260:AZ261"/>
    <mergeCell ref="AG261:AG262"/>
    <mergeCell ref="AI261:AI262"/>
    <mergeCell ref="AM261:AM262"/>
    <mergeCell ref="AO261:AO262"/>
    <mergeCell ref="AQ261:AQ262"/>
    <mergeCell ref="AS261:AS262"/>
    <mergeCell ref="AW261:AW262"/>
    <mergeCell ref="AY261:AY262"/>
    <mergeCell ref="AH262:AH263"/>
    <mergeCell ref="AJ262:AJ263"/>
    <mergeCell ref="AN262:AN263"/>
    <mergeCell ref="AP262:AP263"/>
    <mergeCell ref="AR262:AR263"/>
    <mergeCell ref="AT262:AT263"/>
    <mergeCell ref="AX262:AX263"/>
    <mergeCell ref="AZ262:AZ263"/>
    <mergeCell ref="AG263:AG264"/>
    <mergeCell ref="AI263:AI264"/>
    <mergeCell ref="AM263:AM264"/>
    <mergeCell ref="AO263:AO264"/>
    <mergeCell ref="AQ263:AQ264"/>
    <mergeCell ref="AS263:AS264"/>
    <mergeCell ref="AD271:AL271"/>
    <mergeCell ref="AG273:AJ273"/>
    <mergeCell ref="AK273:AL273"/>
    <mergeCell ref="AM273:AN273"/>
    <mergeCell ref="AO273:AR273"/>
    <mergeCell ref="AS273:AU273"/>
    <mergeCell ref="AV273:BA273"/>
    <mergeCell ref="AG274:AG275"/>
    <mergeCell ref="AI274:AI275"/>
    <mergeCell ref="AM274:AM275"/>
    <mergeCell ref="AO274:AO275"/>
    <mergeCell ref="AQ274:AQ275"/>
    <mergeCell ref="AS274:AS275"/>
    <mergeCell ref="AW274:AW275"/>
    <mergeCell ref="AY274:AY275"/>
    <mergeCell ref="AH275:AH276"/>
    <mergeCell ref="AJ275:AJ276"/>
    <mergeCell ref="AN275:AN276"/>
    <mergeCell ref="AP275:AP276"/>
    <mergeCell ref="AR275:AR276"/>
    <mergeCell ref="AT275:AT276"/>
    <mergeCell ref="AX275:AX276"/>
    <mergeCell ref="AZ275:AZ276"/>
    <mergeCell ref="AG276:AG277"/>
    <mergeCell ref="AZ279:AZ280"/>
    <mergeCell ref="AG280:AG281"/>
    <mergeCell ref="AI280:AI281"/>
    <mergeCell ref="AM280:AM281"/>
    <mergeCell ref="AO280:AO281"/>
    <mergeCell ref="AQ280:AQ281"/>
    <mergeCell ref="AS280:AS281"/>
    <mergeCell ref="AW280:AW281"/>
    <mergeCell ref="AI276:AI277"/>
    <mergeCell ref="AM276:AM277"/>
    <mergeCell ref="AO276:AO277"/>
    <mergeCell ref="AQ276:AQ277"/>
    <mergeCell ref="AS276:AS277"/>
    <mergeCell ref="AW276:AW277"/>
    <mergeCell ref="AY276:AY277"/>
    <mergeCell ref="AH277:AH278"/>
    <mergeCell ref="AJ277:AJ278"/>
    <mergeCell ref="AN277:AN278"/>
    <mergeCell ref="AP277:AP278"/>
    <mergeCell ref="AR277:AR278"/>
    <mergeCell ref="AT277:AT278"/>
    <mergeCell ref="AX277:AX278"/>
    <mergeCell ref="AN293:AN294"/>
    <mergeCell ref="AP293:AP294"/>
    <mergeCell ref="AR293:AR294"/>
    <mergeCell ref="AT293:AT294"/>
    <mergeCell ref="AX293:AX294"/>
    <mergeCell ref="AZ293:AZ294"/>
    <mergeCell ref="AG294:AG295"/>
    <mergeCell ref="AY280:AY281"/>
    <mergeCell ref="AH281:AH282"/>
    <mergeCell ref="AJ281:AJ282"/>
    <mergeCell ref="AN281:AN282"/>
    <mergeCell ref="AP281:AP282"/>
    <mergeCell ref="AR281:AR282"/>
    <mergeCell ref="AT281:AT282"/>
    <mergeCell ref="AX281:AX282"/>
    <mergeCell ref="AZ281:AZ282"/>
    <mergeCell ref="AZ277:AZ278"/>
    <mergeCell ref="AG278:AG279"/>
    <mergeCell ref="AI278:AI279"/>
    <mergeCell ref="AM278:AM279"/>
    <mergeCell ref="AO278:AO279"/>
    <mergeCell ref="AQ278:AQ279"/>
    <mergeCell ref="AS278:AS279"/>
    <mergeCell ref="AW278:AW279"/>
    <mergeCell ref="AY278:AY279"/>
    <mergeCell ref="AH279:AH280"/>
    <mergeCell ref="AJ279:AJ280"/>
    <mergeCell ref="AN279:AN280"/>
    <mergeCell ref="AP279:AP280"/>
    <mergeCell ref="AR279:AR280"/>
    <mergeCell ref="AT279:AT280"/>
    <mergeCell ref="AX279:AX280"/>
    <mergeCell ref="AW298:AW299"/>
    <mergeCell ref="AI294:AI295"/>
    <mergeCell ref="AM294:AM295"/>
    <mergeCell ref="AO294:AO295"/>
    <mergeCell ref="AQ294:AQ295"/>
    <mergeCell ref="AS294:AS295"/>
    <mergeCell ref="AW294:AW295"/>
    <mergeCell ref="AY294:AY295"/>
    <mergeCell ref="AH295:AH296"/>
    <mergeCell ref="AJ295:AJ296"/>
    <mergeCell ref="AN295:AN296"/>
    <mergeCell ref="AP295:AP296"/>
    <mergeCell ref="AR295:AR296"/>
    <mergeCell ref="AT295:AT296"/>
    <mergeCell ref="AX295:AX296"/>
    <mergeCell ref="AD289:AL289"/>
    <mergeCell ref="AG291:AJ291"/>
    <mergeCell ref="AK291:AL291"/>
    <mergeCell ref="AM291:AN291"/>
    <mergeCell ref="AO291:AR291"/>
    <mergeCell ref="AS291:AU291"/>
    <mergeCell ref="AV291:BA291"/>
    <mergeCell ref="AG292:AG293"/>
    <mergeCell ref="AI292:AI293"/>
    <mergeCell ref="AM292:AM293"/>
    <mergeCell ref="AO292:AO293"/>
    <mergeCell ref="AQ292:AQ293"/>
    <mergeCell ref="AS292:AS293"/>
    <mergeCell ref="AW292:AW293"/>
    <mergeCell ref="AY292:AY293"/>
    <mergeCell ref="AH293:AH294"/>
    <mergeCell ref="AJ293:AJ294"/>
    <mergeCell ref="AY298:AY299"/>
    <mergeCell ref="AH299:AH300"/>
    <mergeCell ref="AJ299:AJ300"/>
    <mergeCell ref="AN299:AN300"/>
    <mergeCell ref="AP299:AP300"/>
    <mergeCell ref="AR299:AR300"/>
    <mergeCell ref="AT299:AT300"/>
    <mergeCell ref="AX299:AX300"/>
    <mergeCell ref="AZ299:AZ300"/>
    <mergeCell ref="AZ295:AZ296"/>
    <mergeCell ref="AG296:AG297"/>
    <mergeCell ref="AI296:AI297"/>
    <mergeCell ref="AM296:AM297"/>
    <mergeCell ref="AO296:AO297"/>
    <mergeCell ref="AQ296:AQ297"/>
    <mergeCell ref="AS296:AS297"/>
    <mergeCell ref="AW296:AW297"/>
    <mergeCell ref="AY296:AY297"/>
    <mergeCell ref="AH297:AH298"/>
    <mergeCell ref="AJ297:AJ298"/>
    <mergeCell ref="AN297:AN298"/>
    <mergeCell ref="AP297:AP298"/>
    <mergeCell ref="AR297:AR298"/>
    <mergeCell ref="AT297:AT298"/>
    <mergeCell ref="AX297:AX298"/>
    <mergeCell ref="AZ297:AZ298"/>
    <mergeCell ref="AG298:AG299"/>
    <mergeCell ref="AI298:AI299"/>
    <mergeCell ref="AM298:AM299"/>
    <mergeCell ref="AO298:AO299"/>
    <mergeCell ref="AQ298:AQ299"/>
    <mergeCell ref="AS298:AS299"/>
    <mergeCell ref="AD307:AL307"/>
    <mergeCell ref="AG309:AJ309"/>
    <mergeCell ref="AK309:AL309"/>
    <mergeCell ref="AM309:AN309"/>
    <mergeCell ref="AO309:AR309"/>
    <mergeCell ref="AS309:AU309"/>
    <mergeCell ref="AV309:BA309"/>
    <mergeCell ref="AG310:AG311"/>
    <mergeCell ref="AI310:AI311"/>
    <mergeCell ref="AM310:AM311"/>
    <mergeCell ref="AO310:AO311"/>
    <mergeCell ref="AQ310:AQ311"/>
    <mergeCell ref="AS310:AS311"/>
    <mergeCell ref="AW310:AW311"/>
    <mergeCell ref="AY310:AY311"/>
    <mergeCell ref="AH311:AH312"/>
    <mergeCell ref="AJ311:AJ312"/>
    <mergeCell ref="AN311:AN312"/>
    <mergeCell ref="AP311:AP312"/>
    <mergeCell ref="AR311:AR312"/>
    <mergeCell ref="AT311:AT312"/>
    <mergeCell ref="AX311:AX312"/>
    <mergeCell ref="AZ311:AZ312"/>
    <mergeCell ref="AG312:AG313"/>
    <mergeCell ref="AZ315:AZ316"/>
    <mergeCell ref="AG316:AG317"/>
    <mergeCell ref="AI316:AI317"/>
    <mergeCell ref="AM316:AM317"/>
    <mergeCell ref="AO316:AO317"/>
    <mergeCell ref="AQ316:AQ317"/>
    <mergeCell ref="AS316:AS317"/>
    <mergeCell ref="AW316:AW317"/>
    <mergeCell ref="AI312:AI313"/>
    <mergeCell ref="AM312:AM313"/>
    <mergeCell ref="AO312:AO313"/>
    <mergeCell ref="AQ312:AQ313"/>
    <mergeCell ref="AS312:AS313"/>
    <mergeCell ref="AW312:AW313"/>
    <mergeCell ref="AY312:AY313"/>
    <mergeCell ref="AH313:AH314"/>
    <mergeCell ref="AJ313:AJ314"/>
    <mergeCell ref="AN313:AN314"/>
    <mergeCell ref="AP313:AP314"/>
    <mergeCell ref="AR313:AR314"/>
    <mergeCell ref="AT313:AT314"/>
    <mergeCell ref="AX313:AX314"/>
    <mergeCell ref="AN329:AN330"/>
    <mergeCell ref="AP329:AP330"/>
    <mergeCell ref="AR329:AR330"/>
    <mergeCell ref="AT329:AT330"/>
    <mergeCell ref="AX329:AX330"/>
    <mergeCell ref="AZ329:AZ330"/>
    <mergeCell ref="AG330:AG331"/>
    <mergeCell ref="AY316:AY317"/>
    <mergeCell ref="AH317:AH318"/>
    <mergeCell ref="AJ317:AJ318"/>
    <mergeCell ref="AN317:AN318"/>
    <mergeCell ref="AP317:AP318"/>
    <mergeCell ref="AR317:AR318"/>
    <mergeCell ref="AT317:AT318"/>
    <mergeCell ref="AX317:AX318"/>
    <mergeCell ref="AZ317:AZ318"/>
    <mergeCell ref="AZ313:AZ314"/>
    <mergeCell ref="AG314:AG315"/>
    <mergeCell ref="AI314:AI315"/>
    <mergeCell ref="AM314:AM315"/>
    <mergeCell ref="AO314:AO315"/>
    <mergeCell ref="AQ314:AQ315"/>
    <mergeCell ref="AS314:AS315"/>
    <mergeCell ref="AW314:AW315"/>
    <mergeCell ref="AY314:AY315"/>
    <mergeCell ref="AH315:AH316"/>
    <mergeCell ref="AJ315:AJ316"/>
    <mergeCell ref="AN315:AN316"/>
    <mergeCell ref="AP315:AP316"/>
    <mergeCell ref="AR315:AR316"/>
    <mergeCell ref="AT315:AT316"/>
    <mergeCell ref="AX315:AX316"/>
    <mergeCell ref="AW334:AW335"/>
    <mergeCell ref="AI330:AI331"/>
    <mergeCell ref="AM330:AM331"/>
    <mergeCell ref="AO330:AO331"/>
    <mergeCell ref="AQ330:AQ331"/>
    <mergeCell ref="AS330:AS331"/>
    <mergeCell ref="AW330:AW331"/>
    <mergeCell ref="AY330:AY331"/>
    <mergeCell ref="AH331:AH332"/>
    <mergeCell ref="AJ331:AJ332"/>
    <mergeCell ref="AN331:AN332"/>
    <mergeCell ref="AP331:AP332"/>
    <mergeCell ref="AR331:AR332"/>
    <mergeCell ref="AT331:AT332"/>
    <mergeCell ref="AX331:AX332"/>
    <mergeCell ref="AD325:AL325"/>
    <mergeCell ref="AG327:AJ327"/>
    <mergeCell ref="AK327:AL327"/>
    <mergeCell ref="AM327:AN327"/>
    <mergeCell ref="AO327:AR327"/>
    <mergeCell ref="AS327:AU327"/>
    <mergeCell ref="AV327:BA327"/>
    <mergeCell ref="AG328:AG329"/>
    <mergeCell ref="AI328:AI329"/>
    <mergeCell ref="AM328:AM329"/>
    <mergeCell ref="AO328:AO329"/>
    <mergeCell ref="AQ328:AQ329"/>
    <mergeCell ref="AS328:AS329"/>
    <mergeCell ref="AW328:AW329"/>
    <mergeCell ref="AY328:AY329"/>
    <mergeCell ref="AH329:AH330"/>
    <mergeCell ref="AJ329:AJ330"/>
    <mergeCell ref="AY334:AY335"/>
    <mergeCell ref="AH335:AH336"/>
    <mergeCell ref="AJ335:AJ336"/>
    <mergeCell ref="AN335:AN336"/>
    <mergeCell ref="AP335:AP336"/>
    <mergeCell ref="AR335:AR336"/>
    <mergeCell ref="AT335:AT336"/>
    <mergeCell ref="AX335:AX336"/>
    <mergeCell ref="AZ335:AZ336"/>
    <mergeCell ref="AZ331:AZ332"/>
    <mergeCell ref="AG332:AG333"/>
    <mergeCell ref="AI332:AI333"/>
    <mergeCell ref="AM332:AM333"/>
    <mergeCell ref="AO332:AO333"/>
    <mergeCell ref="AQ332:AQ333"/>
    <mergeCell ref="AS332:AS333"/>
    <mergeCell ref="AW332:AW333"/>
    <mergeCell ref="AY332:AY333"/>
    <mergeCell ref="AH333:AH334"/>
    <mergeCell ref="AJ333:AJ334"/>
    <mergeCell ref="AN333:AN334"/>
    <mergeCell ref="AP333:AP334"/>
    <mergeCell ref="AR333:AR334"/>
    <mergeCell ref="AT333:AT334"/>
    <mergeCell ref="AX333:AX334"/>
    <mergeCell ref="AZ333:AZ334"/>
    <mergeCell ref="AG334:AG335"/>
    <mergeCell ref="AI334:AI335"/>
    <mergeCell ref="AM334:AM335"/>
    <mergeCell ref="AO334:AO335"/>
    <mergeCell ref="AQ334:AQ335"/>
    <mergeCell ref="AS334:AS335"/>
    <mergeCell ref="AD342:AL342"/>
    <mergeCell ref="AG344:AJ344"/>
    <mergeCell ref="AK344:AL344"/>
    <mergeCell ref="AM344:AN344"/>
    <mergeCell ref="AO344:AR344"/>
    <mergeCell ref="AS344:AU344"/>
    <mergeCell ref="AV344:BA344"/>
    <mergeCell ref="AG345:AG346"/>
    <mergeCell ref="AI345:AI346"/>
    <mergeCell ref="AM345:AM346"/>
    <mergeCell ref="AO345:AO346"/>
    <mergeCell ref="AQ345:AQ346"/>
    <mergeCell ref="AS345:AS346"/>
    <mergeCell ref="AW345:AW346"/>
    <mergeCell ref="AY345:AY346"/>
    <mergeCell ref="AH346:AH347"/>
    <mergeCell ref="AJ346:AJ347"/>
    <mergeCell ref="AN346:AN347"/>
    <mergeCell ref="AP346:AP347"/>
    <mergeCell ref="AR346:AR347"/>
    <mergeCell ref="AT346:AT347"/>
    <mergeCell ref="AX346:AX347"/>
    <mergeCell ref="AZ346:AZ347"/>
    <mergeCell ref="AG347:AG348"/>
    <mergeCell ref="AH350:AH351"/>
    <mergeCell ref="AJ350:AJ351"/>
    <mergeCell ref="AN350:AN351"/>
    <mergeCell ref="AP350:AP351"/>
    <mergeCell ref="AR350:AR351"/>
    <mergeCell ref="AT350:AT351"/>
    <mergeCell ref="AX350:AX351"/>
    <mergeCell ref="AZ350:AZ351"/>
    <mergeCell ref="AG351:AG352"/>
    <mergeCell ref="AI351:AI352"/>
    <mergeCell ref="AM351:AM352"/>
    <mergeCell ref="AO351:AO352"/>
    <mergeCell ref="AQ351:AQ352"/>
    <mergeCell ref="AS351:AS352"/>
    <mergeCell ref="AW351:AW352"/>
    <mergeCell ref="AI347:AI348"/>
    <mergeCell ref="AM347:AM348"/>
    <mergeCell ref="AO347:AO348"/>
    <mergeCell ref="AQ347:AQ348"/>
    <mergeCell ref="AS347:AS348"/>
    <mergeCell ref="AW347:AW348"/>
    <mergeCell ref="AY347:AY348"/>
    <mergeCell ref="AH348:AH349"/>
    <mergeCell ref="AJ348:AJ349"/>
    <mergeCell ref="AN348:AN349"/>
    <mergeCell ref="AP348:AP349"/>
    <mergeCell ref="AR348:AR349"/>
    <mergeCell ref="AT348:AT349"/>
    <mergeCell ref="AX348:AX349"/>
    <mergeCell ref="AW369:AW370"/>
    <mergeCell ref="AI365:AI366"/>
    <mergeCell ref="AM365:AM366"/>
    <mergeCell ref="AO365:AO366"/>
    <mergeCell ref="AQ365:AQ366"/>
    <mergeCell ref="AS365:AS366"/>
    <mergeCell ref="AW365:AW366"/>
    <mergeCell ref="AY365:AY366"/>
    <mergeCell ref="AH366:AH367"/>
    <mergeCell ref="AJ366:AJ367"/>
    <mergeCell ref="AN366:AN367"/>
    <mergeCell ref="AP366:AP367"/>
    <mergeCell ref="AR366:AR367"/>
    <mergeCell ref="AT366:AT367"/>
    <mergeCell ref="AX366:AX367"/>
    <mergeCell ref="AD360:AL360"/>
    <mergeCell ref="AG362:AJ362"/>
    <mergeCell ref="AK362:AL362"/>
    <mergeCell ref="AM362:AN362"/>
    <mergeCell ref="AO362:AR362"/>
    <mergeCell ref="AS362:AU362"/>
    <mergeCell ref="AV362:BA362"/>
    <mergeCell ref="AG363:AG364"/>
    <mergeCell ref="AI363:AI364"/>
    <mergeCell ref="AM363:AM364"/>
    <mergeCell ref="AO363:AO364"/>
    <mergeCell ref="AQ363:AQ364"/>
    <mergeCell ref="AS363:AS364"/>
    <mergeCell ref="AW363:AW364"/>
    <mergeCell ref="AY363:AY364"/>
    <mergeCell ref="AH364:AH365"/>
    <mergeCell ref="AJ364:AJ365"/>
    <mergeCell ref="AY369:AY370"/>
    <mergeCell ref="AH370:AH371"/>
    <mergeCell ref="AJ370:AJ371"/>
    <mergeCell ref="AN370:AN371"/>
    <mergeCell ref="AP370:AP371"/>
    <mergeCell ref="AR370:AR371"/>
    <mergeCell ref="AT370:AT371"/>
    <mergeCell ref="AX370:AX371"/>
    <mergeCell ref="AZ370:AZ371"/>
    <mergeCell ref="AZ366:AZ367"/>
    <mergeCell ref="AG367:AG368"/>
    <mergeCell ref="AI367:AI368"/>
    <mergeCell ref="AM367:AM368"/>
    <mergeCell ref="AO367:AO368"/>
    <mergeCell ref="AQ367:AQ368"/>
    <mergeCell ref="AS367:AS368"/>
    <mergeCell ref="AW367:AW368"/>
    <mergeCell ref="AY367:AY368"/>
    <mergeCell ref="AH368:AH369"/>
    <mergeCell ref="AJ368:AJ369"/>
    <mergeCell ref="AN368:AN369"/>
    <mergeCell ref="AP368:AP369"/>
    <mergeCell ref="AR368:AR369"/>
    <mergeCell ref="AT368:AT369"/>
    <mergeCell ref="AX368:AX369"/>
    <mergeCell ref="AZ368:AZ369"/>
    <mergeCell ref="AG369:AG370"/>
    <mergeCell ref="AI369:AI370"/>
    <mergeCell ref="AM369:AM370"/>
    <mergeCell ref="AO369:AO370"/>
    <mergeCell ref="AQ369:AQ370"/>
    <mergeCell ref="AS369:AS370"/>
    <mergeCell ref="A1:K1"/>
    <mergeCell ref="A12:K12"/>
    <mergeCell ref="A24:E24"/>
    <mergeCell ref="F24:I24"/>
    <mergeCell ref="J24:K24"/>
    <mergeCell ref="AN364:AN365"/>
    <mergeCell ref="AP364:AP365"/>
    <mergeCell ref="AR364:AR365"/>
    <mergeCell ref="AT364:AT365"/>
    <mergeCell ref="AX364:AX365"/>
    <mergeCell ref="AZ364:AZ365"/>
    <mergeCell ref="AG365:AG366"/>
    <mergeCell ref="AY351:AY352"/>
    <mergeCell ref="AH352:AH353"/>
    <mergeCell ref="AJ352:AJ353"/>
    <mergeCell ref="AN352:AN353"/>
    <mergeCell ref="A93:J93"/>
    <mergeCell ref="A92:J92"/>
    <mergeCell ref="AP352:AP353"/>
    <mergeCell ref="AR352:AR353"/>
    <mergeCell ref="AT352:AT353"/>
    <mergeCell ref="AX352:AX353"/>
    <mergeCell ref="AZ352:AZ353"/>
    <mergeCell ref="AZ348:AZ349"/>
    <mergeCell ref="AG349:AG350"/>
    <mergeCell ref="AI349:AI350"/>
    <mergeCell ref="AM349:AM350"/>
    <mergeCell ref="AO349:AO350"/>
    <mergeCell ref="AQ349:AQ350"/>
    <mergeCell ref="AS349:AS350"/>
    <mergeCell ref="AW349:AW350"/>
    <mergeCell ref="AY349:AY350"/>
  </mergeCells>
  <pageMargins left="0.55000000000000004" right="0.38" top="0.52" bottom="0.57999999999999996" header="0" footer="0"/>
  <pageSetup paperSize="5" scale="85" orientation="landscape" horizontalDpi="120" verticalDpi="14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8"/>
  </sheetPr>
  <dimension ref="A1:P71"/>
  <sheetViews>
    <sheetView topLeftCell="C2" workbookViewId="0">
      <selection activeCell="P15" sqref="P15"/>
    </sheetView>
  </sheetViews>
  <sheetFormatPr defaultColWidth="11.5546875" defaultRowHeight="23.25" customHeight="1"/>
  <cols>
    <col min="1" max="2" width="3.21875" style="41" hidden="1" customWidth="1"/>
    <col min="3" max="3" width="4.109375" style="41" customWidth="1"/>
    <col min="4" max="4" width="2.88671875" style="41" customWidth="1"/>
    <col min="5" max="5" width="3.109375" style="41" customWidth="1"/>
    <col min="6" max="6" width="10.6640625" style="41" hidden="1" customWidth="1"/>
    <col min="7" max="7" width="10.6640625" style="41" customWidth="1"/>
    <col min="8" max="8" width="7.88671875" style="489" hidden="1" customWidth="1"/>
    <col min="9" max="9" width="6.77734375" style="41" hidden="1" customWidth="1"/>
    <col min="10" max="10" width="7.44140625" style="41" hidden="1" customWidth="1"/>
    <col min="11" max="11" width="5.77734375" style="41" customWidth="1"/>
    <col min="12" max="12" width="5.44140625" style="41" customWidth="1"/>
    <col min="13" max="13" width="9.21875" style="41" customWidth="1"/>
    <col min="14" max="14" width="6.33203125" style="41" hidden="1" customWidth="1"/>
    <col min="15" max="15" width="23.5546875" style="215" customWidth="1"/>
    <col min="16" max="16384" width="11.5546875" style="41"/>
  </cols>
  <sheetData>
    <row r="1" spans="1:16" ht="23.25" customHeight="1" thickBot="1">
      <c r="C1" s="714" t="s">
        <v>67</v>
      </c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2" spans="1:16" s="211" customFormat="1" ht="23.25" customHeight="1" thickTop="1">
      <c r="A2" s="410"/>
      <c r="B2" s="411"/>
      <c r="C2" s="701" t="s">
        <v>6</v>
      </c>
      <c r="D2" s="702"/>
      <c r="E2" s="703"/>
      <c r="F2" s="701" t="s">
        <v>68</v>
      </c>
      <c r="G2" s="703"/>
      <c r="H2" s="695" t="s">
        <v>83</v>
      </c>
      <c r="I2" s="693" t="s">
        <v>69</v>
      </c>
      <c r="J2" s="693" t="s">
        <v>70</v>
      </c>
      <c r="K2" s="695" t="s">
        <v>71</v>
      </c>
      <c r="L2" s="695" t="s">
        <v>72</v>
      </c>
      <c r="M2" s="695"/>
      <c r="N2" s="695" t="s">
        <v>118</v>
      </c>
      <c r="O2" s="697" t="s">
        <v>57</v>
      </c>
    </row>
    <row r="3" spans="1:16" s="211" customFormat="1" ht="23.25" customHeight="1" thickBot="1">
      <c r="A3" s="412"/>
      <c r="B3" s="411"/>
      <c r="C3" s="704"/>
      <c r="D3" s="705"/>
      <c r="E3" s="706"/>
      <c r="F3" s="704"/>
      <c r="G3" s="706"/>
      <c r="H3" s="696"/>
      <c r="I3" s="694"/>
      <c r="J3" s="694"/>
      <c r="K3" s="696"/>
      <c r="L3" s="696"/>
      <c r="M3" s="696"/>
      <c r="N3" s="696"/>
      <c r="O3" s="698"/>
    </row>
    <row r="4" spans="1:16" s="212" customFormat="1" ht="23.25" customHeight="1" thickTop="1">
      <c r="A4" s="208">
        <f>+D4</f>
        <v>1</v>
      </c>
      <c r="B4" s="409"/>
      <c r="C4" s="709" t="str">
        <f>Espesor!B8</f>
        <v>Lt-</v>
      </c>
      <c r="D4" s="699">
        <f>Espesor!C8</f>
        <v>1</v>
      </c>
      <c r="E4" s="217" t="str">
        <f>+IF(D4="","","x")</f>
        <v>x</v>
      </c>
      <c r="F4" s="479">
        <f>IF(D4="",0,((MAX(LOOKUP(D4,Compesaciones!BE$27:CL$27,Compesaciones!BE$28:CL$28),LOOKUP(D4,Compesaciones!BE$45:CL$45,Compesaciones!BE$46:CL$46),LOOKUP(D4,Compesaciones!BE$62:CL$62,Compesaciones!BE$63:CL$63),LOOKUP(D4,Compesaciones!BE$79:CL$79,Compesaciones!BE$80:CL$80),LOOKUP(D4,Compesaciones!BE$97:CL$97,Compesaciones!BE$98:CL$98),LOOKUP(D4,Compesaciones!BE$114:CL$114,Compesaciones!BE$115:CL$115),LOOKUP(D4,Compesaciones!BE$132:CL$132,Compesaciones!BE$133:CL$133),LOOKUP(D4,Compesaciones!BE$149:CL$149,Compesaciones!BE$150:CL$150),LOOKUP(D4,Compesaciones!BE$167:CL$167,Compesaciones!BE$168:CL$168),LOOKUP(D4,Compesaciones!BE$185:CL$185,Compesaciones!BE$186:CL$186)))))*100000</f>
        <v>0</v>
      </c>
      <c r="G4" s="479">
        <f>IF(D4="",0,IF(F4=0,LOOKUP(D4,'Moms de Empt'!P$3:P$36,'Moms de Empt'!U$3:U$36),F4))</f>
        <v>11640</v>
      </c>
      <c r="H4" s="713">
        <f>Espesor!O8</f>
        <v>12</v>
      </c>
      <c r="I4" s="218">
        <f>IF(G4&lt;=0,"------",0.848-SQRT(0.719-G4/(0.53*100*(H4-Espesor!L$4)^2*Espesor!E$4)))</f>
        <v>4.3691109204920808E-3</v>
      </c>
      <c r="J4" s="218">
        <f>IF(G4&lt;=0,"------",IF(I4*Espesor!E$4/Espesor!H$4&lt;0.002,0.002,I4*Espesor!E$4/Espesor!H$4))</f>
        <v>2E-3</v>
      </c>
      <c r="K4" s="219" t="str">
        <f>+IF(F4&lt;=0,"------",ROUND(J4*(H4-Espesor!L$4)*100,2))</f>
        <v>------</v>
      </c>
      <c r="L4" s="485">
        <f>IF(F4="","",IF(K4="------",3/8,IF(K4&gt;=12.7,3/4,(IF(K4&gt;7.1,1/2,3/8)))))</f>
        <v>0.375</v>
      </c>
      <c r="M4" s="494">
        <f>IF(F4&lt;=0,0.25,IF(K4="------",IF(2*(H4)/100&gt;0.25,0.25,2*(H4)/100),(TRUNC(IF(L4=3/8,IF(0.71/K4&gt;2*H4/100,2*H4/100,0.71/K4),IF(L4=1/2,IF(1.27/K4&gt;2*H4/100,2*H4/100,1.27/K4),IF(2.85/K4&gt;2*H4/100,2*H4/100,2.85/K4))),2))))</f>
        <v>0.25</v>
      </c>
      <c r="N4" s="267">
        <f t="shared" ref="N4:N15" si="0">IF(F4=0,0,IF(L4=3/8,0.71/M4,IF(L4=1/2,1.27/M4,2.85/M4)))</f>
        <v>0</v>
      </c>
      <c r="O4" s="491" t="str">
        <f>IF(D4="","",IF(Espesor!D$4&gt;=D4,IF(F4&gt;0,"",IF(F4=0,"Acero por retracción y temperatura","Acero por arriba y por abajo")),""))</f>
        <v>Acero por retracción y temperatura</v>
      </c>
    </row>
    <row r="5" spans="1:16" s="214" customFormat="1" ht="23.25" customHeight="1">
      <c r="A5" s="213"/>
      <c r="B5" s="408">
        <f>+D4</f>
        <v>1</v>
      </c>
      <c r="C5" s="708"/>
      <c r="D5" s="692"/>
      <c r="E5" s="220" t="str">
        <f>+IF(D4="","","y")</f>
        <v>y</v>
      </c>
      <c r="F5" s="486">
        <f>IF(D4="",0,((MAX(LOOKUP(D4,Compesaciones!BE$203:CL$203,Compesaciones!BE$204:CL$204),LOOKUP(D4,Compesaciones!BE$221:CL$221,Compesaciones!BE$222:CL$222),LOOKUP(D4,Compesaciones!BE$238:CL$238,Compesaciones!BE$239:CL$239),LOOKUP(D4,Compesaciones!BE$255:CL$255,Compesaciones!BE$256:CL$256),LOOKUP(D4,Compesaciones!BE$273:CL$273,Compesaciones!BE$274:CL$274),LOOKUP(D4,Compesaciones!BE$290:CL$290,Compesaciones!BE$291:CL$291),LOOKUP(D4,Compesaciones!BE$308:CL$308,Compesaciones!BE$309:CL$309),LOOKUP(D4,Compesaciones!BE$325:CL$325,Compesaciones!BE$326:CL$326),LOOKUP(D4,Compesaciones!BE$343:CL$343,Compesaciones!BE$344:CL$344),LOOKUP(D4,Compesaciones!BE$361:CL$361,Compesaciones!BE$362:CL$362)))))*100000</f>
        <v>24174.039999999994</v>
      </c>
      <c r="G5" s="486">
        <f>IF(D4="",0,IF(F5=0,LOOKUP(D4,'Moms de Empt'!P$3:P$36,'Moms de Empt'!W$3:W$36),F5))</f>
        <v>24174.039999999994</v>
      </c>
      <c r="H5" s="712"/>
      <c r="I5" s="221">
        <f>IF(F5&lt;=0,"------",0.848-SQRT(0.719-F5/(0.53*100*(H4-Espesor!L$4)^2*Espesor!E$4)))</f>
        <v>9.0325016770195221E-3</v>
      </c>
      <c r="J5" s="221">
        <f>IF(F5&lt;=0,"------",IF(I5*Espesor!E$4/Espesor!H$4&lt;0.002,0.002,I5*Espesor!E$4/Espesor!H$4))</f>
        <v>2E-3</v>
      </c>
      <c r="K5" s="222">
        <f>+IF(F5&lt;=0,"------",ROUND(J5*(H4-Espesor!L$4)*100,2))</f>
        <v>2.4</v>
      </c>
      <c r="L5" s="223">
        <f t="shared" ref="L5:L11" si="1">IF(F5="","",IF(K5="------",3/8,IF(K5&gt;=12.7,3/4,(IF(K5&gt;7.1,1/2,3/8)))))</f>
        <v>0.375</v>
      </c>
      <c r="M5" s="496">
        <f>IF(F5&lt;=0,0.25,IF(K5="------",IF(2*(H4)/100&gt;0.25,0.25,2*(H4)/100),(TRUNC(IF(L5=3/8,IF(0.71/K5&gt;2*H4/100,2*H4/100,0.71/K5),IF(L5=1/2,IF(1.27/K5&gt;2*H4/100,2*H4/100,1.27/K5),IF(2.85/K5&gt;2*H4/100,2*H4/100,2.85/K5))),2))))</f>
        <v>0.24</v>
      </c>
      <c r="N5" s="266">
        <f t="shared" si="0"/>
        <v>2.9583333333333335</v>
      </c>
      <c r="O5" s="492" t="str">
        <f>IF(D4="","",IF(Espesor!D$4&gt;=D4,IF(F5&gt;0,"",IF(F5=0,"Acero por retracción y temperatura","Acero por arriba y por abajo")),""))</f>
        <v/>
      </c>
    </row>
    <row r="6" spans="1:16" s="214" customFormat="1" ht="23.25" customHeight="1">
      <c r="A6" s="213">
        <f t="shared" ref="A6" si="2">+D6</f>
        <v>2</v>
      </c>
      <c r="B6" s="216"/>
      <c r="C6" s="710" t="str">
        <f>Espesor!B9</f>
        <v>Lt-</v>
      </c>
      <c r="D6" s="700">
        <f>Espesor!C9</f>
        <v>2</v>
      </c>
      <c r="E6" s="171" t="str">
        <f>+IF(D6="","","x")</f>
        <v>x</v>
      </c>
      <c r="F6" s="487">
        <f>IF(D6="",0,((MAX(LOOKUP(A6,Compesaciones!BE$27:CL$27,Compesaciones!BE$28:CL$28),LOOKUP(A6,Compesaciones!BE$45:CL$45,Compesaciones!BE$46:CL$46),LOOKUP(A6,Compesaciones!BE$62:CL$62,Compesaciones!BE$63:CL$63),LOOKUP(A6,Compesaciones!BE$79:CL$79,Compesaciones!BE$80:CL$80),LOOKUP(A6,Compesaciones!BE$97:CL$97,Compesaciones!BE$98:CL$98),LOOKUP(A6,Compesaciones!BE$114:CL$114,Compesaciones!BE$115:CL$115),LOOKUP(A6,Compesaciones!BE$132:CL$132,Compesaciones!BE$133:CL$133),LOOKUP(A6,Compesaciones!BE$149:CL$149,Compesaciones!BE$150:CL$150),LOOKUP(A6,Compesaciones!BE$167:CL$167,Compesaciones!BE$168:CL$168),LOOKUP(A6,Compesaciones!BE$185:CL$185,Compesaciones!BE$186:CL$186)))))*100000</f>
        <v>0</v>
      </c>
      <c r="G6" s="487">
        <f>IF(D6="",0,IF(F6=0,LOOKUP(D6,'Moms de Empt'!P$3:P$36,'Moms de Empt'!U$3:U$36),F6))</f>
        <v>11170</v>
      </c>
      <c r="H6" s="711">
        <f>Espesor!O9</f>
        <v>12</v>
      </c>
      <c r="I6" s="488">
        <f>IF(G6&lt;=0,"------",0.848-SQRT(0.719-G6/(0.53*100*(H6-Espesor!L$4)^2*Espesor!E$4)))</f>
        <v>4.1947449584766039E-3</v>
      </c>
      <c r="J6" s="224">
        <f>IF(G6&lt;=0,"------",IF(I6*Espesor!E$4/Espesor!H$4&lt;0.002,0.002,I6*Espesor!E$4/Espesor!H$4))</f>
        <v>2E-3</v>
      </c>
      <c r="K6" s="225" t="str">
        <f>+IF(F6&lt;=0,"------",ROUND(J6*(H6-Espesor!L$4)*100,2))</f>
        <v>------</v>
      </c>
      <c r="L6" s="484">
        <f t="shared" si="1"/>
        <v>0.375</v>
      </c>
      <c r="M6" s="497">
        <f>IF(F6&lt;=0,0.25,IF(K6="------",IF(2*(H6)/100&gt;0.25,0.25,2*(H6)/100),(TRUNC(IF(L6=3/8,IF(0.71/K6&gt;2*H6/100,2*H6/100,0.71/K6),IF(L6=1/2,IF(1.27/K6&gt;2*H6/100,2*H6/100,1.27/K6),IF(2.85/K6&gt;2*H6/100,2*H6/100,2.85/K6))),2))))</f>
        <v>0.25</v>
      </c>
      <c r="N6" s="267">
        <f t="shared" si="0"/>
        <v>0</v>
      </c>
      <c r="O6" s="490" t="str">
        <f>IF(D6="","",IF(Espesor!D$4&gt;=D6,IF(F6&gt;0,"",IF(F6=0,"Acero por retracción y temperatura","Acero por arriba y por abajo")),""))</f>
        <v>Acero por retracción y temperatura</v>
      </c>
    </row>
    <row r="7" spans="1:16" s="214" customFormat="1" ht="23.25" customHeight="1">
      <c r="A7" s="213"/>
      <c r="B7" s="408">
        <f>+D6</f>
        <v>2</v>
      </c>
      <c r="C7" s="708"/>
      <c r="D7" s="692"/>
      <c r="E7" s="220" t="str">
        <f>+IF(D6="","","y")</f>
        <v>y</v>
      </c>
      <c r="F7" s="486">
        <f>IF(D6="",0,((MAX(LOOKUP(B7,Compesaciones!BE$203:CL$203,Compesaciones!BE$204:CL$204),LOOKUP(B7,Compesaciones!BE$221:CL$221,Compesaciones!BE$222:CL$222),LOOKUP(B7,Compesaciones!BE$238:CL$238,Compesaciones!BE$239:CL$239),LOOKUP(B7,Compesaciones!BE$255:CL$255,Compesaciones!BE$256:CL$256),LOOKUP(B7,Compesaciones!BE$273:CL$273,Compesaciones!BE$274:CL$274),LOOKUP(B7,Compesaciones!BE$290:CL$290,Compesaciones!BE$291:CL$291),LOOKUP(B7,Compesaciones!BE$308:CL$308,Compesaciones!BE$309:CL$309),LOOKUP(B7,Compesaciones!BE$325:CL$325,Compesaciones!BE$326:CL$326),LOOKUP(B7,Compesaciones!BE$343:CL$343,Compesaciones!BE$344:CL$344),LOOKUP(B7,Compesaciones!BE$361:CL$361,Compesaciones!BE$362:CL$362)))))*100000</f>
        <v>43193.535000000003</v>
      </c>
      <c r="G7" s="486">
        <f>IF(D6="",0,IF(F7=0,LOOKUP(D6,'Moms de Empt'!P$3:P$36,'Moms de Empt'!W$3:W$36),F7))</f>
        <v>43193.535000000003</v>
      </c>
      <c r="H7" s="712"/>
      <c r="I7" s="221">
        <f>IF(F7&lt;=0,"------",0.848-SQRT(0.719-F7/(0.53*100*(H6-Espesor!L$4)^2*Espesor!E$4)))</f>
        <v>1.6158791011408602E-2</v>
      </c>
      <c r="J7" s="221">
        <f>IF(F7&lt;=0,"------",IF(I7*Espesor!E$4/Espesor!H$4&lt;0.002,0.002,I7*Espesor!E$4/Espesor!H$4))</f>
        <v>2E-3</v>
      </c>
      <c r="K7" s="222">
        <f>+IF(F7&lt;=0,"------",ROUND(J7*(H6-Espesor!L$4)*100,2))</f>
        <v>2.4</v>
      </c>
      <c r="L7" s="223">
        <f t="shared" si="1"/>
        <v>0.375</v>
      </c>
      <c r="M7" s="495">
        <f>IF(F7&lt;=0,0.25,IF(K7="------",IF(2*(H6)/100&gt;0.25,0.25,2*(H6)/100),(TRUNC(IF(L7=3/8,IF(0.71/K7&gt;2*H6/100,2*H6/100,0.71/K7),IF(L7=1/2,IF(1.27/K7&gt;2*H6/100,2*H6/100,1.27/K7),IF(2.85/K7&gt;2*H6/100,2*H6/100,2.85/K7))),2))))</f>
        <v>0.24</v>
      </c>
      <c r="N7" s="266">
        <f t="shared" si="0"/>
        <v>2.9583333333333335</v>
      </c>
      <c r="O7" s="493" t="str">
        <f>IF(D6="","",IF(Espesor!D$4&gt;=D6,IF(F7&gt;0,"",IF(F7=0,"Acero por retracción y temperatura","Acero por arriba y por abajo")),""))</f>
        <v/>
      </c>
    </row>
    <row r="8" spans="1:16" ht="23.25" customHeight="1">
      <c r="A8" s="213">
        <f t="shared" ref="A8" si="3">+D8</f>
        <v>3</v>
      </c>
      <c r="B8" s="216"/>
      <c r="C8" s="710" t="str">
        <f>Espesor!B10</f>
        <v>Lt-</v>
      </c>
      <c r="D8" s="700">
        <f>Espesor!C10</f>
        <v>3</v>
      </c>
      <c r="E8" s="171" t="str">
        <f t="shared" ref="E8" si="4">+IF(D8="","","x")</f>
        <v>x</v>
      </c>
      <c r="F8" s="487">
        <f>IF(D8="",0,((MAX(LOOKUP(A8,Compesaciones!BE$27:CL$27,Compesaciones!BE$28:CL$28),LOOKUP(A8,Compesaciones!BE$45:CL$45,Compesaciones!BE$46:CL$46),LOOKUP(A8,Compesaciones!BE$62:CL$62,Compesaciones!BE$63:CL$63),LOOKUP(A8,Compesaciones!BE$79:CL$79,Compesaciones!BE$80:CL$80),LOOKUP(A8,Compesaciones!BE$97:CL$97,Compesaciones!BE$98:CL$98),LOOKUP(A8,Compesaciones!BE$114:CL$114,Compesaciones!BE$115:CL$115),LOOKUP(A8,Compesaciones!BE$132:CL$132,Compesaciones!BE$133:CL$133),LOOKUP(A8,Compesaciones!BE$149:CL$149,Compesaciones!BE$150:CL$150),LOOKUP(A8,Compesaciones!BE$167:CL$167,Compesaciones!BE$168:CL$168),LOOKUP(A8,Compesaciones!BE$185:CL$185,Compesaciones!BE$186:CL$186)))))*100000</f>
        <v>89508.235000000001</v>
      </c>
      <c r="G8" s="487">
        <f>IF(D8="",0,IF(F8=0,LOOKUP(D8,'Moms de Empt'!P$3:P$36,'Moms de Empt'!U$3:U$36),F8))</f>
        <v>89508.235000000001</v>
      </c>
      <c r="H8" s="711">
        <f>Espesor!O10</f>
        <v>16</v>
      </c>
      <c r="I8" s="488">
        <f>IF(G8&lt;=0,"------",0.848-SQRT(0.719-G8/(0.53*100*(H8-Espesor!L$4)^2*Espesor!E$4)))</f>
        <v>1.8839592018099149E-2</v>
      </c>
      <c r="J8" s="224">
        <f>IF(G8&lt;=0,"------",IF(I8*Espesor!E$4/Espesor!H$4&lt;0.002,0.002,I8*Espesor!E$4/Espesor!H$4))</f>
        <v>2E-3</v>
      </c>
      <c r="K8" s="225">
        <f>+IF(F8&lt;=0,"------",ROUND(J8*(H8-Espesor!L$4)*100,2))</f>
        <v>3.2</v>
      </c>
      <c r="L8" s="228">
        <f t="shared" si="1"/>
        <v>0.375</v>
      </c>
      <c r="M8" s="496">
        <f>IF(F8&lt;=0,0.25,IF(K8="------",IF(2*(H8)/100&gt;0.25,0.25,2*(H8)/100),(TRUNC(IF(L8=3/8,IF(0.71/K8&gt;2*H8/100,2*H8/100,0.71/K8),IF(L8=1/2,IF(1.27/K8&gt;2*H8/100,2*H8/100,1.27/K8),IF(2.85/K8&gt;2*H8/100,2*H8/100,2.85/K8))),2))))</f>
        <v>0.22</v>
      </c>
      <c r="N8" s="267">
        <f t="shared" si="0"/>
        <v>3.2272727272727271</v>
      </c>
      <c r="O8" s="492" t="str">
        <f>IF(D8="","",IF(Espesor!D$4&gt;=D8,IF(F8&gt;0,"",IF(F8=0,"Acero por retracción y temperatura","Acero por arriba y por abajo")),""))</f>
        <v/>
      </c>
    </row>
    <row r="9" spans="1:16" ht="23.25" customHeight="1">
      <c r="A9" s="213"/>
      <c r="B9" s="216">
        <f>+D8</f>
        <v>3</v>
      </c>
      <c r="C9" s="708"/>
      <c r="D9" s="692"/>
      <c r="E9" s="220" t="str">
        <f t="shared" ref="E9" si="5">+IF(D8="","","y")</f>
        <v>y</v>
      </c>
      <c r="F9" s="486">
        <f>IF(D8="",0,((MAX(LOOKUP(B9,Compesaciones!BE$203:CL$203,Compesaciones!BE$204:CL$204),LOOKUP(B9,Compesaciones!BE$221:CL$221,Compesaciones!BE$222:CL$222),LOOKUP(B9,Compesaciones!BE$238:CL$238,Compesaciones!BE$239:CL$239),LOOKUP(B9,Compesaciones!BE$255:CL$255,Compesaciones!BE$256:CL$256),LOOKUP(B9,Compesaciones!BE$273:CL$273,Compesaciones!BE$274:CL$274),LOOKUP(B9,Compesaciones!BE$290:CL$290,Compesaciones!BE$291:CL$291),LOOKUP(B9,Compesaciones!BE$308:CL$308,Compesaciones!BE$309:CL$309),LOOKUP(B9,Compesaciones!BE$325:CL$325,Compesaciones!BE$326:CL$326),LOOKUP(B9,Compesaciones!BE$343:CL$343,Compesaciones!BE$344:CL$344),LOOKUP(B9,Compesaciones!BE$361:CL$361,Compesaciones!BE$362:CL$362)))))*100000</f>
        <v>114734.04000000001</v>
      </c>
      <c r="G9" s="486">
        <f>IF(D8="",0,IF(F9=0,LOOKUP(D8,'Moms de Empt'!P$3:P$36,'Moms de Empt'!W$3:W$36),F9))</f>
        <v>114734.04000000001</v>
      </c>
      <c r="H9" s="712"/>
      <c r="I9" s="221">
        <f>IF(F9&lt;=0,"------",0.848-SQRT(0.719-F9/(0.53*100*(H8-Espesor!L$4)^2*Espesor!E$4)))</f>
        <v>2.4209121920015564E-2</v>
      </c>
      <c r="J9" s="221">
        <f>IF(F9&lt;=0,"------",IF(I9*Espesor!E$4/Espesor!H$4&lt;0.002,0.002,I9*Espesor!E$4/Espesor!H$4))</f>
        <v>2E-3</v>
      </c>
      <c r="K9" s="222">
        <f>+IF(F9=0,"------",ROUND(J9*(H8-Espesor!L$4)*100,2))</f>
        <v>3.2</v>
      </c>
      <c r="L9" s="223">
        <f t="shared" si="1"/>
        <v>0.375</v>
      </c>
      <c r="M9" s="495">
        <f>IF(F9&lt;=0,0.25,IF(K9="------",IF(2*(H8)/100&gt;0.25,0.25,2*(H8)/100),(TRUNC(IF(L9=3/8,IF(0.71/K9&gt;2*H8/100,2*H8/100,0.71/K9),IF(L9=1/2,IF(1.27/K9&gt;2*H8/100,2*H8/100,1.27/K9),IF(2.85/K9&gt;2*H8/100,2*H8/100,2.85/K9))),2))))</f>
        <v>0.22</v>
      </c>
      <c r="N9" s="266">
        <f t="shared" si="0"/>
        <v>3.2272727272727271</v>
      </c>
      <c r="O9" s="493" t="str">
        <f>IF(D8="","",IF(Espesor!D$4&gt;=D8,IF(F9&gt;0,"",IF(F9=0,"Acero por retracción y temperatura","Acero por arriba y por abajo")),""))</f>
        <v/>
      </c>
    </row>
    <row r="10" spans="1:16" ht="23.25" customHeight="1">
      <c r="A10" s="213">
        <f t="shared" ref="A10" si="6">+D10</f>
        <v>4</v>
      </c>
      <c r="B10" s="216"/>
      <c r="C10" s="707" t="str">
        <f>Espesor!B11</f>
        <v>Lt-</v>
      </c>
      <c r="D10" s="691">
        <f>Espesor!C11</f>
        <v>4</v>
      </c>
      <c r="E10" s="226" t="str">
        <f t="shared" ref="E10" si="7">+IF(D10="","","x")</f>
        <v>x</v>
      </c>
      <c r="F10" s="487">
        <f>IF(D10="",0,((MAX(LOOKUP(A10,Compesaciones!BE$27:CL$27,Compesaciones!BE$28:CL$28),LOOKUP(A10,Compesaciones!BE$45:CL$45,Compesaciones!BE$46:CL$46),LOOKUP(A10,Compesaciones!BE$62:CL$62,Compesaciones!BE$63:CL$63),LOOKUP(A10,Compesaciones!BE$79:CL$79,Compesaciones!BE$80:CL$80),LOOKUP(A10,Compesaciones!BE$97:CL$97,Compesaciones!BE$98:CL$98),LOOKUP(A10,Compesaciones!BE$114:CL$114,Compesaciones!BE$115:CL$115),LOOKUP(A10,Compesaciones!BE$132:CL$132,Compesaciones!BE$133:CL$133),LOOKUP(A10,Compesaciones!BE$149:CL$149,Compesaciones!BE$150:CL$150),LOOKUP(A10,Compesaciones!BE$167:CL$167,Compesaciones!BE$168:CL$168),LOOKUP(A10,Compesaciones!BE$185:CL$185,Compesaciones!BE$186:CL$186)))))*100000</f>
        <v>19253.234999999997</v>
      </c>
      <c r="G10" s="487">
        <f>IF(D10="",0,IF(F10=0,LOOKUP(D10,'Moms de Empt'!P$3:P$36,'Moms de Empt'!U$3:U$36),F10))</f>
        <v>19253.234999999997</v>
      </c>
      <c r="H10" s="711">
        <f>Espesor!O11</f>
        <v>14</v>
      </c>
      <c r="I10" s="488">
        <f>IF(G10&lt;=0,"------",0.848-SQRT(0.719-G10/(0.53*100*(H10-Espesor!L$4)^2*Espesor!E$4)))</f>
        <v>5.2966346249458951E-3</v>
      </c>
      <c r="J10" s="488">
        <f>IF(G10&lt;=0,"------",IF(I10*Espesor!E$4/Espesor!H$4&lt;0.002,0.002,I10*Espesor!E$4/Espesor!H$4))</f>
        <v>2E-3</v>
      </c>
      <c r="K10" s="227">
        <f>+IF(F10&lt;=0,"------",ROUND(J10*(H10-Espesor!L$4)*100,2))</f>
        <v>2.8</v>
      </c>
      <c r="L10" s="228">
        <f t="shared" si="1"/>
        <v>0.375</v>
      </c>
      <c r="M10" s="496">
        <f>IF(F10&lt;=0,0.25,IF(K10="------",IF(2*(H10)/100&gt;0.25,0.25,2*(H10)/100),(TRUNC(IF(L10=3/8,IF(0.71/K10&gt;2*H10/100,2*H10/100,0.71/K10),IF(L10=1/2,IF(1.27/K10&gt;2*H10/100,2*H10/100,1.27/K10),IF(2.85/K10&gt;2*H10/100,2*H10/100,2.85/K10))),2))))</f>
        <v>0.25</v>
      </c>
      <c r="N10" s="267">
        <f t="shared" si="0"/>
        <v>2.84</v>
      </c>
      <c r="O10" s="490" t="str">
        <f>IF(D10="","",IF(Espesor!D$4&gt;=D10,IF(F10&gt;0,"",IF(F10=0,"Acero por retracción y temperatura","Acero por arriba y por abajo")),""))</f>
        <v/>
      </c>
    </row>
    <row r="11" spans="1:16" ht="23.25" customHeight="1">
      <c r="A11" s="213"/>
      <c r="B11" s="216">
        <f>+D10</f>
        <v>4</v>
      </c>
      <c r="C11" s="708"/>
      <c r="D11" s="692"/>
      <c r="E11" s="220" t="str">
        <f t="shared" ref="E11" si="8">+IF(D10="","","y")</f>
        <v>y</v>
      </c>
      <c r="F11" s="486">
        <f>IF(D10="",0,((MAX(LOOKUP(B11,Compesaciones!BE$203:CL$203,Compesaciones!BE$204:CL$204),LOOKUP(B11,Compesaciones!BE$221:CL$221,Compesaciones!BE$222:CL$222),LOOKUP(B11,Compesaciones!BE$238:CL$238,Compesaciones!BE$239:CL$239),LOOKUP(B11,Compesaciones!BE$255:CL$255,Compesaciones!BE$256:CL$256),LOOKUP(B11,Compesaciones!BE$273:CL$273,Compesaciones!BE$274:CL$274),LOOKUP(B11,Compesaciones!BE$290:CL$290,Compesaciones!BE$291:CL$291),LOOKUP(B11,Compesaciones!BE$308:CL$308,Compesaciones!BE$309:CL$309),LOOKUP(B11,Compesaciones!BE$325:CL$325,Compesaciones!BE$326:CL$326),LOOKUP(B11,Compesaciones!BE$343:CL$343,Compesaciones!BE$344:CL$344),LOOKUP(B11,Compesaciones!BE$361:CL$361,Compesaciones!BE$362:CL$362)))))*100000</f>
        <v>45586.5</v>
      </c>
      <c r="G11" s="486">
        <f>IF(D10="",0,IF(F11=0,LOOKUP(D10,'Moms de Empt'!P$3:P$36,'Moms de Empt'!W$3:W$36),F11))</f>
        <v>45586.5</v>
      </c>
      <c r="H11" s="712"/>
      <c r="I11" s="221">
        <f>IF(F11&lt;=0,"------",0.848-SQRT(0.719-F11/(0.53*100*(H10-Espesor!L$4)^2*Espesor!E$4)))</f>
        <v>1.2510254754617423E-2</v>
      </c>
      <c r="J11" s="221">
        <f>IF(F11&lt;=0,"------",IF(I11*Espesor!E$4/Espesor!H$4&lt;0.002,0.002,I11*Espesor!E$4/Espesor!H$4))</f>
        <v>2E-3</v>
      </c>
      <c r="K11" s="222">
        <f>+IF(F11&lt;=0,"------",ROUND(J11*(H10-Espesor!L$4)*100,2))</f>
        <v>2.8</v>
      </c>
      <c r="L11" s="223">
        <f t="shared" si="1"/>
        <v>0.375</v>
      </c>
      <c r="M11" s="495">
        <f>IF(F11&lt;=0,0.25,IF(K11="------",IF(2*(H10)/100&gt;0.25,0.25,2*(H10)/100),(TRUNC(IF(L11=3/8,IF(0.71/K11&gt;2*H10/100,2*H10/100,0.71/K11),IF(L11=1/2,IF(1.27/K11&gt;2*H10/100,2*H10/100,1.27/K11),IF(2.85/K11&gt;2*H10/100,2*H10/100,2.85/K11))),2))))</f>
        <v>0.25</v>
      </c>
      <c r="N11" s="266">
        <f t="shared" si="0"/>
        <v>2.84</v>
      </c>
      <c r="O11" s="493" t="str">
        <f>IF(D10="","",IF(Espesor!D$4&gt;=D10,IF(F11&gt;0,"",IF(F11=0,"Acero por retracción y temperatura","Acero por arriba y por abajo")),""))</f>
        <v/>
      </c>
    </row>
    <row r="12" spans="1:16" ht="23.25" customHeight="1">
      <c r="A12" s="213">
        <f t="shared" ref="A12" si="9">+D12</f>
        <v>5</v>
      </c>
      <c r="B12" s="216"/>
      <c r="C12" s="707" t="str">
        <f>Espesor!B12</f>
        <v>Lt-</v>
      </c>
      <c r="D12" s="691">
        <f>Espesor!C12</f>
        <v>5</v>
      </c>
      <c r="E12" s="226" t="str">
        <f t="shared" ref="E12" si="10">+IF(D12="","","x")</f>
        <v>x</v>
      </c>
      <c r="F12" s="487">
        <f>IF(D12="",0,((MAX(LOOKUP(A12,Compesaciones!BE$27:CL$27,Compesaciones!BE$28:CL$28),LOOKUP(A12,Compesaciones!BE$45:CL$45,Compesaciones!BE$46:CL$46),LOOKUP(A12,Compesaciones!BE$62:CL$62,Compesaciones!BE$63:CL$63),LOOKUP(A12,Compesaciones!BE$79:CL$79,Compesaciones!BE$80:CL$80),LOOKUP(A12,Compesaciones!BE$97:CL$97,Compesaciones!BE$98:CL$98),LOOKUP(A12,Compesaciones!BE$114:CL$114,Compesaciones!BE$115:CL$115),LOOKUP(A12,Compesaciones!BE$132:CL$132,Compesaciones!BE$133:CL$133),LOOKUP(A12,Compesaciones!BE$149:CL$149,Compesaciones!BE$150:CL$150),LOOKUP(A12,Compesaciones!BE$167:CL$167,Compesaciones!BE$168:CL$168),LOOKUP(A12,Compesaciones!BE$185:CL$185,Compesaciones!BE$186:CL$186)))))*100000</f>
        <v>0</v>
      </c>
      <c r="G12" s="487">
        <f>IF(D12="",0,IF(F12=0,LOOKUP(D12,'Moms de Empt'!P$3:P$36,'Moms de Empt'!U$3:U$36),F12))</f>
        <v>15650</v>
      </c>
      <c r="H12" s="711">
        <f>Espesor!O12</f>
        <v>12</v>
      </c>
      <c r="I12" s="488">
        <f>IF(G12&lt;=0,"------",0.848-SQRT(0.719-G12/(0.53*100*(H12-Espesor!L$4)^2*Espesor!E$4)))</f>
        <v>5.8582544973658779E-3</v>
      </c>
      <c r="J12" s="224">
        <f>IF(G12&lt;=0,"------",IF(I12*Espesor!E$4/Espesor!H$4&lt;0.002,0.002,I12*Espesor!E$4/Espesor!H$4))</f>
        <v>2E-3</v>
      </c>
      <c r="K12" s="227" t="str">
        <f>+IF(F12&lt;=0,"------",ROUND(J12*(H12-Espesor!L$4)*100,2))</f>
        <v>------</v>
      </c>
      <c r="L12" s="228">
        <f>IF(F12="","",IF(K12="------",3/8,IF(K12&gt;=12.7,3/4,(IF(K12&gt;7.1,1/2,3/8)))))</f>
        <v>0.375</v>
      </c>
      <c r="M12" s="496">
        <f>IF(F12&lt;=0,0.25,IF(K12="------",IF(2*(H12)/100&gt;0.25,0.25,2*(H12)/100),(TRUNC(IF(L12=3/8,IF(0.71/K12&gt;2*H12/100,2*H12/100,0.71/K12),IF(L12=1/2,IF(1.27/K12&gt;2*H12/100,2*H12/100,1.27/K12),IF(2.85/K12&gt;2*H12/100,2*H12/100,2.85/K12))),2))))</f>
        <v>0.25</v>
      </c>
      <c r="N12" s="267">
        <f t="shared" si="0"/>
        <v>0</v>
      </c>
      <c r="O12" s="490" t="str">
        <f>IF(D12="","",IF(Espesor!D$4&gt;=D12,IF(F12&gt;0,"",IF(F12=0,"Acero por retracción y temperatura","Acero por arriba y por abajo")),""))</f>
        <v>Acero por retracción y temperatura</v>
      </c>
    </row>
    <row r="13" spans="1:16" ht="23.25" customHeight="1">
      <c r="A13" s="213"/>
      <c r="B13" s="216">
        <f>+D12</f>
        <v>5</v>
      </c>
      <c r="C13" s="708"/>
      <c r="D13" s="692"/>
      <c r="E13" s="220" t="str">
        <f t="shared" ref="E13" si="11">+IF(D12="","","y")</f>
        <v>y</v>
      </c>
      <c r="F13" s="486">
        <f>IF(D12="",0,((MAX(LOOKUP(B13,Compesaciones!BE$203:CL$203,Compesaciones!BE$204:CL$204),LOOKUP(B13,Compesaciones!BE$221:CL$221,Compesaciones!BE$222:CL$222),LOOKUP(B13,Compesaciones!BE$238:CL$238,Compesaciones!BE$239:CL$239),LOOKUP(B13,Compesaciones!BE$255:CL$255,Compesaciones!BE$256:CL$256),LOOKUP(B13,Compesaciones!BE$273:CL$273,Compesaciones!BE$274:CL$274),LOOKUP(B13,Compesaciones!BE$290:CL$290,Compesaciones!BE$291:CL$291),LOOKUP(B13,Compesaciones!BE$308:CL$308,Compesaciones!BE$309:CL$309),LOOKUP(B13,Compesaciones!BE$325:CL$325,Compesaciones!BE$326:CL$326),LOOKUP(B13,Compesaciones!BE$343:CL$343,Compesaciones!BE$344:CL$344),LOOKUP(B13,Compesaciones!BE$361:CL$361,Compesaciones!BE$362:CL$362)))))*100000</f>
        <v>0</v>
      </c>
      <c r="G13" s="486">
        <f>IF(D12="",0,IF(F13=0,LOOKUP(D12,'Moms de Empt'!P$3:P$36,'Moms de Empt'!W$3:W$36),F13))</f>
        <v>52859.999999999993</v>
      </c>
      <c r="H13" s="712"/>
      <c r="I13" s="221" t="str">
        <f>IF(F13&lt;=0,"------",0.848-SQRT(0.719-F13/(0.53*100*(H12-Espesor!L$4)^2*Espesor!E$4)))</f>
        <v>------</v>
      </c>
      <c r="J13" s="221" t="str">
        <f>IF(F13&lt;=0,"------",IF(I13*Espesor!E$4/Espesor!H$4&lt;0.002,0.002,I13*Espesor!E$4/Espesor!H$4))</f>
        <v>------</v>
      </c>
      <c r="K13" s="222" t="str">
        <f>+IF(F13&lt;=0,"------",ROUND(J13*(H12-Espesor!L$4)*100,2))</f>
        <v>------</v>
      </c>
      <c r="L13" s="223">
        <f t="shared" ref="L13:L71" si="12">IF(F13="","",IF(K13="------",3/8,IF(K13&gt;=12.7,3/4,(IF(K13&gt;7.1,1/2,3/8)))))</f>
        <v>0.375</v>
      </c>
      <c r="M13" s="495">
        <f>IF(F13&lt;=0,0.25,IF(K13="------",IF(2*(H12)/100&gt;0.25,0.25,2*(H12)/100),(TRUNC(IF(L13=3/8,IF(0.71/K13&gt;2*H12/100,2*H12/100,0.71/K13),IF(L13=1/2,IF(1.27/K13&gt;2*H12/100,2*H12/100,1.27/K13),IF(2.85/K13&gt;2*H12/100,2*H12/100,2.85/K13))),2))))</f>
        <v>0.25</v>
      </c>
      <c r="N13" s="528">
        <f t="shared" si="0"/>
        <v>0</v>
      </c>
      <c r="O13" s="525" t="str">
        <f>IF(D12="","",IF(Espesor!D$4&gt;=D12,IF(F13&gt;0,"",IF(F13=0,"Acero por retracción y temperatura","Acero por arriba y por abajo")),""))</f>
        <v>Acero por retracción y temperatura</v>
      </c>
      <c r="P13" s="526" t="s">
        <v>184</v>
      </c>
    </row>
    <row r="14" spans="1:16" ht="23.25" customHeight="1">
      <c r="A14" s="213">
        <f t="shared" ref="A14" si="13">+D14</f>
        <v>6</v>
      </c>
      <c r="B14" s="216"/>
      <c r="C14" s="707" t="str">
        <f>Espesor!B13</f>
        <v>Lt-</v>
      </c>
      <c r="D14" s="691">
        <f>Espesor!C13</f>
        <v>6</v>
      </c>
      <c r="E14" s="226" t="str">
        <f t="shared" ref="E14" si="14">+IF(D14="","","x")</f>
        <v>x</v>
      </c>
      <c r="F14" s="487">
        <f>IF(D14="",0,((MAX(LOOKUP(A14,Compesaciones!BE$27:CL$27,Compesaciones!BE$28:CL$28),LOOKUP(A14,Compesaciones!BE$45:CL$45,Compesaciones!BE$46:CL$46),LOOKUP(A14,Compesaciones!BE$62:CL$62,Compesaciones!BE$63:CL$63),LOOKUP(A14,Compesaciones!BE$79:CL$79,Compesaciones!BE$80:CL$80),LOOKUP(A14,Compesaciones!BE$97:CL$97,Compesaciones!BE$98:CL$98),LOOKUP(A14,Compesaciones!BE$114:CL$114,Compesaciones!BE$115:CL$115),LOOKUP(A14,Compesaciones!BE$132:CL$132,Compesaciones!BE$133:CL$133),LOOKUP(A14,Compesaciones!BE$149:CL$149,Compesaciones!BE$150:CL$150),LOOKUP(A14,Compesaciones!BE$167:CL$167,Compesaciones!BE$168:CL$168),LOOKUP(A14,Compesaciones!BE$185:CL$185,Compesaciones!BE$186:CL$186)))))*100000</f>
        <v>0</v>
      </c>
      <c r="G14" s="487">
        <f>IF(D14="",0,IF(F14=0,LOOKUP(D14,'Moms de Empt'!P$3:P$36,'Moms de Empt'!U$3:U$36),F14))</f>
        <v>30000</v>
      </c>
      <c r="H14" s="711">
        <f>Espesor!O13</f>
        <v>12</v>
      </c>
      <c r="I14" s="488">
        <f>IF(G14&lt;=0,"------",0.848-SQRT(0.719-G14/(0.53*100*(H14-Espesor!L$4)^2*Espesor!E$4)))</f>
        <v>1.1208944453896752E-2</v>
      </c>
      <c r="J14" s="224">
        <f>IF(G14&lt;=0,"------",IF(I14*Espesor!E$4/Espesor!H$4&lt;0.002,0.002,I14*Espesor!E$4/Espesor!H$4))</f>
        <v>2E-3</v>
      </c>
      <c r="K14" s="227" t="str">
        <f>+IF(F14&lt;=0,"------",ROUND(J14*(H14-Espesor!L$4)*100,2))</f>
        <v>------</v>
      </c>
      <c r="L14" s="228">
        <f t="shared" si="12"/>
        <v>0.375</v>
      </c>
      <c r="M14" s="496">
        <f>IF(F14&lt;=0,0.25,IF(K14="------",IF(2*(H14)/100&gt;0.25,0.25,2*(H14)/100),(TRUNC(IF(L14=3/8,IF(0.71/K14&gt;2*H14/100,2*H14/100,0.71/K14),IF(L14=1/2,IF(1.27/K14&gt;2*H14/100,2*H14/100,1.27/K14),IF(2.85/K14&gt;2*H14/100,2*H14/100,2.85/K14))),2))))</f>
        <v>0.25</v>
      </c>
      <c r="N14" s="529">
        <f t="shared" si="0"/>
        <v>0</v>
      </c>
      <c r="O14" s="527" t="str">
        <f>IF(D14="","",IF(Espesor!D$4&gt;=D14,IF(F14&gt;0,"",IF(F14=0,"Acero por retracción y temperatura","Acero por arriba y por abajo")),""))</f>
        <v>Acero por retracción y temperatura</v>
      </c>
      <c r="P14" s="526" t="s">
        <v>185</v>
      </c>
    </row>
    <row r="15" spans="1:16" ht="23.25" customHeight="1">
      <c r="A15" s="213"/>
      <c r="B15" s="216">
        <f>+D14</f>
        <v>6</v>
      </c>
      <c r="C15" s="708"/>
      <c r="D15" s="692"/>
      <c r="E15" s="220" t="str">
        <f t="shared" ref="E15" si="15">+IF(D14="","","y")</f>
        <v>y</v>
      </c>
      <c r="F15" s="486">
        <f>IF(D14="",0,((MAX(LOOKUP(B15,Compesaciones!BE$203:CL$203,Compesaciones!BE$204:CL$204),LOOKUP(B15,Compesaciones!BE$221:CL$221,Compesaciones!BE$222:CL$222),LOOKUP(B15,Compesaciones!BE$238:CL$238,Compesaciones!BE$239:CL$239),LOOKUP(B15,Compesaciones!BE$255:CL$255,Compesaciones!BE$256:CL$256),LOOKUP(B15,Compesaciones!BE$273:CL$273,Compesaciones!BE$274:CL$274),LOOKUP(B15,Compesaciones!BE$290:CL$290,Compesaciones!BE$291:CL$291),LOOKUP(B15,Compesaciones!BE$308:CL$308,Compesaciones!BE$309:CL$309),LOOKUP(B15,Compesaciones!BE$325:CL$325,Compesaciones!BE$326:CL$326),LOOKUP(B15,Compesaciones!BE$343:CL$343,Compesaciones!BE$344:CL$344),LOOKUP(B15,Compesaciones!BE$361:CL$361,Compesaciones!BE$362:CL$362)))))*100000</f>
        <v>0</v>
      </c>
      <c r="G15" s="486">
        <f>IF(D14="",0,IF(F15=0,LOOKUP(D14,'Moms de Empt'!P$3:P$36,'Moms de Empt'!W$3:W$36),F15))</f>
        <v>43780</v>
      </c>
      <c r="H15" s="712"/>
      <c r="I15" s="221" t="str">
        <f>IF(F15&lt;=0,"------",0.848-SQRT(0.719-F15/(0.53*100*(H14-Espesor!L$4)^2*Espesor!E$4)))</f>
        <v>------</v>
      </c>
      <c r="J15" s="221" t="str">
        <f>IF(F15&lt;=0,"------",IF(I15*Espesor!E$4/Espesor!H$4&lt;0.002,0.002,I15*Espesor!E$4/Espesor!H$4))</f>
        <v>------</v>
      </c>
      <c r="K15" s="222" t="str">
        <f>+IF(F15&lt;=0,"------",ROUND(J15*(H14-Espesor!L$4)*100,2))</f>
        <v>------</v>
      </c>
      <c r="L15" s="223">
        <f t="shared" si="12"/>
        <v>0.375</v>
      </c>
      <c r="M15" s="495">
        <f>IF(F15&lt;=0,0.25,IF(K15="------",IF(2*(H14)/100&gt;0.25,0.25,2*(H14)/100),(TRUNC(IF(L15=3/8,IF(0.71/K15&gt;2*H14/100,2*H14/100,0.71/K15),IF(L15=1/2,IF(1.27/K15&gt;2*H14/100,2*H14/100,1.27/K15),IF(2.85/K15&gt;2*H14/100,2*H14/100,2.85/K15))),2))))</f>
        <v>0.25</v>
      </c>
      <c r="N15" s="528">
        <f t="shared" si="0"/>
        <v>0</v>
      </c>
      <c r="O15" s="525" t="str">
        <f>IF(D14="","",IF(Espesor!D$4&gt;=D14,IF(F15&gt;0,"",IF(F15=0,"Acero por retracción y temperatura","Acero por arriba y por abajo")),""))</f>
        <v>Acero por retracción y temperatura</v>
      </c>
      <c r="P15" s="526" t="s">
        <v>186</v>
      </c>
    </row>
    <row r="16" spans="1:16" ht="23.25" customHeight="1">
      <c r="A16" s="213">
        <f t="shared" ref="A16" si="16">+D16</f>
        <v>7</v>
      </c>
      <c r="B16" s="216"/>
      <c r="C16" s="707" t="str">
        <f>Espesor!B14</f>
        <v>Lt-</v>
      </c>
      <c r="D16" s="691">
        <f>Espesor!C14</f>
        <v>7</v>
      </c>
      <c r="E16" s="226" t="str">
        <f t="shared" ref="E16" si="17">+IF(D16="","","x")</f>
        <v>x</v>
      </c>
      <c r="F16" s="487">
        <f>IF(D16="",0,((MAX(LOOKUP(A16,Compesaciones!BE$27:CL$27,Compesaciones!BE$28:CL$28),LOOKUP(A16,Compesaciones!BE$45:CL$45,Compesaciones!BE$46:CL$46),LOOKUP(A16,Compesaciones!BE$62:CL$62,Compesaciones!BE$63:CL$63),LOOKUP(A16,Compesaciones!BE$79:CL$79,Compesaciones!BE$80:CL$80),LOOKUP(A16,Compesaciones!BE$97:CL$97,Compesaciones!BE$98:CL$98),LOOKUP(A16,Compesaciones!BE$114:CL$114,Compesaciones!BE$115:CL$115),LOOKUP(A16,Compesaciones!BE$132:CL$132,Compesaciones!BE$133:CL$133),LOOKUP(A16,Compesaciones!BE$149:CL$149,Compesaciones!BE$150:CL$150),LOOKUP(A16,Compesaciones!BE$167:CL$167,Compesaciones!BE$168:CL$168),LOOKUP(A16,Compesaciones!BE$185:CL$185,Compesaciones!BE$186:CL$186)))))*100000</f>
        <v>0</v>
      </c>
      <c r="G16" s="487">
        <f>IF(D16="",0,IF(F16=0,LOOKUP(D16,'Moms de Empt'!P$3:P$36,'Moms de Empt'!U$3:U$36),F16))</f>
        <v>160060</v>
      </c>
      <c r="H16" s="711">
        <f>Espesor!O14</f>
        <v>18</v>
      </c>
      <c r="I16" s="488">
        <f>IF(G16&lt;=0,"------",0.848-SQRT(0.719-G16/(0.53*100*(H16-Espesor!L$4)^2*Espesor!E$4)))</f>
        <v>2.6711046538404726E-2</v>
      </c>
      <c r="J16" s="224">
        <f>IF(G16&lt;=0,"------",IF(I16*Espesor!E$4/Espesor!H$4&lt;0.002,0.002,I16*Espesor!E$4/Espesor!H$4))</f>
        <v>2.0033284903803543E-3</v>
      </c>
      <c r="K16" s="227" t="str">
        <f>+IF(F16&lt;=0,"------",ROUND(J16*(H16-Espesor!L$4)*100,2))</f>
        <v>------</v>
      </c>
      <c r="L16" s="228">
        <f t="shared" si="12"/>
        <v>0.375</v>
      </c>
      <c r="M16" s="496">
        <f>IF(F16&lt;=0,0.25,IF(K16="------",IF(2*(H16)/100&gt;0.25,0.25,2*(H16)/100),(TRUNC(IF(L16=3/8,IF(0.71/K16&gt;2*H16/100,2*H16/100,0.71/K16),IF(L16=1/2,IF(1.27/K16&gt;2*H16/100,2*H16/100,1.27/K16),IF(2.85/K16&gt;2*H16/100,2*H16/100,2.85/K16))),2))))</f>
        <v>0.25</v>
      </c>
      <c r="N16" s="529">
        <f t="shared" ref="N16:N71" si="18">IF(F16=0,0,IF(L16=3/8,0.71/M16,IF(L16=1/2,1.27/M16,2.85/M16)))</f>
        <v>0</v>
      </c>
      <c r="O16" s="527" t="str">
        <f>IF(D16="","",IF(Espesor!D$4&gt;=D16,IF(F16&gt;0,"",IF(F16=0,"Acero por retracción y temperatura","Acero por arriba y por abajo")),""))</f>
        <v>Acero por retracción y temperatura</v>
      </c>
      <c r="P16" s="526" t="s">
        <v>187</v>
      </c>
    </row>
    <row r="17" spans="1:15" ht="23.25" customHeight="1">
      <c r="A17" s="213"/>
      <c r="B17" s="216">
        <f>+D16</f>
        <v>7</v>
      </c>
      <c r="C17" s="708"/>
      <c r="D17" s="692"/>
      <c r="E17" s="220" t="str">
        <f t="shared" ref="E17" si="19">+IF(D16="","","y")</f>
        <v>y</v>
      </c>
      <c r="F17" s="486">
        <f>IF(D16="",0,((MAX(LOOKUP(B17,Compesaciones!BE$203:CL$203,Compesaciones!BE$204:CL$204),LOOKUP(B17,Compesaciones!BE$221:CL$221,Compesaciones!BE$222:CL$222),LOOKUP(B17,Compesaciones!BE$238:CL$238,Compesaciones!BE$239:CL$239),LOOKUP(B17,Compesaciones!BE$255:CL$255,Compesaciones!BE$256:CL$256),LOOKUP(B17,Compesaciones!BE$273:CL$273,Compesaciones!BE$274:CL$274),LOOKUP(B17,Compesaciones!BE$290:CL$290,Compesaciones!BE$291:CL$291),LOOKUP(B17,Compesaciones!BE$308:CL$308,Compesaciones!BE$309:CL$309),LOOKUP(B17,Compesaciones!BE$325:CL$325,Compesaciones!BE$326:CL$326),LOOKUP(B17,Compesaciones!BE$343:CL$343,Compesaciones!BE$344:CL$344),LOOKUP(B17,Compesaciones!BE$361:CL$361,Compesaciones!BE$362:CL$362)))))*100000</f>
        <v>213182.62</v>
      </c>
      <c r="G17" s="486">
        <f>IF(D16="",0,IF(F17=0,LOOKUP(D16,'Moms de Empt'!P$3:P$36,'Moms de Empt'!W$3:W$36),F17))</f>
        <v>213182.62</v>
      </c>
      <c r="H17" s="712"/>
      <c r="I17" s="221">
        <f>IF(F17&lt;=0,"------",0.848-SQRT(0.719-F17/(0.53*100*(H16-Espesor!L$4)^2*Espesor!E$4)))</f>
        <v>3.5749106419320942E-2</v>
      </c>
      <c r="J17" s="221">
        <f>IF(F17&lt;=0,"------",IF(I17*Espesor!E$4/Espesor!H$4&lt;0.002,0.002,I17*Espesor!E$4/Espesor!H$4))</f>
        <v>2.6811829814490707E-3</v>
      </c>
      <c r="K17" s="222">
        <f>+IF(F17&lt;=0,"------",ROUND(J17*(H16-Espesor!L$4)*100,2))</f>
        <v>4.82</v>
      </c>
      <c r="L17" s="223">
        <f t="shared" si="12"/>
        <v>0.375</v>
      </c>
      <c r="M17" s="495">
        <f>IF(F17&lt;=0,0.25,IF(K17="------",IF(2*(H16)/100&gt;0.25,0.25,2*(H16)/100),(TRUNC(IF(L17=3/8,IF(0.71/K17&gt;2*H16/100,2*H16/100,0.71/K17),IF(L17=1/2,IF(1.27/K17&gt;2*H16/100,2*H16/100,1.27/K17),IF(2.85/K17&gt;2*H16/100,2*H16/100,2.85/K17))),2))))</f>
        <v>0.14000000000000001</v>
      </c>
      <c r="N17" s="266">
        <f t="shared" si="18"/>
        <v>5.0714285714285703</v>
      </c>
      <c r="O17" s="493" t="str">
        <f>IF(D16="","",IF(Espesor!D$4&gt;=D16,IF(F17&gt;0,"",IF(F17=0,"Acero por retracción y temperatura","Acero por arriba y por abajo")),""))</f>
        <v/>
      </c>
    </row>
    <row r="18" spans="1:15" ht="23.25" customHeight="1">
      <c r="A18" s="480">
        <f>+D18</f>
        <v>8</v>
      </c>
      <c r="B18" s="216"/>
      <c r="C18" s="707" t="str">
        <f>Espesor!B15</f>
        <v>Lt-</v>
      </c>
      <c r="D18" s="691">
        <f>Espesor!C15</f>
        <v>8</v>
      </c>
      <c r="E18" s="226" t="str">
        <f t="shared" ref="E18" si="20">+IF(D18="","","x")</f>
        <v>x</v>
      </c>
      <c r="F18" s="487">
        <f>IF(D18="",0,((MAX(LOOKUP(A18,Compesaciones!BE$27:CL$27,Compesaciones!BE$28:CL$28),LOOKUP(A18,Compesaciones!BE$45:CL$45,Compesaciones!BE$46:CL$46),LOOKUP(A18,Compesaciones!BE$62:CL$62,Compesaciones!BE$63:CL$63),LOOKUP(A18,Compesaciones!BE$79:CL$79,Compesaciones!BE$80:CL$80),LOOKUP(A18,Compesaciones!BE$97:CL$97,Compesaciones!BE$98:CL$98),LOOKUP(A18,Compesaciones!BE$114:CL$114,Compesaciones!BE$115:CL$115),LOOKUP(A18,Compesaciones!BE$132:CL$132,Compesaciones!BE$133:CL$133),LOOKUP(A18,Compesaciones!BE$149:CL$149,Compesaciones!BE$150:CL$150),LOOKUP(A18,Compesaciones!BE$167:CL$167,Compesaciones!BE$168:CL$168),LOOKUP(A18,Compesaciones!BE$185:CL$185,Compesaciones!BE$186:CL$186)))))*100000</f>
        <v>0</v>
      </c>
      <c r="G18" s="487">
        <f>IF(D18="",0,IF(F18=0,LOOKUP(D18,'Moms de Empt'!P$3:P$36,'Moms de Empt'!U$3:U$36),F18))</f>
        <v>0</v>
      </c>
      <c r="H18" s="711" t="str">
        <f>Espesor!O15</f>
        <v/>
      </c>
      <c r="I18" s="488" t="str">
        <f>IF(G18&lt;=0,"------",0.848-SQRT(0.719-G18/(0.53*100*(H18-Espesor!L$4)^2*Espesor!E$4)))</f>
        <v>------</v>
      </c>
      <c r="J18" s="224" t="str">
        <f>IF(G18&lt;=0,"------",IF(I18*Espesor!E$4/Espesor!H$4&lt;0.002,0.002,I18*Espesor!E$4/Espesor!H$4))</f>
        <v>------</v>
      </c>
      <c r="K18" s="227" t="str">
        <f>+IF(F18&lt;=0,"------",ROUND(J18*(H18-Espesor!L$4)*100,2))</f>
        <v>------</v>
      </c>
      <c r="L18" s="228">
        <f t="shared" si="12"/>
        <v>0.375</v>
      </c>
      <c r="M18" s="496">
        <f>IF(F18&lt;=0,0.25,IF(K18="------",IF(2*(H18)/100&gt;0.25,0.25,2*(H18)/100),(TRUNC(IF(L18=3/8,IF(0.71/K18&gt;2*H18/100,2*H18/100,0.71/K18),IF(L18=1/2,IF(1.27/K18&gt;2*H18/100,2*H18/100,1.27/K18),IF(2.85/K18&gt;2*H18/100,2*H18/100,2.85/K18))),2))))</f>
        <v>0.25</v>
      </c>
      <c r="N18" s="267">
        <f t="shared" si="18"/>
        <v>0</v>
      </c>
      <c r="O18" s="490" t="str">
        <f>IF(D18="","",IF(Espesor!D$4&gt;=D18,IF(F18&gt;0,"",IF(F18=0,"Acero por retracción y temperatura","Acero por arriba y por abajo")),""))</f>
        <v>Acero por retracción y temperatura</v>
      </c>
    </row>
    <row r="19" spans="1:15" ht="23.25" customHeight="1">
      <c r="A19" s="213"/>
      <c r="B19" s="216">
        <f>+D18</f>
        <v>8</v>
      </c>
      <c r="C19" s="708"/>
      <c r="D19" s="692"/>
      <c r="E19" s="220" t="str">
        <f t="shared" ref="E19" si="21">+IF(D18="","","y")</f>
        <v>y</v>
      </c>
      <c r="F19" s="486">
        <f>IF(D18="",0,((MAX(LOOKUP(B19,Compesaciones!BE$203:CL$203,Compesaciones!BE$204:CL$204),LOOKUP(B19,Compesaciones!BE$221:CL$221,Compesaciones!BE$222:CL$222),LOOKUP(B19,Compesaciones!BE$238:CL$238,Compesaciones!BE$239:CL$239),LOOKUP(B19,Compesaciones!BE$255:CL$255,Compesaciones!BE$256:CL$256),LOOKUP(B19,Compesaciones!BE$273:CL$273,Compesaciones!BE$274:CL$274),LOOKUP(B19,Compesaciones!BE$290:CL$290,Compesaciones!BE$291:CL$291),LOOKUP(B19,Compesaciones!BE$308:CL$308,Compesaciones!BE$309:CL$309),LOOKUP(B19,Compesaciones!BE$325:CL$325,Compesaciones!BE$326:CL$326),LOOKUP(B19,Compesaciones!BE$343:CL$343,Compesaciones!BE$344:CL$344),LOOKUP(B19,Compesaciones!BE$361:CL$361,Compesaciones!BE$362:CL$362)))))*100000</f>
        <v>0</v>
      </c>
      <c r="G19" s="486">
        <f>IF(D18="",0,IF(F19=0,LOOKUP(D18,'Moms de Empt'!P$3:P$36,'Moms de Empt'!W$3:W$36),F19))</f>
        <v>0</v>
      </c>
      <c r="H19" s="712"/>
      <c r="I19" s="221" t="str">
        <f>IF(F19&lt;=0,"------",0.848-SQRT(0.719-F19/(0.53*100*(H18-Espesor!L$4)^2*Espesor!E$4)))</f>
        <v>------</v>
      </c>
      <c r="J19" s="221" t="str">
        <f>IF(F19&lt;=0,"------",IF(I19*Espesor!E$4/Espesor!H$4&lt;0.002,0.002,I19*Espesor!E$4/Espesor!H$4))</f>
        <v>------</v>
      </c>
      <c r="K19" s="222" t="str">
        <f>+IF(F19&lt;=0,"------",ROUND(J19*(H18-Espesor!L$4)*100,2))</f>
        <v>------</v>
      </c>
      <c r="L19" s="223">
        <f t="shared" si="12"/>
        <v>0.375</v>
      </c>
      <c r="M19" s="495">
        <f>IF(F19&lt;=0,0.25,IF(K19="------",IF(2*(H18)/100&gt;0.25,0.25,2*(H18)/100),(TRUNC(IF(L19=3/8,IF(0.71/K19&gt;2*H18/100,2*H18/100,0.71/K19),IF(L19=1/2,IF(1.27/K19&gt;2*H18/100,2*H18/100,1.27/K19),IF(2.85/K19&gt;2*H18/100,2*H18/100,2.85/K19))),2))))</f>
        <v>0.25</v>
      </c>
      <c r="N19" s="266">
        <f t="shared" si="18"/>
        <v>0</v>
      </c>
      <c r="O19" s="493" t="str">
        <f>IF(D18="","",IF(Espesor!D$4&gt;=D18,IF(F19&gt;0,"",IF(F19=0,"Acero por retracción y temperatura","Acero por arriba y por abajo")),""))</f>
        <v>Acero por retracción y temperatura</v>
      </c>
    </row>
    <row r="20" spans="1:15" ht="23.25" customHeight="1">
      <c r="A20" s="213">
        <f t="shared" ref="A20" si="22">+D20</f>
        <v>9</v>
      </c>
      <c r="B20" s="216"/>
      <c r="C20" s="707" t="str">
        <f>Espesor!B16</f>
        <v>Lt-</v>
      </c>
      <c r="D20" s="691">
        <f>Espesor!C16</f>
        <v>9</v>
      </c>
      <c r="E20" s="226" t="str">
        <f t="shared" ref="E20" si="23">+IF(D20="","","x")</f>
        <v>x</v>
      </c>
      <c r="F20" s="487">
        <f>IF(D20="",0,((MAX(LOOKUP(A20,Compesaciones!BE$27:CL$27,Compesaciones!BE$28:CL$28),LOOKUP(A20,Compesaciones!BE$45:CL$45,Compesaciones!BE$46:CL$46),LOOKUP(A20,Compesaciones!BE$62:CL$62,Compesaciones!BE$63:CL$63),LOOKUP(A20,Compesaciones!BE$79:CL$79,Compesaciones!BE$80:CL$80),LOOKUP(A20,Compesaciones!BE$97:CL$97,Compesaciones!BE$98:CL$98),LOOKUP(A20,Compesaciones!BE$114:CL$114,Compesaciones!BE$115:CL$115),LOOKUP(A20,Compesaciones!BE$132:CL$132,Compesaciones!BE$133:CL$133),LOOKUP(A20,Compesaciones!BE$149:CL$149,Compesaciones!BE$150:CL$150),LOOKUP(A20,Compesaciones!BE$167:CL$167,Compesaciones!BE$168:CL$168),LOOKUP(A20,Compesaciones!BE$185:CL$185,Compesaciones!BE$186:CL$186)))))*100000</f>
        <v>0</v>
      </c>
      <c r="G20" s="487">
        <f>IF(D20="",0,IF(F20=0,LOOKUP(D20,'Moms de Empt'!P$3:P$36,'Moms de Empt'!U$3:U$36),F20))</f>
        <v>0</v>
      </c>
      <c r="H20" s="711" t="str">
        <f>Espesor!O16</f>
        <v/>
      </c>
      <c r="I20" s="488" t="str">
        <f>IF(G20&lt;=0,"------",0.848-SQRT(0.719-G20/(0.53*100*(H20-Espesor!L$4)^2*Espesor!E$4)))</f>
        <v>------</v>
      </c>
      <c r="J20" s="224" t="str">
        <f>IF(G20&lt;=0,"------",IF(I20*Espesor!E$4/Espesor!H$4&lt;0.002,0.002,I20*Espesor!E$4/Espesor!H$4))</f>
        <v>------</v>
      </c>
      <c r="K20" s="227" t="str">
        <f>+IF(F20&lt;=0,"------",ROUND(J20*(H20-Espesor!L$4)*100,2))</f>
        <v>------</v>
      </c>
      <c r="L20" s="228">
        <f t="shared" si="12"/>
        <v>0.375</v>
      </c>
      <c r="M20" s="496">
        <f>IF(F20&lt;=0,0.25,IF(K20="------",IF(2*(H20)/100&gt;0.25,0.25,2*(H20)/100),(TRUNC(IF(L20=3/8,IF(0.71/K20&gt;2*H20/100,2*H20/100,0.71/K20),IF(L20=1/2,IF(1.27/K20&gt;2*H20/100,2*H20/100,1.27/K20),IF(2.85/K20&gt;2*H20/100,2*H20/100,2.85/K20))),2))))</f>
        <v>0.25</v>
      </c>
      <c r="N20" s="267">
        <f t="shared" si="18"/>
        <v>0</v>
      </c>
      <c r="O20" s="490" t="str">
        <f>IF(D20="","",IF(Espesor!D$4&gt;=D20,IF(F20&gt;0,"",IF(F20=0,"Acero por retracción y temperatura","Acero por arriba y por abajo")),""))</f>
        <v>Acero por retracción y temperatura</v>
      </c>
    </row>
    <row r="21" spans="1:15" ht="23.25" customHeight="1">
      <c r="A21" s="213"/>
      <c r="B21" s="216"/>
      <c r="C21" s="708"/>
      <c r="D21" s="692"/>
      <c r="E21" s="220" t="str">
        <f t="shared" ref="E21" si="24">+IF(D20="","","y")</f>
        <v>y</v>
      </c>
      <c r="F21" s="486" t="e">
        <f>IF(D20="",0,((MAX(LOOKUP(B21,Compesaciones!BE$203:CL$203,Compesaciones!BE$204:CL$204),LOOKUP(B21,Compesaciones!BE$221:CL$221,Compesaciones!BE$222:CL$222),LOOKUP(B21,Compesaciones!BE$238:CL$238,Compesaciones!BE$239:CL$239),LOOKUP(B21,Compesaciones!BE$255:CL$255,Compesaciones!BE$256:CL$256),LOOKUP(B21,Compesaciones!BE$273:CL$273,Compesaciones!BE$274:CL$274),LOOKUP(B21,Compesaciones!BE$290:CL$290,Compesaciones!BE$291:CL$291),LOOKUP(B21,Compesaciones!BE$308:CL$308,Compesaciones!BE$309:CL$309),LOOKUP(B21,Compesaciones!BE$325:CL$325,Compesaciones!BE$326:CL$326),LOOKUP(B21,Compesaciones!BE$343:CL$343,Compesaciones!BE$344:CL$344),LOOKUP(B21,Compesaciones!BE$361:CL$361,Compesaciones!BE$362:CL$362)))))*100000</f>
        <v>#N/A</v>
      </c>
      <c r="G21" s="486" t="e">
        <f>IF(D20="",0,IF(F21=0,LOOKUP(D20,'Moms de Empt'!P$3:P$36,'Moms de Empt'!W$3:W$36),F21))</f>
        <v>#N/A</v>
      </c>
      <c r="H21" s="712"/>
      <c r="I21" s="221" t="e">
        <f>IF(F21&lt;=0,"------",0.848-SQRT(0.719-F21/(0.53*100*(H20-Espesor!L$4)^2*Espesor!E$4)))</f>
        <v>#N/A</v>
      </c>
      <c r="J21" s="221" t="e">
        <f>IF(F21&lt;=0,"------",IF(I21*Espesor!E$4/Espesor!H$4&lt;0.002,0.002,I21*Espesor!E$4/Espesor!H$4))</f>
        <v>#N/A</v>
      </c>
      <c r="K21" s="222" t="e">
        <f>+IF(F21&lt;=0,"------",ROUND(J21*(H20-Espesor!L$4)*100,2))</f>
        <v>#N/A</v>
      </c>
      <c r="L21" s="223" t="e">
        <f t="shared" si="12"/>
        <v>#N/A</v>
      </c>
      <c r="M21" s="495" t="e">
        <f>IF(F21&lt;=0,0.25,IF(K21="------",IF(2*(H20)/100&gt;0.25,0.25,2*(H20)/100),(TRUNC(IF(L21=3/8,IF(0.71/K21&gt;2*H20/100,2*H20/100,0.71/K21),IF(L21=1/2,IF(1.27/K21&gt;2*H20/100,2*H20/100,1.27/K21),IF(2.85/K21&gt;2*H20/100,2*H20/100,2.85/K21))),2))))</f>
        <v>#N/A</v>
      </c>
      <c r="N21" s="266" t="e">
        <f t="shared" si="18"/>
        <v>#N/A</v>
      </c>
      <c r="O21" s="493" t="e">
        <f>IF(D20="","",IF(Espesor!D$4&gt;=D20,IF(F21&gt;0,"",IF(F21=0,"Acero por retracción y temperatura","Acero por arriba y por abajo")),""))</f>
        <v>#N/A</v>
      </c>
    </row>
    <row r="22" spans="1:15" ht="23.25" customHeight="1">
      <c r="A22" s="213">
        <f t="shared" ref="A22" si="25">+D22</f>
        <v>10</v>
      </c>
      <c r="B22" s="216"/>
      <c r="C22" s="707" t="str">
        <f>Espesor!B17</f>
        <v>Lt-</v>
      </c>
      <c r="D22" s="691">
        <f>Espesor!C17</f>
        <v>10</v>
      </c>
      <c r="E22" s="226" t="str">
        <f t="shared" ref="E22" si="26">+IF(D22="","","x")</f>
        <v>x</v>
      </c>
      <c r="F22" s="487">
        <f>IF(D22="",0,((MAX(LOOKUP(A22,Compesaciones!BE$27:CL$27,Compesaciones!BE$28:CL$28),LOOKUP(A22,Compesaciones!BE$45:CL$45,Compesaciones!BE$46:CL$46),LOOKUP(A22,Compesaciones!BE$62:CL$62,Compesaciones!BE$63:CL$63),LOOKUP(A22,Compesaciones!BE$79:CL$79,Compesaciones!BE$80:CL$80),LOOKUP(A22,Compesaciones!BE$97:CL$97,Compesaciones!BE$98:CL$98),LOOKUP(A22,Compesaciones!BE$114:CL$114,Compesaciones!BE$115:CL$115),LOOKUP(A22,Compesaciones!BE$132:CL$132,Compesaciones!BE$133:CL$133),LOOKUP(A22,Compesaciones!BE$149:CL$149,Compesaciones!BE$150:CL$150),LOOKUP(A22,Compesaciones!BE$167:CL$167,Compesaciones!BE$168:CL$168),LOOKUP(A22,Compesaciones!BE$185:CL$185,Compesaciones!BE$186:CL$186)))))*100000</f>
        <v>0</v>
      </c>
      <c r="G22" s="487">
        <f>IF(D22="",0,IF(F22=0,LOOKUP(D22,'Moms de Empt'!P$3:P$36,'Moms de Empt'!U$3:U$36),F22))</f>
        <v>0</v>
      </c>
      <c r="H22" s="711" t="str">
        <f>Espesor!O17</f>
        <v/>
      </c>
      <c r="I22" s="488" t="str">
        <f>IF(G22&lt;=0,"------",0.848-SQRT(0.719-G22/(0.53*100*(H22-Espesor!L$4)^2*Espesor!E$4)))</f>
        <v>------</v>
      </c>
      <c r="J22" s="224" t="str">
        <f>IF(G22&lt;=0,"------",IF(I22*Espesor!E$4/Espesor!H$4&lt;0.002,0.002,I22*Espesor!E$4/Espesor!H$4))</f>
        <v>------</v>
      </c>
      <c r="K22" s="227" t="str">
        <f>+IF(F22&lt;=0,"------",ROUND(J22*(H22-Espesor!L$4)*100,2))</f>
        <v>------</v>
      </c>
      <c r="L22" s="228">
        <f t="shared" si="12"/>
        <v>0.375</v>
      </c>
      <c r="M22" s="496">
        <f>IF(F22&lt;=0,0.25,IF(K22="------",IF(2*(H22)/100&gt;0.25,0.25,2*(H22)/100),(TRUNC(IF(L22=3/8,IF(0.71/K22&gt;2*H22/100,2*H22/100,0.71/K22),IF(L22=1/2,IF(1.27/K22&gt;2*H22/100,2*H22/100,1.27/K22),IF(2.85/K22&gt;2*H22/100,2*H22/100,2.85/K22))),2))))</f>
        <v>0.25</v>
      </c>
      <c r="N22" s="267">
        <f t="shared" si="18"/>
        <v>0</v>
      </c>
      <c r="O22" s="490" t="str">
        <f>IF(D22="","",IF(Espesor!D$4&gt;=D22,IF(F22&gt;0,"",IF(F22=0,"Acero por retracción y temperatura","Acero por arriba y por abajo")),""))</f>
        <v>Acero por retracción y temperatura</v>
      </c>
    </row>
    <row r="23" spans="1:15" ht="23.25" customHeight="1">
      <c r="A23" s="213"/>
      <c r="B23" s="216"/>
      <c r="C23" s="708"/>
      <c r="D23" s="692"/>
      <c r="E23" s="220" t="str">
        <f t="shared" ref="E23" si="27">+IF(D22="","","y")</f>
        <v>y</v>
      </c>
      <c r="F23" s="486" t="e">
        <f>IF(D22="",0,((MAX(LOOKUP(B23,Compesaciones!BE$203:CL$203,Compesaciones!BE$204:CL$204),LOOKUP(B23,Compesaciones!BE$221:CL$221,Compesaciones!BE$222:CL$222),LOOKUP(B23,Compesaciones!BE$238:CL$238,Compesaciones!BE$239:CL$239),LOOKUP(B23,Compesaciones!BE$255:CL$255,Compesaciones!BE$256:CL$256),LOOKUP(B23,Compesaciones!BE$273:CL$273,Compesaciones!BE$274:CL$274),LOOKUP(B23,Compesaciones!BE$290:CL$290,Compesaciones!BE$291:CL$291),LOOKUP(B23,Compesaciones!BE$308:CL$308,Compesaciones!BE$309:CL$309),LOOKUP(B23,Compesaciones!BE$325:CL$325,Compesaciones!BE$326:CL$326),LOOKUP(B23,Compesaciones!BE$343:CL$343,Compesaciones!BE$344:CL$344),LOOKUP(B23,Compesaciones!BE$361:CL$361,Compesaciones!BE$362:CL$362)))))*100000</f>
        <v>#N/A</v>
      </c>
      <c r="G23" s="486" t="e">
        <f>IF(D22="",0,IF(F23=0,LOOKUP(D22,'Moms de Empt'!P$3:P$36,'Moms de Empt'!W$3:W$36),F23))</f>
        <v>#N/A</v>
      </c>
      <c r="H23" s="712"/>
      <c r="I23" s="221" t="e">
        <f>IF(F23&lt;=0,"------",0.848-SQRT(0.719-F23/(0.53*100*(H22-Espesor!L$4)^2*Espesor!E$4)))</f>
        <v>#N/A</v>
      </c>
      <c r="J23" s="221" t="e">
        <f>IF(F23&lt;=0,"------",IF(I23*Espesor!E$4/Espesor!H$4&lt;0.002,0.002,I23*Espesor!E$4/Espesor!H$4))</f>
        <v>#N/A</v>
      </c>
      <c r="K23" s="222" t="e">
        <f>+IF(F23&lt;=0,"------",ROUND(J23*(H22-Espesor!L$4)*100,2))</f>
        <v>#N/A</v>
      </c>
      <c r="L23" s="223" t="e">
        <f t="shared" si="12"/>
        <v>#N/A</v>
      </c>
      <c r="M23" s="495" t="e">
        <f>IF(F23&lt;=0,0.25,IF(K23="------",IF(2*(H22)/100&gt;0.25,0.25,2*(H22)/100),(TRUNC(IF(L23=3/8,IF(0.71/K23&gt;2*H22/100,2*H22/100,0.71/K23),IF(L23=1/2,IF(1.27/K23&gt;2*H22/100,2*H22/100,1.27/K23),IF(2.85/K23&gt;2*H22/100,2*H22/100,2.85/K23))),2))))</f>
        <v>#N/A</v>
      </c>
      <c r="N23" s="266" t="e">
        <f t="shared" si="18"/>
        <v>#N/A</v>
      </c>
      <c r="O23" s="493" t="e">
        <f>IF(D22="","",IF(Espesor!D$4&gt;=D22,IF(F23&gt;0,"",IF(F23=0,"Acero por retracción y temperatura","Acero por arriba y por abajo")),""))</f>
        <v>#N/A</v>
      </c>
    </row>
    <row r="24" spans="1:15" ht="23.25" customHeight="1">
      <c r="A24" s="213">
        <f t="shared" ref="A24" si="28">+D24</f>
        <v>11</v>
      </c>
      <c r="B24" s="216"/>
      <c r="C24" s="707" t="str">
        <f>Espesor!B18</f>
        <v>Lt-</v>
      </c>
      <c r="D24" s="691">
        <f>Espesor!C18</f>
        <v>11</v>
      </c>
      <c r="E24" s="226" t="str">
        <f t="shared" ref="E24" si="29">+IF(D24="","","x")</f>
        <v>x</v>
      </c>
      <c r="F24" s="487">
        <f>IF(D24="",0,((MAX(LOOKUP(A24,Compesaciones!BE$27:CL$27,Compesaciones!BE$28:CL$28),LOOKUP(A24,Compesaciones!BE$45:CL$45,Compesaciones!BE$46:CL$46),LOOKUP(A24,Compesaciones!BE$62:CL$62,Compesaciones!BE$63:CL$63),LOOKUP(A24,Compesaciones!BE$79:CL$79,Compesaciones!BE$80:CL$80),LOOKUP(A24,Compesaciones!BE$97:CL$97,Compesaciones!BE$98:CL$98),LOOKUP(A24,Compesaciones!BE$114:CL$114,Compesaciones!BE$115:CL$115),LOOKUP(A24,Compesaciones!BE$132:CL$132,Compesaciones!BE$133:CL$133),LOOKUP(A24,Compesaciones!BE$149:CL$149,Compesaciones!BE$150:CL$150),LOOKUP(A24,Compesaciones!BE$167:CL$167,Compesaciones!BE$168:CL$168),LOOKUP(A24,Compesaciones!BE$185:CL$185,Compesaciones!BE$186:CL$186)))))*100000</f>
        <v>0</v>
      </c>
      <c r="G24" s="487">
        <f>IF(D24="",0,IF(F24=0,LOOKUP(D24,'Moms de Empt'!P$3:P$36,'Moms de Empt'!U$3:U$36),F24))</f>
        <v>0</v>
      </c>
      <c r="H24" s="711" t="str">
        <f>Espesor!O18</f>
        <v/>
      </c>
      <c r="I24" s="488" t="str">
        <f>IF(G24&lt;=0,"------",0.848-SQRT(0.719-G24/(0.53*100*(H24-Espesor!L$4)^2*Espesor!E$4)))</f>
        <v>------</v>
      </c>
      <c r="J24" s="224" t="str">
        <f>IF(G24&lt;=0,"------",IF(I24*Espesor!E$4/Espesor!H$4&lt;0.002,0.002,I24*Espesor!E$4/Espesor!H$4))</f>
        <v>------</v>
      </c>
      <c r="K24" s="227" t="str">
        <f>+IF(F24&lt;=0,"------",ROUND(J24*(H24-Espesor!L$4)*100,2))</f>
        <v>------</v>
      </c>
      <c r="L24" s="228">
        <f t="shared" si="12"/>
        <v>0.375</v>
      </c>
      <c r="M24" s="496">
        <f>IF(F24&lt;=0,0.25,IF(K24="------",IF(2*(H24)/100&gt;0.25,0.25,2*(H24)/100),(TRUNC(IF(L24=3/8,IF(0.71/K24&gt;2*H24/100,2*H24/100,0.71/K24),IF(L24=1/2,IF(1.27/K24&gt;2*H24/100,2*H24/100,1.27/K24),IF(2.85/K24&gt;2*H24/100,2*H24/100,2.85/K24))),2))))</f>
        <v>0.25</v>
      </c>
      <c r="N24" s="267">
        <f t="shared" si="18"/>
        <v>0</v>
      </c>
      <c r="O24" s="490" t="str">
        <f>IF(D24="","",IF(Espesor!D$4&gt;=D24,IF(F24&gt;0,"",IF(F24=0,"Acero por retracción y temperatura","Acero por arriba y por abajo")),""))</f>
        <v>Acero por retracción y temperatura</v>
      </c>
    </row>
    <row r="25" spans="1:15" ht="23.25" customHeight="1">
      <c r="A25" s="213"/>
      <c r="B25" s="216"/>
      <c r="C25" s="708"/>
      <c r="D25" s="692"/>
      <c r="E25" s="220" t="str">
        <f t="shared" ref="E25" si="30">+IF(D24="","","y")</f>
        <v>y</v>
      </c>
      <c r="F25" s="486" t="e">
        <f>IF(D24="",0,((MAX(LOOKUP(B25,Compesaciones!BE$203:CL$203,Compesaciones!BE$204:CL$204),LOOKUP(B25,Compesaciones!BE$221:CL$221,Compesaciones!BE$222:CL$222),LOOKUP(B25,Compesaciones!BE$238:CL$238,Compesaciones!BE$239:CL$239),LOOKUP(B25,Compesaciones!BE$255:CL$255,Compesaciones!BE$256:CL$256),LOOKUP(B25,Compesaciones!BE$273:CL$273,Compesaciones!BE$274:CL$274),LOOKUP(B25,Compesaciones!BE$290:CL$290,Compesaciones!BE$291:CL$291),LOOKUP(B25,Compesaciones!BE$308:CL$308,Compesaciones!BE$309:CL$309),LOOKUP(B25,Compesaciones!BE$325:CL$325,Compesaciones!BE$326:CL$326),LOOKUP(B25,Compesaciones!BE$343:CL$343,Compesaciones!BE$344:CL$344),LOOKUP(B25,Compesaciones!BE$361:CL$361,Compesaciones!BE$362:CL$362)))))*100000</f>
        <v>#N/A</v>
      </c>
      <c r="G25" s="486" t="e">
        <f>IF(D24="",0,IF(F25=0,LOOKUP(D24,'Moms de Empt'!P$3:P$36,'Moms de Empt'!W$3:W$36),F25))</f>
        <v>#N/A</v>
      </c>
      <c r="H25" s="712"/>
      <c r="I25" s="221" t="e">
        <f>IF(F25&lt;=0,"------",0.848-SQRT(0.719-F25/(0.53*100*(H24-Espesor!L$4)^2*Espesor!E$4)))</f>
        <v>#N/A</v>
      </c>
      <c r="J25" s="221" t="e">
        <f>IF(F25&lt;=0,"------",IF(I25*Espesor!E$4/Espesor!H$4&lt;0.002,0.002,I25*Espesor!E$4/Espesor!H$4))</f>
        <v>#N/A</v>
      </c>
      <c r="K25" s="222" t="e">
        <f>+IF(F25&lt;=0,"------",ROUND(J25*(H24-Espesor!L$4)*100,2))</f>
        <v>#N/A</v>
      </c>
      <c r="L25" s="223" t="e">
        <f t="shared" si="12"/>
        <v>#N/A</v>
      </c>
      <c r="M25" s="495" t="e">
        <f>IF(F25&lt;=0,0.25,IF(K25="------",IF(2*(H24)/100&gt;0.25,0.25,2*(H24)/100),(TRUNC(IF(L25=3/8,IF(0.71/K25&gt;2*H24/100,2*H24/100,0.71/K25),IF(L25=1/2,IF(1.27/K25&gt;2*H24/100,2*H24/100,1.27/K25),IF(2.85/K25&gt;2*H24/100,2*H24/100,2.85/K25))),2))))</f>
        <v>#N/A</v>
      </c>
      <c r="N25" s="266" t="e">
        <f t="shared" si="18"/>
        <v>#N/A</v>
      </c>
      <c r="O25" s="493" t="e">
        <f>IF(D24="","",IF(Espesor!D$4&gt;=D24,IF(F25&gt;0,"",IF(F25=0,"Acero por retracción y temperatura","Acero por arriba y por abajo")),""))</f>
        <v>#N/A</v>
      </c>
    </row>
    <row r="26" spans="1:15" ht="23.25" customHeight="1">
      <c r="A26" s="213">
        <f t="shared" ref="A26" si="31">+D26</f>
        <v>12</v>
      </c>
      <c r="B26" s="216"/>
      <c r="C26" s="707" t="str">
        <f>Espesor!B19</f>
        <v>Lt-</v>
      </c>
      <c r="D26" s="691">
        <f>Espesor!C19</f>
        <v>12</v>
      </c>
      <c r="E26" s="226" t="str">
        <f t="shared" ref="E26" si="32">+IF(D26="","","x")</f>
        <v>x</v>
      </c>
      <c r="F26" s="487">
        <f>IF(D26="",0,((MAX(LOOKUP(A26,Compesaciones!BE$27:CL$27,Compesaciones!BE$28:CL$28),LOOKUP(A26,Compesaciones!BE$45:CL$45,Compesaciones!BE$46:CL$46),LOOKUP(A26,Compesaciones!BE$62:CL$62,Compesaciones!BE$63:CL$63),LOOKUP(A26,Compesaciones!BE$79:CL$79,Compesaciones!BE$80:CL$80),LOOKUP(A26,Compesaciones!BE$97:CL$97,Compesaciones!BE$98:CL$98),LOOKUP(A26,Compesaciones!BE$114:CL$114,Compesaciones!BE$115:CL$115),LOOKUP(A26,Compesaciones!BE$132:CL$132,Compesaciones!BE$133:CL$133),LOOKUP(A26,Compesaciones!BE$149:CL$149,Compesaciones!BE$150:CL$150),LOOKUP(A26,Compesaciones!BE$167:CL$167,Compesaciones!BE$168:CL$168),LOOKUP(A26,Compesaciones!BE$185:CL$185,Compesaciones!BE$186:CL$186)))))*100000</f>
        <v>0</v>
      </c>
      <c r="G26" s="487">
        <f>IF(D26="",0,IF(F26=0,LOOKUP(D26,'Moms de Empt'!P$3:P$36,'Moms de Empt'!U$3:U$36),F26))</f>
        <v>0</v>
      </c>
      <c r="H26" s="711" t="str">
        <f>Espesor!O19</f>
        <v/>
      </c>
      <c r="I26" s="488" t="str">
        <f>IF(G26&lt;=0,"------",0.848-SQRT(0.719-G26/(0.53*100*(H26-Espesor!L$4)^2*Espesor!E$4)))</f>
        <v>------</v>
      </c>
      <c r="J26" s="224" t="str">
        <f>IF(G26&lt;=0,"------",IF(I26*Espesor!E$4/Espesor!H$4&lt;0.002,0.002,I26*Espesor!E$4/Espesor!H$4))</f>
        <v>------</v>
      </c>
      <c r="K26" s="227" t="str">
        <f>+IF(F26&lt;=0,"------",ROUND(J26*(H26-Espesor!L$4)*100,2))</f>
        <v>------</v>
      </c>
      <c r="L26" s="228">
        <f t="shared" si="12"/>
        <v>0.375</v>
      </c>
      <c r="M26" s="496">
        <f>IF(F26&lt;=0,0.25,IF(K26="------",IF(2*(H26)/100&gt;0.25,0.25,2*(H26)/100),(TRUNC(IF(L26=3/8,IF(0.71/K26&gt;2*H26/100,2*H26/100,0.71/K26),IF(L26=1/2,IF(1.27/K26&gt;2*H26/100,2*H26/100,1.27/K26),IF(2.85/K26&gt;2*H26/100,2*H26/100,2.85/K26))),2))))</f>
        <v>0.25</v>
      </c>
      <c r="N26" s="267">
        <f t="shared" si="18"/>
        <v>0</v>
      </c>
      <c r="O26" s="490" t="str">
        <f>IF(D26="","",IF(Espesor!D$4&gt;=D26,IF(F26&gt;0,"",IF(F26=0,"Acero por retracción y temperatura","Acero por arriba y por abajo")),""))</f>
        <v>Acero por retracción y temperatura</v>
      </c>
    </row>
    <row r="27" spans="1:15" ht="23.25" customHeight="1">
      <c r="A27" s="213"/>
      <c r="B27" s="216"/>
      <c r="C27" s="708"/>
      <c r="D27" s="692"/>
      <c r="E27" s="220" t="str">
        <f t="shared" ref="E27" si="33">+IF(D26="","","y")</f>
        <v>y</v>
      </c>
      <c r="F27" s="486" t="e">
        <f>IF(D26="",0,((MAX(LOOKUP(B27,Compesaciones!BE$203:CL$203,Compesaciones!BE$204:CL$204),LOOKUP(B27,Compesaciones!BE$221:CL$221,Compesaciones!BE$222:CL$222),LOOKUP(B27,Compesaciones!BE$238:CL$238,Compesaciones!BE$239:CL$239),LOOKUP(B27,Compesaciones!BE$255:CL$255,Compesaciones!BE$256:CL$256),LOOKUP(B27,Compesaciones!BE$273:CL$273,Compesaciones!BE$274:CL$274),LOOKUP(B27,Compesaciones!BE$290:CL$290,Compesaciones!BE$291:CL$291),LOOKUP(B27,Compesaciones!BE$308:CL$308,Compesaciones!BE$309:CL$309),LOOKUP(B27,Compesaciones!BE$325:CL$325,Compesaciones!BE$326:CL$326),LOOKUP(B27,Compesaciones!BE$343:CL$343,Compesaciones!BE$344:CL$344),LOOKUP(B27,Compesaciones!BE$361:CL$361,Compesaciones!BE$362:CL$362)))))*100000</f>
        <v>#N/A</v>
      </c>
      <c r="G27" s="486" t="e">
        <f>IF(D26="",0,IF(F27=0,LOOKUP(D26,'Moms de Empt'!P$3:P$36,'Moms de Empt'!W$3:W$36),F27))</f>
        <v>#N/A</v>
      </c>
      <c r="H27" s="712"/>
      <c r="I27" s="221" t="e">
        <f>IF(F27&lt;=0,"------",0.848-SQRT(0.719-F27/(0.53*100*(H26-Espesor!L$4)^2*Espesor!E$4)))</f>
        <v>#N/A</v>
      </c>
      <c r="J27" s="221" t="e">
        <f>IF(F27&lt;=0,"------",IF(I27*Espesor!E$4/Espesor!H$4&lt;0.002,0.002,I27*Espesor!E$4/Espesor!H$4))</f>
        <v>#N/A</v>
      </c>
      <c r="K27" s="222" t="e">
        <f>+IF(F27&lt;=0,"------",ROUND(J27*(H26-Espesor!L$4)*100,2))</f>
        <v>#N/A</v>
      </c>
      <c r="L27" s="223" t="e">
        <f t="shared" si="12"/>
        <v>#N/A</v>
      </c>
      <c r="M27" s="495" t="e">
        <f>IF(F27&lt;=0,0.25,IF(K27="------",IF(2*(H26)/100&gt;0.25,0.25,2*(H26)/100),(TRUNC(IF(L27=3/8,IF(0.71/K27&gt;2*H26/100,2*H26/100,0.71/K27),IF(L27=1/2,IF(1.27/K27&gt;2*H26/100,2*H26/100,1.27/K27),IF(2.85/K27&gt;2*H26/100,2*H26/100,2.85/K27))),2))))</f>
        <v>#N/A</v>
      </c>
      <c r="N27" s="266" t="e">
        <f t="shared" si="18"/>
        <v>#N/A</v>
      </c>
      <c r="O27" s="493" t="e">
        <f>IF(D26="","",IF(Espesor!D$4&gt;=D26,IF(F27&gt;0,"",IF(F27=0,"Acero por retracción y temperatura","Acero por arriba y por abajo")),""))</f>
        <v>#N/A</v>
      </c>
    </row>
    <row r="28" spans="1:15" ht="23.25" customHeight="1">
      <c r="A28" s="213">
        <f t="shared" ref="A28" si="34">+D28</f>
        <v>13</v>
      </c>
      <c r="B28" s="216"/>
      <c r="C28" s="707" t="str">
        <f>Espesor!B20</f>
        <v>Lt-</v>
      </c>
      <c r="D28" s="691">
        <f>Espesor!C20</f>
        <v>13</v>
      </c>
      <c r="E28" s="226" t="str">
        <f t="shared" ref="E28" si="35">+IF(D28="","","x")</f>
        <v>x</v>
      </c>
      <c r="F28" s="487">
        <f>IF(D28="",0,((MAX(LOOKUP(A28,Compesaciones!BE$27:CL$27,Compesaciones!BE$28:CL$28),LOOKUP(A28,Compesaciones!BE$45:CL$45,Compesaciones!BE$46:CL$46),LOOKUP(A28,Compesaciones!BE$62:CL$62,Compesaciones!BE$63:CL$63),LOOKUP(A28,Compesaciones!BE$79:CL$79,Compesaciones!BE$80:CL$80),LOOKUP(A28,Compesaciones!BE$97:CL$97,Compesaciones!BE$98:CL$98),LOOKUP(A28,Compesaciones!BE$114:CL$114,Compesaciones!BE$115:CL$115),LOOKUP(A28,Compesaciones!BE$132:CL$132,Compesaciones!BE$133:CL$133),LOOKUP(A28,Compesaciones!BE$149:CL$149,Compesaciones!BE$150:CL$150),LOOKUP(A28,Compesaciones!BE$167:CL$167,Compesaciones!BE$168:CL$168),LOOKUP(A28,Compesaciones!BE$185:CL$185,Compesaciones!BE$186:CL$186)))))*100000</f>
        <v>0</v>
      </c>
      <c r="G28" s="487">
        <f>IF(D28="",0,IF(F28=0,LOOKUP(D28,'Moms de Empt'!P$3:P$36,'Moms de Empt'!U$3:U$36),F28))</f>
        <v>0</v>
      </c>
      <c r="H28" s="711" t="str">
        <f>Espesor!O20</f>
        <v/>
      </c>
      <c r="I28" s="488" t="str">
        <f>IF(G28&lt;=0,"------",0.848-SQRT(0.719-G28/(0.53*100*(H28-Espesor!L$4)^2*Espesor!E$4)))</f>
        <v>------</v>
      </c>
      <c r="J28" s="224" t="str">
        <f>IF(G28&lt;=0,"------",IF(I28*Espesor!E$4/Espesor!H$4&lt;0.002,0.002,I28*Espesor!E$4/Espesor!H$4))</f>
        <v>------</v>
      </c>
      <c r="K28" s="227" t="str">
        <f>+IF(F28&lt;=0,"------",ROUND(J28*(H28-Espesor!L$4)*100,2))</f>
        <v>------</v>
      </c>
      <c r="L28" s="228">
        <f t="shared" si="12"/>
        <v>0.375</v>
      </c>
      <c r="M28" s="496">
        <f>IF(F28&lt;=0,0.25,IF(K28="------",IF(2*(H28)/100&gt;0.25,0.25,2*(H28)/100),(TRUNC(IF(L28=3/8,IF(0.71/K28&gt;2*H28/100,2*H28/100,0.71/K28),IF(L28=1/2,IF(1.27/K28&gt;2*H28/100,2*H28/100,1.27/K28),IF(2.85/K28&gt;2*H28/100,2*H28/100,2.85/K28))),2))))</f>
        <v>0.25</v>
      </c>
      <c r="N28" s="267">
        <f t="shared" si="18"/>
        <v>0</v>
      </c>
      <c r="O28" s="490" t="str">
        <f>IF(D28="","",IF(Espesor!D$4&gt;=D28,IF(F28&gt;0,"",IF(F28=0,"Acero por retracción y temperatura","Acero por arriba y por abajo")),""))</f>
        <v>Acero por retracción y temperatura</v>
      </c>
    </row>
    <row r="29" spans="1:15" ht="23.25" customHeight="1">
      <c r="A29" s="213"/>
      <c r="B29" s="216">
        <f t="shared" ref="B29" si="36">+D28</f>
        <v>13</v>
      </c>
      <c r="C29" s="708"/>
      <c r="D29" s="692"/>
      <c r="E29" s="220" t="str">
        <f t="shared" ref="E29" si="37">+IF(D28="","","y")</f>
        <v>y</v>
      </c>
      <c r="F29" s="486">
        <f>IF(D28="",0,((MAX(LOOKUP(B29,Compesaciones!BE$203:CL$203,Compesaciones!BE$204:CL$204),LOOKUP(B29,Compesaciones!BE$221:CL$221,Compesaciones!BE$222:CL$222),LOOKUP(B29,Compesaciones!BE$238:CL$238,Compesaciones!BE$239:CL$239),LOOKUP(B29,Compesaciones!BE$255:CL$255,Compesaciones!BE$256:CL$256),LOOKUP(B29,Compesaciones!BE$273:CL$273,Compesaciones!BE$274:CL$274),LOOKUP(B29,Compesaciones!BE$290:CL$290,Compesaciones!BE$291:CL$291),LOOKUP(B29,Compesaciones!BE$308:CL$308,Compesaciones!BE$309:CL$309),LOOKUP(B29,Compesaciones!BE$325:CL$325,Compesaciones!BE$326:CL$326),LOOKUP(B29,Compesaciones!BE$343:CL$343,Compesaciones!BE$344:CL$344),LOOKUP(B29,Compesaciones!BE$361:CL$361,Compesaciones!BE$362:CL$362)))))*100000</f>
        <v>0</v>
      </c>
      <c r="G29" s="486">
        <f>IF(D28="",0,IF(F29=0,LOOKUP(D28,'Moms de Empt'!P$3:P$36,'Moms de Empt'!W$3:W$36),F29))</f>
        <v>0</v>
      </c>
      <c r="H29" s="712"/>
      <c r="I29" s="221" t="str">
        <f>IF(F29&lt;=0,"------",0.848-SQRT(0.719-F29/(0.53*100*(H28-Espesor!L$4)^2*Espesor!E$4)))</f>
        <v>------</v>
      </c>
      <c r="J29" s="221" t="str">
        <f>IF(F29&lt;=0,"------",IF(I29*Espesor!E$4/Espesor!H$4&lt;0.002,0.002,I29*Espesor!E$4/Espesor!H$4))</f>
        <v>------</v>
      </c>
      <c r="K29" s="222" t="str">
        <f>+IF(F29&lt;=0,"------",ROUND(J29*(H28-Espesor!L$4)*100,2))</f>
        <v>------</v>
      </c>
      <c r="L29" s="223">
        <f t="shared" si="12"/>
        <v>0.375</v>
      </c>
      <c r="M29" s="495">
        <f>IF(F29&lt;=0,0.25,IF(K29="------",IF(2*(H28)/100&gt;0.25,0.25,2*(H28)/100),(TRUNC(IF(L29=3/8,IF(0.71/K29&gt;2*H28/100,2*H28/100,0.71/K29),IF(L29=1/2,IF(1.27/K29&gt;2*H28/100,2*H28/100,1.27/K29),IF(2.85/K29&gt;2*H28/100,2*H28/100,2.85/K29))),2))))</f>
        <v>0.25</v>
      </c>
      <c r="N29" s="266">
        <f t="shared" si="18"/>
        <v>0</v>
      </c>
      <c r="O29" s="493" t="str">
        <f>IF(D28="","",IF(Espesor!D$4&gt;=D28,IF(F29&gt;0,"",IF(F29=0,"Acero por retracción y temperatura","Acero por arriba y por abajo")),""))</f>
        <v>Acero por retracción y temperatura</v>
      </c>
    </row>
    <row r="30" spans="1:15" ht="23.25" customHeight="1">
      <c r="A30" s="213">
        <f t="shared" ref="A30" si="38">+D30</f>
        <v>14</v>
      </c>
      <c r="B30" s="216"/>
      <c r="C30" s="707" t="str">
        <f>Espesor!B21</f>
        <v>Lt-</v>
      </c>
      <c r="D30" s="691">
        <f>Espesor!C21</f>
        <v>14</v>
      </c>
      <c r="E30" s="226" t="str">
        <f t="shared" ref="E30" si="39">+IF(D30="","","x")</f>
        <v>x</v>
      </c>
      <c r="F30" s="487">
        <f>IF(D30="",0,((MAX(LOOKUP(A30,Compesaciones!BE$27:CL$27,Compesaciones!BE$28:CL$28),LOOKUP(A30,Compesaciones!BE$45:CL$45,Compesaciones!BE$46:CL$46),LOOKUP(A30,Compesaciones!BE$62:CL$62,Compesaciones!BE$63:CL$63),LOOKUP(A30,Compesaciones!BE$79:CL$79,Compesaciones!BE$80:CL$80),LOOKUP(A30,Compesaciones!BE$97:CL$97,Compesaciones!BE$98:CL$98),LOOKUP(A30,Compesaciones!BE$114:CL$114,Compesaciones!BE$115:CL$115),LOOKUP(A30,Compesaciones!BE$132:CL$132,Compesaciones!BE$133:CL$133),LOOKUP(A30,Compesaciones!BE$149:CL$149,Compesaciones!BE$150:CL$150),LOOKUP(A30,Compesaciones!BE$167:CL$167,Compesaciones!BE$168:CL$168),LOOKUP(A30,Compesaciones!BE$185:CL$185,Compesaciones!BE$186:CL$186)))))*100000</f>
        <v>0</v>
      </c>
      <c r="G30" s="487">
        <f>IF(D30="",0,IF(F30=0,LOOKUP(D30,'Moms de Empt'!P$3:P$36,'Moms de Empt'!U$3:U$36),F30))</f>
        <v>0</v>
      </c>
      <c r="H30" s="711" t="str">
        <f>Espesor!O21</f>
        <v/>
      </c>
      <c r="I30" s="488" t="str">
        <f>IF(G30&lt;=0,"------",0.848-SQRT(0.719-G30/(0.53*100*(H30-Espesor!L$4)^2*Espesor!E$4)))</f>
        <v>------</v>
      </c>
      <c r="J30" s="224" t="str">
        <f>IF(G30&lt;=0,"------",IF(I30*Espesor!E$4/Espesor!H$4&lt;0.002,0.002,I30*Espesor!E$4/Espesor!H$4))</f>
        <v>------</v>
      </c>
      <c r="K30" s="227" t="str">
        <f>+IF(F30&lt;=0,"------",ROUND(J30*(H30-Espesor!L$4)*100,2))</f>
        <v>------</v>
      </c>
      <c r="L30" s="228">
        <f t="shared" si="12"/>
        <v>0.375</v>
      </c>
      <c r="M30" s="496">
        <f>IF(F30&lt;=0,0.25,IF(K30="------",IF(2*(H30)/100&gt;0.25,0.25,2*(H30)/100),(TRUNC(IF(L30=3/8,IF(0.71/K30&gt;2*H30/100,2*H30/100,0.71/K30),IF(L30=1/2,IF(1.27/K30&gt;2*H30/100,2*H30/100,1.27/K30),IF(2.85/K30&gt;2*H30/100,2*H30/100,2.85/K30))),2))))</f>
        <v>0.25</v>
      </c>
      <c r="N30" s="267">
        <f t="shared" si="18"/>
        <v>0</v>
      </c>
      <c r="O30" s="490" t="str">
        <f>IF(D30="","",IF(Espesor!D$4&gt;=D30,IF(F30&gt;0,"",IF(F30=0,"Acero por retracción y temperatura","Acero por arriba y por abajo")),""))</f>
        <v>Acero por retracción y temperatura</v>
      </c>
    </row>
    <row r="31" spans="1:15" ht="23.25" customHeight="1">
      <c r="A31" s="213"/>
      <c r="B31" s="216">
        <f>+D30</f>
        <v>14</v>
      </c>
      <c r="C31" s="708"/>
      <c r="D31" s="692"/>
      <c r="E31" s="220" t="str">
        <f t="shared" ref="E31" si="40">+IF(D30="","","y")</f>
        <v>y</v>
      </c>
      <c r="F31" s="486">
        <f>IF(D30="",0,((MAX(LOOKUP(B31,Compesaciones!BE$203:CL$203,Compesaciones!BE$204:CL$204),LOOKUP(B31,Compesaciones!BE$221:CL$221,Compesaciones!BE$222:CL$222),LOOKUP(B31,Compesaciones!BE$238:CL$238,Compesaciones!BE$239:CL$239),LOOKUP(B31,Compesaciones!BE$255:CL$255,Compesaciones!BE$256:CL$256),LOOKUP(B31,Compesaciones!BE$273:CL$273,Compesaciones!BE$274:CL$274),LOOKUP(B31,Compesaciones!BE$290:CL$290,Compesaciones!BE$291:CL$291),LOOKUP(B31,Compesaciones!BE$308:CL$308,Compesaciones!BE$309:CL$309),LOOKUP(B31,Compesaciones!BE$325:CL$325,Compesaciones!BE$326:CL$326),LOOKUP(B31,Compesaciones!BE$343:CL$343,Compesaciones!BE$344:CL$344),LOOKUP(B31,Compesaciones!BE$361:CL$361,Compesaciones!BE$362:CL$362)))))*100000</f>
        <v>0</v>
      </c>
      <c r="G31" s="486">
        <f>IF(D30="",0,IF(F31=0,LOOKUP(D30,'Moms de Empt'!P$3:P$36,'Moms de Empt'!W$3:W$36),F31))</f>
        <v>0</v>
      </c>
      <c r="H31" s="712"/>
      <c r="I31" s="221" t="str">
        <f>IF(F31&lt;=0,"------",0.848-SQRT(0.719-F31/(0.53*100*(H30-Espesor!L$4)^2*Espesor!E$4)))</f>
        <v>------</v>
      </c>
      <c r="J31" s="221" t="str">
        <f>IF(F31&lt;=0,"------",IF(I31*Espesor!E$4/Espesor!H$4&lt;0.002,0.002,I31*Espesor!E$4/Espesor!H$4))</f>
        <v>------</v>
      </c>
      <c r="K31" s="222" t="str">
        <f>+IF(F31&lt;=0,"------",ROUND(J31*(H30-Espesor!L$4)*100,2))</f>
        <v>------</v>
      </c>
      <c r="L31" s="223">
        <f t="shared" si="12"/>
        <v>0.375</v>
      </c>
      <c r="M31" s="495">
        <f>IF(F31&lt;=0,0.25,IF(K31="------",IF(2*(H30)/100&gt;0.25,0.25,2*(H30)/100),(TRUNC(IF(L31=3/8,IF(0.71/K31&gt;2*H30/100,2*H30/100,0.71/K31),IF(L31=1/2,IF(1.27/K31&gt;2*H30/100,2*H30/100,1.27/K31),IF(2.85/K31&gt;2*H30/100,2*H30/100,2.85/K31))),2))))</f>
        <v>0.25</v>
      </c>
      <c r="N31" s="266">
        <f t="shared" si="18"/>
        <v>0</v>
      </c>
      <c r="O31" s="493" t="str">
        <f>IF(D30="","",IF(Espesor!D$4&gt;=D30,IF(F31&gt;0,"",IF(F31=0,"Acero por retracción y temperatura","Acero por arriba y por abajo")),""))</f>
        <v>Acero por retracción y temperatura</v>
      </c>
    </row>
    <row r="32" spans="1:15" ht="23.25" customHeight="1">
      <c r="A32" s="213">
        <f t="shared" ref="A32" si="41">+D32</f>
        <v>15</v>
      </c>
      <c r="B32" s="216"/>
      <c r="C32" s="707" t="str">
        <f>Espesor!B22</f>
        <v>Lt-</v>
      </c>
      <c r="D32" s="691">
        <f>Espesor!C22</f>
        <v>15</v>
      </c>
      <c r="E32" s="226" t="str">
        <f t="shared" ref="E32" si="42">+IF(D32="","","x")</f>
        <v>x</v>
      </c>
      <c r="F32" s="487">
        <f>IF(D32="",0,((MAX(LOOKUP(A32,Compesaciones!BE$27:CL$27,Compesaciones!BE$28:CL$28),LOOKUP(A32,Compesaciones!BE$45:CL$45,Compesaciones!BE$46:CL$46),LOOKUP(A32,Compesaciones!BE$62:CL$62,Compesaciones!BE$63:CL$63),LOOKUP(A32,Compesaciones!BE$79:CL$79,Compesaciones!BE$80:CL$80),LOOKUP(A32,Compesaciones!BE$97:CL$97,Compesaciones!BE$98:CL$98),LOOKUP(A32,Compesaciones!BE$114:CL$114,Compesaciones!BE$115:CL$115),LOOKUP(A32,Compesaciones!BE$132:CL$132,Compesaciones!BE$133:CL$133),LOOKUP(A32,Compesaciones!BE$149:CL$149,Compesaciones!BE$150:CL$150),LOOKUP(A32,Compesaciones!BE$167:CL$167,Compesaciones!BE$168:CL$168),LOOKUP(A32,Compesaciones!BE$185:CL$185,Compesaciones!BE$186:CL$186)))))*100000</f>
        <v>0</v>
      </c>
      <c r="G32" s="487">
        <f>IF(D32="",0,IF(F32=0,LOOKUP(D32,'Moms de Empt'!P$3:P$36,'Moms de Empt'!U$3:U$36),F32))</f>
        <v>0</v>
      </c>
      <c r="H32" s="711" t="str">
        <f>Espesor!O22</f>
        <v/>
      </c>
      <c r="I32" s="488" t="str">
        <f>IF(G32&lt;=0,"------",0.848-SQRT(0.719-G32/(0.53*100*(H32-Espesor!L$4)^2*Espesor!E$4)))</f>
        <v>------</v>
      </c>
      <c r="J32" s="224" t="str">
        <f>IF(G32&lt;=0,"------",IF(I32*Espesor!E$4/Espesor!H$4&lt;0.002,0.002,I32*Espesor!E$4/Espesor!H$4))</f>
        <v>------</v>
      </c>
      <c r="K32" s="227" t="str">
        <f>+IF(F32&lt;=0,"------",ROUND(J32*(H32-Espesor!L$4)*100,2))</f>
        <v>------</v>
      </c>
      <c r="L32" s="228">
        <f t="shared" si="12"/>
        <v>0.375</v>
      </c>
      <c r="M32" s="496">
        <f>IF(F32&lt;=0,0.25,IF(K32="------",IF(2*(H32)/100&gt;0.25,0.25,2*(H32)/100),(TRUNC(IF(L32=3/8,IF(0.71/K32&gt;2*H32/100,2*H32/100,0.71/K32),IF(L32=1/2,IF(1.27/K32&gt;2*H32/100,2*H32/100,1.27/K32),IF(2.85/K32&gt;2*H32/100,2*H32/100,2.85/K32))),2))))</f>
        <v>0.25</v>
      </c>
      <c r="N32" s="267">
        <f t="shared" si="18"/>
        <v>0</v>
      </c>
      <c r="O32" s="490" t="str">
        <f>IF(D32="","",IF(Espesor!D$4&gt;=D32,IF(F32&gt;0,"",IF(F32=0,"Acero por retracción y temperatura","Acero por arriba y por abajo")),""))</f>
        <v>Acero por retracción y temperatura</v>
      </c>
    </row>
    <row r="33" spans="1:15" ht="23.25" customHeight="1">
      <c r="A33" s="213"/>
      <c r="B33" s="216">
        <f t="shared" ref="B33" si="43">+D32</f>
        <v>15</v>
      </c>
      <c r="C33" s="708"/>
      <c r="D33" s="692"/>
      <c r="E33" s="220" t="str">
        <f t="shared" ref="E33" si="44">+IF(D32="","","y")</f>
        <v>y</v>
      </c>
      <c r="F33" s="486">
        <f>IF(D32="",0,((MAX(LOOKUP(B33,Compesaciones!BE$203:CL$203,Compesaciones!BE$204:CL$204),LOOKUP(B33,Compesaciones!BE$221:CL$221,Compesaciones!BE$222:CL$222),LOOKUP(B33,Compesaciones!BE$238:CL$238,Compesaciones!BE$239:CL$239),LOOKUP(B33,Compesaciones!BE$255:CL$255,Compesaciones!BE$256:CL$256),LOOKUP(B33,Compesaciones!BE$273:CL$273,Compesaciones!BE$274:CL$274),LOOKUP(B33,Compesaciones!BE$290:CL$290,Compesaciones!BE$291:CL$291),LOOKUP(B33,Compesaciones!BE$308:CL$308,Compesaciones!BE$309:CL$309),LOOKUP(B33,Compesaciones!BE$325:CL$325,Compesaciones!BE$326:CL$326),LOOKUP(B33,Compesaciones!BE$343:CL$343,Compesaciones!BE$344:CL$344),LOOKUP(B33,Compesaciones!BE$361:CL$361,Compesaciones!BE$362:CL$362)))))*100000</f>
        <v>0</v>
      </c>
      <c r="G33" s="486">
        <f>IF(D32="",0,IF(F33=0,LOOKUP(D32,'Moms de Empt'!P$3:P$36,'Moms de Empt'!W$3:W$36),F33))</f>
        <v>0</v>
      </c>
      <c r="H33" s="712"/>
      <c r="I33" s="221" t="str">
        <f>IF(F33&lt;=0,"------",0.848-SQRT(0.719-F33/(0.53*100*(H32-Espesor!L$4)^2*Espesor!E$4)))</f>
        <v>------</v>
      </c>
      <c r="J33" s="221" t="str">
        <f>IF(F33&lt;=0,"------",IF(I33*Espesor!E$4/Espesor!H$4&lt;0.002,0.002,I33*Espesor!E$4/Espesor!H$4))</f>
        <v>------</v>
      </c>
      <c r="K33" s="222" t="str">
        <f>+IF(F33&lt;=0,"------",ROUND(J33*(H32-Espesor!L$4)*100,2))</f>
        <v>------</v>
      </c>
      <c r="L33" s="223">
        <f t="shared" si="12"/>
        <v>0.375</v>
      </c>
      <c r="M33" s="495">
        <f>IF(F33&lt;=0,0.25,IF(K33="------",IF(2*(H32)/100&gt;0.25,0.25,2*(H32)/100),(TRUNC(IF(L33=3/8,IF(0.71/K33&gt;2*H32/100,2*H32/100,0.71/K33),IF(L33=1/2,IF(1.27/K33&gt;2*H32/100,2*H32/100,1.27/K33),IF(2.85/K33&gt;2*H32/100,2*H32/100,2.85/K33))),2))))</f>
        <v>0.25</v>
      </c>
      <c r="N33" s="266">
        <f t="shared" si="18"/>
        <v>0</v>
      </c>
      <c r="O33" s="493" t="str">
        <f>IF(D32="","",IF(Espesor!D$4&gt;=D32,IF(F33&gt;0,"",IF(F33=0,"Acero por retracción y temperatura","Acero por arriba y por abajo")),""))</f>
        <v>Acero por retracción y temperatura</v>
      </c>
    </row>
    <row r="34" spans="1:15" ht="23.25" customHeight="1">
      <c r="A34" s="213">
        <f t="shared" ref="A34" si="45">+D34</f>
        <v>16</v>
      </c>
      <c r="B34" s="216"/>
      <c r="C34" s="707" t="str">
        <f>Espesor!B23</f>
        <v>Lt-</v>
      </c>
      <c r="D34" s="691">
        <f>Espesor!C23</f>
        <v>16</v>
      </c>
      <c r="E34" s="226" t="str">
        <f t="shared" ref="E34" si="46">+IF(D34="","","x")</f>
        <v>x</v>
      </c>
      <c r="F34" s="487">
        <f>IF(D34="",0,((MAX(LOOKUP(A34,Compesaciones!BE$27:CL$27,Compesaciones!BE$28:CL$28),LOOKUP(A34,Compesaciones!BE$45:CL$45,Compesaciones!BE$46:CL$46),LOOKUP(A34,Compesaciones!BE$62:CL$62,Compesaciones!BE$63:CL$63),LOOKUP(A34,Compesaciones!BE$79:CL$79,Compesaciones!BE$80:CL$80),LOOKUP(A34,Compesaciones!BE$97:CL$97,Compesaciones!BE$98:CL$98),LOOKUP(A34,Compesaciones!BE$114:CL$114,Compesaciones!BE$115:CL$115),LOOKUP(A34,Compesaciones!BE$132:CL$132,Compesaciones!BE$133:CL$133),LOOKUP(A34,Compesaciones!BE$149:CL$149,Compesaciones!BE$150:CL$150),LOOKUP(A34,Compesaciones!BE$167:CL$167,Compesaciones!BE$168:CL$168),LOOKUP(A34,Compesaciones!BE$185:CL$185,Compesaciones!BE$186:CL$186)))))*100000</f>
        <v>0</v>
      </c>
      <c r="G34" s="487">
        <f>IF(D34="",0,IF(F34=0,LOOKUP(D34,'Moms de Empt'!P$3:P$36,'Moms de Empt'!U$3:U$36),F34))</f>
        <v>0</v>
      </c>
      <c r="H34" s="711" t="str">
        <f>Espesor!O23</f>
        <v/>
      </c>
      <c r="I34" s="488" t="str">
        <f>IF(G34&lt;=0,"------",0.848-SQRT(0.719-G34/(0.53*100*(H34-Espesor!L$4)^2*Espesor!E$4)))</f>
        <v>------</v>
      </c>
      <c r="J34" s="224" t="str">
        <f>IF(G34&lt;=0,"------",IF(I34*Espesor!E$4/Espesor!H$4&lt;0.002,0.002,I34*Espesor!E$4/Espesor!H$4))</f>
        <v>------</v>
      </c>
      <c r="K34" s="227" t="str">
        <f>+IF(F34&lt;=0,"------",ROUND(J34*(H34-Espesor!L$4)*100,2))</f>
        <v>------</v>
      </c>
      <c r="L34" s="228">
        <f t="shared" si="12"/>
        <v>0.375</v>
      </c>
      <c r="M34" s="496">
        <f>IF(F34&lt;=0,0.25,IF(K34="------",IF(2*(H34)/100&gt;0.25,0.25,2*(H34)/100),(TRUNC(IF(L34=3/8,IF(0.71/K34&gt;2*H34/100,2*H34/100,0.71/K34),IF(L34=1/2,IF(1.27/K34&gt;2*H34/100,2*H34/100,1.27/K34),IF(2.85/K34&gt;2*H34/100,2*H34/100,2.85/K34))),2))))</f>
        <v>0.25</v>
      </c>
      <c r="N34" s="267">
        <f t="shared" si="18"/>
        <v>0</v>
      </c>
      <c r="O34" s="490" t="str">
        <f>IF(D34="","",IF(Espesor!D$4&gt;=D34,IF(F34&gt;0,"",IF(F34=0,"Acero por retracción y temperatura","Acero por arriba y por abajo")),""))</f>
        <v>Acero por retracción y temperatura</v>
      </c>
    </row>
    <row r="35" spans="1:15" ht="23.25" customHeight="1">
      <c r="A35" s="213"/>
      <c r="B35" s="216">
        <f t="shared" ref="B35" si="47">+D34</f>
        <v>16</v>
      </c>
      <c r="C35" s="708"/>
      <c r="D35" s="692"/>
      <c r="E35" s="220" t="str">
        <f t="shared" ref="E35" si="48">+IF(D34="","","y")</f>
        <v>y</v>
      </c>
      <c r="F35" s="486">
        <f>IF(D34="",0,((MAX(LOOKUP(B35,Compesaciones!BE$203:CL$203,Compesaciones!BE$204:CL$204),LOOKUP(B35,Compesaciones!BE$221:CL$221,Compesaciones!BE$222:CL$222),LOOKUP(B35,Compesaciones!BE$238:CL$238,Compesaciones!BE$239:CL$239),LOOKUP(B35,Compesaciones!BE$255:CL$255,Compesaciones!BE$256:CL$256),LOOKUP(B35,Compesaciones!BE$273:CL$273,Compesaciones!BE$274:CL$274),LOOKUP(B35,Compesaciones!BE$290:CL$290,Compesaciones!BE$291:CL$291),LOOKUP(B35,Compesaciones!BE$308:CL$308,Compesaciones!BE$309:CL$309),LOOKUP(B35,Compesaciones!BE$325:CL$325,Compesaciones!BE$326:CL$326),LOOKUP(B35,Compesaciones!BE$343:CL$343,Compesaciones!BE$344:CL$344),LOOKUP(B35,Compesaciones!BE$361:CL$361,Compesaciones!BE$362:CL$362)))))*100000</f>
        <v>0</v>
      </c>
      <c r="G35" s="486">
        <f>IF(D34="",0,IF(F35=0,LOOKUP(D34,'Moms de Empt'!P$3:P$36,'Moms de Empt'!W$3:W$36),F35))</f>
        <v>0</v>
      </c>
      <c r="H35" s="712"/>
      <c r="I35" s="221" t="str">
        <f>IF(F35&lt;=0,"------",0.848-SQRT(0.719-F35/(0.53*100*(H34-Espesor!L$4)^2*Espesor!E$4)))</f>
        <v>------</v>
      </c>
      <c r="J35" s="221" t="str">
        <f>IF(F35&lt;=0,"------",IF(I35*Espesor!E$4/Espesor!H$4&lt;0.002,0.002,I35*Espesor!E$4/Espesor!H$4))</f>
        <v>------</v>
      </c>
      <c r="K35" s="222" t="str">
        <f>+IF(F35&lt;=0,"------",ROUND(J35*(H34-Espesor!L$4)*100,2))</f>
        <v>------</v>
      </c>
      <c r="L35" s="223">
        <f t="shared" si="12"/>
        <v>0.375</v>
      </c>
      <c r="M35" s="495">
        <f>IF(F35&lt;=0,0.25,IF(K35="------",IF(2*(H34)/100&gt;0.25,0.25,2*(H34)/100),(TRUNC(IF(L35=3/8,IF(0.71/K35&gt;2*H34/100,2*H34/100,0.71/K35),IF(L35=1/2,IF(1.27/K35&gt;2*H34/100,2*H34/100,1.27/K35),IF(2.85/K35&gt;2*H34/100,2*H34/100,2.85/K35))),2))))</f>
        <v>0.25</v>
      </c>
      <c r="N35" s="266">
        <f t="shared" si="18"/>
        <v>0</v>
      </c>
      <c r="O35" s="493" t="str">
        <f>IF(D34="","",IF(Espesor!D$4&gt;=D34,IF(F35&gt;0,"",IF(F35=0,"Acero por retracción y temperatura","Acero por arriba y por abajo")),""))</f>
        <v>Acero por retracción y temperatura</v>
      </c>
    </row>
    <row r="36" spans="1:15" ht="23.25" customHeight="1">
      <c r="A36" s="213">
        <f t="shared" ref="A36" si="49">+D36</f>
        <v>17</v>
      </c>
      <c r="B36" s="216"/>
      <c r="C36" s="707" t="str">
        <f>Espesor!B24</f>
        <v>Lt-</v>
      </c>
      <c r="D36" s="691">
        <f>Espesor!C24</f>
        <v>17</v>
      </c>
      <c r="E36" s="226" t="str">
        <f t="shared" ref="E36" si="50">+IF(D36="","","x")</f>
        <v>x</v>
      </c>
      <c r="F36" s="487">
        <f>IF(D36="",0,((MAX(LOOKUP(A36,Compesaciones!BE$27:CL$27,Compesaciones!BE$28:CL$28),LOOKUP(A36,Compesaciones!BE$45:CL$45,Compesaciones!BE$46:CL$46),LOOKUP(A36,Compesaciones!BE$62:CL$62,Compesaciones!BE$63:CL$63),LOOKUP(A36,Compesaciones!BE$79:CL$79,Compesaciones!BE$80:CL$80),LOOKUP(A36,Compesaciones!BE$97:CL$97,Compesaciones!BE$98:CL$98),LOOKUP(A36,Compesaciones!BE$114:CL$114,Compesaciones!BE$115:CL$115),LOOKUP(A36,Compesaciones!BE$132:CL$132,Compesaciones!BE$133:CL$133),LOOKUP(A36,Compesaciones!BE$149:CL$149,Compesaciones!BE$150:CL$150),LOOKUP(A36,Compesaciones!BE$167:CL$167,Compesaciones!BE$168:CL$168),LOOKUP(A36,Compesaciones!BE$185:CL$185,Compesaciones!BE$186:CL$186)))))*100000</f>
        <v>0</v>
      </c>
      <c r="G36" s="487">
        <f>IF(D36="",0,IF(F36=0,LOOKUP(D36,'Moms de Empt'!P$3:P$36,'Moms de Empt'!U$3:U$36),F36))</f>
        <v>0</v>
      </c>
      <c r="H36" s="711" t="str">
        <f>Espesor!O24</f>
        <v/>
      </c>
      <c r="I36" s="488" t="str">
        <f>IF(G36&lt;=0,"------",0.848-SQRT(0.719-G36/(0.53*100*(H36-Espesor!L$4)^2*Espesor!E$4)))</f>
        <v>------</v>
      </c>
      <c r="J36" s="224" t="str">
        <f>IF(G36&lt;=0,"------",IF(I36*Espesor!E$4/Espesor!H$4&lt;0.002,0.002,I36*Espesor!E$4/Espesor!H$4))</f>
        <v>------</v>
      </c>
      <c r="K36" s="227" t="str">
        <f>+IF(F36&lt;=0,"------",ROUND(J36*(H36-Espesor!L$4)*100,2))</f>
        <v>------</v>
      </c>
      <c r="L36" s="228">
        <f t="shared" si="12"/>
        <v>0.375</v>
      </c>
      <c r="M36" s="496">
        <f>IF(F36&lt;=0,0.25,IF(K36="------",IF(2*(H36)/100&gt;0.25,0.25,2*(H36)/100),(TRUNC(IF(L36=3/8,IF(0.71/K36&gt;2*H36/100,2*H36/100,0.71/K36),IF(L36=1/2,IF(1.27/K36&gt;2*H36/100,2*H36/100,1.27/K36),IF(2.85/K36&gt;2*H36/100,2*H36/100,2.85/K36))),2))))</f>
        <v>0.25</v>
      </c>
      <c r="N36" s="267">
        <f t="shared" si="18"/>
        <v>0</v>
      </c>
      <c r="O36" s="490" t="str">
        <f>IF(D36="","",IF(Espesor!D$4&gt;=D36,IF(F36&gt;0,"",IF(F36=0,"Acero por retracción y temperatura","Acero por arriba y por abajo")),""))</f>
        <v>Acero por retracción y temperatura</v>
      </c>
    </row>
    <row r="37" spans="1:15" ht="23.25" customHeight="1">
      <c r="A37" s="213"/>
      <c r="B37" s="216">
        <f>+D36</f>
        <v>17</v>
      </c>
      <c r="C37" s="708"/>
      <c r="D37" s="692"/>
      <c r="E37" s="220" t="str">
        <f t="shared" ref="E37" si="51">+IF(D36="","","y")</f>
        <v>y</v>
      </c>
      <c r="F37" s="486">
        <f>IF(D36="",0,((MAX(LOOKUP(B37,Compesaciones!BE$203:CL$203,Compesaciones!BE$204:CL$204),LOOKUP(B37,Compesaciones!BE$221:CL$221,Compesaciones!BE$222:CL$222),LOOKUP(B37,Compesaciones!BE$238:CL$238,Compesaciones!BE$239:CL$239),LOOKUP(B37,Compesaciones!BE$255:CL$255,Compesaciones!BE$256:CL$256),LOOKUP(B37,Compesaciones!BE$273:CL$273,Compesaciones!BE$274:CL$274),LOOKUP(B37,Compesaciones!BE$290:CL$290,Compesaciones!BE$291:CL$291),LOOKUP(B37,Compesaciones!BE$308:CL$308,Compesaciones!BE$309:CL$309),LOOKUP(B37,Compesaciones!BE$325:CL$325,Compesaciones!BE$326:CL$326),LOOKUP(B37,Compesaciones!BE$343:CL$343,Compesaciones!BE$344:CL$344),LOOKUP(B37,Compesaciones!BE$361:CL$361,Compesaciones!BE$362:CL$362)))))*100000</f>
        <v>0</v>
      </c>
      <c r="G37" s="486">
        <f>IF(D36="",0,IF(F37=0,LOOKUP(D36,'Moms de Empt'!P$3:P$36,'Moms de Empt'!W$3:W$36),F37))</f>
        <v>0</v>
      </c>
      <c r="H37" s="712"/>
      <c r="I37" s="221" t="str">
        <f>IF(F37&lt;=0,"------",0.848-SQRT(0.719-F37/(0.53*100*(H36-Espesor!L$4)^2*Espesor!E$4)))</f>
        <v>------</v>
      </c>
      <c r="J37" s="221" t="str">
        <f>IF(F37&lt;=0,"------",IF(I37*Espesor!E$4/Espesor!H$4&lt;0.002,0.002,I37*Espesor!E$4/Espesor!H$4))</f>
        <v>------</v>
      </c>
      <c r="K37" s="222" t="str">
        <f>+IF(F37&lt;=0,"------",ROUND(J37*(H36-Espesor!L$4)*100,2))</f>
        <v>------</v>
      </c>
      <c r="L37" s="223">
        <f t="shared" si="12"/>
        <v>0.375</v>
      </c>
      <c r="M37" s="495">
        <f>IF(F37&lt;=0,0.25,IF(K37="------",IF(2*(H36)/100&gt;0.25,0.25,2*(H36)/100),(TRUNC(IF(L37=3/8,IF(0.71/K37&gt;2*H36/100,2*H36/100,0.71/K37),IF(L37=1/2,IF(1.27/K37&gt;2*H36/100,2*H36/100,1.27/K37),IF(2.85/K37&gt;2*H36/100,2*H36/100,2.85/K37))),2))))</f>
        <v>0.25</v>
      </c>
      <c r="N37" s="266">
        <f t="shared" si="18"/>
        <v>0</v>
      </c>
      <c r="O37" s="493" t="str">
        <f>IF(D36="","",IF(Espesor!D$4&gt;=D36,IF(F37&gt;0,"",IF(F37=0,"Acero por retracción y temperatura","Acero por arriba y por abajo")),""))</f>
        <v>Acero por retracción y temperatura</v>
      </c>
    </row>
    <row r="38" spans="1:15" ht="23.25" customHeight="1">
      <c r="A38" s="213">
        <f t="shared" ref="A38" si="52">+D38</f>
        <v>18</v>
      </c>
      <c r="B38" s="216"/>
      <c r="C38" s="707" t="str">
        <f>Espesor!B25</f>
        <v>Lt-</v>
      </c>
      <c r="D38" s="691">
        <f>Espesor!C25</f>
        <v>18</v>
      </c>
      <c r="E38" s="226" t="str">
        <f t="shared" ref="E38" si="53">+IF(D38="","","x")</f>
        <v>x</v>
      </c>
      <c r="F38" s="487">
        <f>IF(D38="",0,((MAX(LOOKUP(A38,Compesaciones!BE$27:CL$27,Compesaciones!BE$28:CL$28),LOOKUP(A38,Compesaciones!BE$45:CL$45,Compesaciones!BE$46:CL$46),LOOKUP(A38,Compesaciones!BE$62:CL$62,Compesaciones!BE$63:CL$63),LOOKUP(A38,Compesaciones!BE$79:CL$79,Compesaciones!BE$80:CL$80),LOOKUP(A38,Compesaciones!BE$97:CL$97,Compesaciones!BE$98:CL$98),LOOKUP(A38,Compesaciones!BE$114:CL$114,Compesaciones!BE$115:CL$115),LOOKUP(A38,Compesaciones!BE$132:CL$132,Compesaciones!BE$133:CL$133),LOOKUP(A38,Compesaciones!BE$149:CL$149,Compesaciones!BE$150:CL$150),LOOKUP(A38,Compesaciones!BE$167:CL$167,Compesaciones!BE$168:CL$168),LOOKUP(A38,Compesaciones!BE$185:CL$185,Compesaciones!BE$186:CL$186)))))*100000</f>
        <v>0</v>
      </c>
      <c r="G38" s="487">
        <f>IF(D38="",0,IF(F38=0,LOOKUP(D38,'Moms de Empt'!P$3:P$36,'Moms de Empt'!U$3:U$36),F38))</f>
        <v>0</v>
      </c>
      <c r="H38" s="711" t="str">
        <f>Espesor!O25</f>
        <v/>
      </c>
      <c r="I38" s="488" t="str">
        <f>IF(G38&lt;=0,"------",0.848-SQRT(0.719-G38/(0.53*100*(H38-Espesor!L$4)^2*Espesor!E$4)))</f>
        <v>------</v>
      </c>
      <c r="J38" s="224" t="str">
        <f>IF(G38&lt;=0,"------",IF(I38*Espesor!E$4/Espesor!H$4&lt;0.002,0.002,I38*Espesor!E$4/Espesor!H$4))</f>
        <v>------</v>
      </c>
      <c r="K38" s="227" t="str">
        <f>+IF(F38&lt;=0,"------",ROUND(J38*(H38-Espesor!L$4)*100,2))</f>
        <v>------</v>
      </c>
      <c r="L38" s="228">
        <f t="shared" si="12"/>
        <v>0.375</v>
      </c>
      <c r="M38" s="496">
        <f>IF(F38&lt;=0,0.25,IF(K38="------",IF(2*(H38)/100&gt;0.25,0.25,2*(H38)/100),(TRUNC(IF(L38=3/8,IF(0.71/K38&gt;2*H38/100,2*H38/100,0.71/K38),IF(L38=1/2,IF(1.27/K38&gt;2*H38/100,2*H38/100,1.27/K38),IF(2.85/K38&gt;2*H38/100,2*H38/100,2.85/K38))),2))))</f>
        <v>0.25</v>
      </c>
      <c r="N38" s="267">
        <f t="shared" si="18"/>
        <v>0</v>
      </c>
      <c r="O38" s="490" t="str">
        <f>IF(D38="","",IF(Espesor!D$4&gt;=D38,IF(F38&gt;0,"",IF(F38=0,"Acero por retracción y temperatura","Acero por arriba y por abajo")),""))</f>
        <v>Acero por retracción y temperatura</v>
      </c>
    </row>
    <row r="39" spans="1:15" ht="23.25" customHeight="1">
      <c r="A39" s="213"/>
      <c r="B39" s="216">
        <f t="shared" ref="B39" si="54">+D38</f>
        <v>18</v>
      </c>
      <c r="C39" s="708"/>
      <c r="D39" s="692"/>
      <c r="E39" s="220" t="str">
        <f t="shared" ref="E39" si="55">+IF(D38="","","y")</f>
        <v>y</v>
      </c>
      <c r="F39" s="486">
        <f>IF(D38="",0,((MAX(LOOKUP(B39,Compesaciones!BE$203:CL$203,Compesaciones!BE$204:CL$204),LOOKUP(B39,Compesaciones!BE$221:CL$221,Compesaciones!BE$222:CL$222),LOOKUP(B39,Compesaciones!BE$238:CL$238,Compesaciones!BE$239:CL$239),LOOKUP(B39,Compesaciones!BE$255:CL$255,Compesaciones!BE$256:CL$256),LOOKUP(B39,Compesaciones!BE$273:CL$273,Compesaciones!BE$274:CL$274),LOOKUP(B39,Compesaciones!BE$290:CL$290,Compesaciones!BE$291:CL$291),LOOKUP(B39,Compesaciones!BE$308:CL$308,Compesaciones!BE$309:CL$309),LOOKUP(B39,Compesaciones!BE$325:CL$325,Compesaciones!BE$326:CL$326),LOOKUP(B39,Compesaciones!BE$343:CL$343,Compesaciones!BE$344:CL$344),LOOKUP(B39,Compesaciones!BE$361:CL$361,Compesaciones!BE$362:CL$362)))))*100000</f>
        <v>0</v>
      </c>
      <c r="G39" s="486">
        <f>IF(D38="",0,IF(F39=0,LOOKUP(D38,'Moms de Empt'!P$3:P$36,'Moms de Empt'!W$3:W$36),F39))</f>
        <v>0</v>
      </c>
      <c r="H39" s="712"/>
      <c r="I39" s="221" t="str">
        <f>IF(F39&lt;=0,"------",0.848-SQRT(0.719-F39/(0.53*100*(H38-Espesor!L$4)^2*Espesor!E$4)))</f>
        <v>------</v>
      </c>
      <c r="J39" s="221" t="str">
        <f>IF(F39&lt;=0,"------",IF(I39*Espesor!E$4/Espesor!H$4&lt;0.002,0.002,I39*Espesor!E$4/Espesor!H$4))</f>
        <v>------</v>
      </c>
      <c r="K39" s="222" t="str">
        <f>+IF(F39&lt;=0,"------",ROUND(J39*(H38-Espesor!L$4)*100,2))</f>
        <v>------</v>
      </c>
      <c r="L39" s="223">
        <f t="shared" si="12"/>
        <v>0.375</v>
      </c>
      <c r="M39" s="495">
        <f>IF(F39&lt;=0,0.25,IF(K39="------",IF(2*(H38)/100&gt;0.25,0.25,2*(H38)/100),(TRUNC(IF(L39=3/8,IF(0.71/K39&gt;2*H38/100,2*H38/100,0.71/K39),IF(L39=1/2,IF(1.27/K39&gt;2*H38/100,2*H38/100,1.27/K39),IF(2.85/K39&gt;2*H38/100,2*H38/100,2.85/K39))),2))))</f>
        <v>0.25</v>
      </c>
      <c r="N39" s="266">
        <f t="shared" si="18"/>
        <v>0</v>
      </c>
      <c r="O39" s="493" t="str">
        <f>IF(D38="","",IF(Espesor!D$4&gt;=D38,IF(F39&gt;0,"",IF(F39=0,"Acero por retracción y temperatura","Acero por arriba y por abajo")),""))</f>
        <v>Acero por retracción y temperatura</v>
      </c>
    </row>
    <row r="40" spans="1:15" ht="23.25" customHeight="1">
      <c r="A40" s="213">
        <f t="shared" ref="A40" si="56">+D40</f>
        <v>19</v>
      </c>
      <c r="B40" s="216"/>
      <c r="C40" s="707" t="str">
        <f>Espesor!B26</f>
        <v>Lt-</v>
      </c>
      <c r="D40" s="691">
        <f>Espesor!C26</f>
        <v>19</v>
      </c>
      <c r="E40" s="226" t="str">
        <f t="shared" ref="E40" si="57">+IF(D40="","","x")</f>
        <v>x</v>
      </c>
      <c r="F40" s="487">
        <f>IF(D40="",0,((MAX(LOOKUP(A40,Compesaciones!BE$27:CL$27,Compesaciones!BE$28:CL$28),LOOKUP(A40,Compesaciones!BE$45:CL$45,Compesaciones!BE$46:CL$46),LOOKUP(A40,Compesaciones!BE$62:CL$62,Compesaciones!BE$63:CL$63),LOOKUP(A40,Compesaciones!BE$79:CL$79,Compesaciones!BE$80:CL$80),LOOKUP(A40,Compesaciones!BE$97:CL$97,Compesaciones!BE$98:CL$98),LOOKUP(A40,Compesaciones!BE$114:CL$114,Compesaciones!BE$115:CL$115),LOOKUP(A40,Compesaciones!BE$132:CL$132,Compesaciones!BE$133:CL$133),LOOKUP(A40,Compesaciones!BE$149:CL$149,Compesaciones!BE$150:CL$150),LOOKUP(A40,Compesaciones!BE$167:CL$167,Compesaciones!BE$168:CL$168),LOOKUP(A40,Compesaciones!BE$185:CL$185,Compesaciones!BE$186:CL$186)))))*100000</f>
        <v>0</v>
      </c>
      <c r="G40" s="487">
        <f>IF(D40="",0,IF(F40=0,LOOKUP(D40,'Moms de Empt'!P$3:P$36,'Moms de Empt'!U$3:U$36),F40))</f>
        <v>0</v>
      </c>
      <c r="H40" s="711" t="str">
        <f>Espesor!O26</f>
        <v/>
      </c>
      <c r="I40" s="488" t="str">
        <f>IF(G40&lt;=0,"------",0.848-SQRT(0.719-G40/(0.53*100*(H40-Espesor!L$4)^2*Espesor!E$4)))</f>
        <v>------</v>
      </c>
      <c r="J40" s="224" t="str">
        <f>IF(G40&lt;=0,"------",IF(I40*Espesor!E$4/Espesor!H$4&lt;0.002,0.002,I40*Espesor!E$4/Espesor!H$4))</f>
        <v>------</v>
      </c>
      <c r="K40" s="227" t="str">
        <f>+IF(F40&lt;=0,"------",ROUND(J40*(H40-Espesor!L$4)*100,2))</f>
        <v>------</v>
      </c>
      <c r="L40" s="228">
        <f t="shared" si="12"/>
        <v>0.375</v>
      </c>
      <c r="M40" s="496">
        <f>IF(F40&lt;=0,0.25,IF(K40="------",IF(2*(H40)/100&gt;0.25,0.25,2*(H40)/100),(TRUNC(IF(L40=3/8,IF(0.71/K40&gt;2*H40/100,2*H40/100,0.71/K40),IF(L40=1/2,IF(1.27/K40&gt;2*H40/100,2*H40/100,1.27/K40),IF(2.85/K40&gt;2*H40/100,2*H40/100,2.85/K40))),2))))</f>
        <v>0.25</v>
      </c>
      <c r="N40" s="267">
        <f t="shared" si="18"/>
        <v>0</v>
      </c>
      <c r="O40" s="490" t="str">
        <f>IF(D40="","",IF(Espesor!D$4&gt;=D40,IF(F40&gt;0,"",IF(F40=0,"Acero por retracción y temperatura","Acero por arriba y por abajo")),""))</f>
        <v>Acero por retracción y temperatura</v>
      </c>
    </row>
    <row r="41" spans="1:15" ht="23.25" customHeight="1">
      <c r="A41" s="213"/>
      <c r="B41" s="216">
        <f t="shared" ref="B41" si="58">+D40</f>
        <v>19</v>
      </c>
      <c r="C41" s="708"/>
      <c r="D41" s="692"/>
      <c r="E41" s="220" t="str">
        <f t="shared" ref="E41" si="59">+IF(D40="","","y")</f>
        <v>y</v>
      </c>
      <c r="F41" s="486">
        <f>IF(D40="",0,((MAX(LOOKUP(B41,Compesaciones!BE$203:CL$203,Compesaciones!BE$204:CL$204),LOOKUP(B41,Compesaciones!BE$221:CL$221,Compesaciones!BE$222:CL$222),LOOKUP(B41,Compesaciones!BE$238:CL$238,Compesaciones!BE$239:CL$239),LOOKUP(B41,Compesaciones!BE$255:CL$255,Compesaciones!BE$256:CL$256),LOOKUP(B41,Compesaciones!BE$273:CL$273,Compesaciones!BE$274:CL$274),LOOKUP(B41,Compesaciones!BE$290:CL$290,Compesaciones!BE$291:CL$291),LOOKUP(B41,Compesaciones!BE$308:CL$308,Compesaciones!BE$309:CL$309),LOOKUP(B41,Compesaciones!BE$325:CL$325,Compesaciones!BE$326:CL$326),LOOKUP(B41,Compesaciones!BE$343:CL$343,Compesaciones!BE$344:CL$344),LOOKUP(B41,Compesaciones!BE$361:CL$361,Compesaciones!BE$362:CL$362)))))*100000</f>
        <v>0</v>
      </c>
      <c r="G41" s="486">
        <f>IF(D40="",0,IF(F41=0,LOOKUP(D40,'Moms de Empt'!P$3:P$36,'Moms de Empt'!W$3:W$36),F41))</f>
        <v>0</v>
      </c>
      <c r="H41" s="712"/>
      <c r="I41" s="221" t="str">
        <f>IF(F41&lt;=0,"------",0.848-SQRT(0.719-F41/(0.53*100*(H40-Espesor!L$4)^2*Espesor!E$4)))</f>
        <v>------</v>
      </c>
      <c r="J41" s="221" t="str">
        <f>IF(F41&lt;=0,"------",IF(I41*Espesor!E$4/Espesor!H$4&lt;0.002,0.002,I41*Espesor!E$4/Espesor!H$4))</f>
        <v>------</v>
      </c>
      <c r="K41" s="222" t="str">
        <f>+IF(F41&lt;=0,"------",ROUND(J41*(H40-Espesor!L$4)*100,2))</f>
        <v>------</v>
      </c>
      <c r="L41" s="223">
        <f t="shared" si="12"/>
        <v>0.375</v>
      </c>
      <c r="M41" s="495">
        <f>IF(F41&lt;=0,0.25,IF(K41="------",IF(2*(H40)/100&gt;0.25,0.25,2*(H40)/100),(TRUNC(IF(L41=3/8,IF(0.71/K41&gt;2*H40/100,2*H40/100,0.71/K41),IF(L41=1/2,IF(1.27/K41&gt;2*H40/100,2*H40/100,1.27/K41),IF(2.85/K41&gt;2*H40/100,2*H40/100,2.85/K41))),2))))</f>
        <v>0.25</v>
      </c>
      <c r="N41" s="266">
        <f t="shared" si="18"/>
        <v>0</v>
      </c>
      <c r="O41" s="493" t="str">
        <f>IF(D40="","",IF(Espesor!D$4&gt;=D40,IF(F41&gt;0,"",IF(F41=0,"Acero por retracción y temperatura","Acero por arriba y por abajo")),""))</f>
        <v>Acero por retracción y temperatura</v>
      </c>
    </row>
    <row r="42" spans="1:15" ht="23.25" customHeight="1">
      <c r="A42" s="213">
        <f t="shared" ref="A42" si="60">+D42</f>
        <v>20</v>
      </c>
      <c r="B42" s="216"/>
      <c r="C42" s="707" t="str">
        <f>Espesor!B27</f>
        <v>Lt-</v>
      </c>
      <c r="D42" s="691">
        <f>Espesor!C27</f>
        <v>20</v>
      </c>
      <c r="E42" s="226" t="str">
        <f t="shared" ref="E42" si="61">+IF(D42="","","x")</f>
        <v>x</v>
      </c>
      <c r="F42" s="487">
        <f>IF(D42="",0,((MAX(LOOKUP(A42,Compesaciones!BE$27:CL$27,Compesaciones!BE$28:CL$28),LOOKUP(A42,Compesaciones!BE$45:CL$45,Compesaciones!BE$46:CL$46),LOOKUP(A42,Compesaciones!BE$62:CL$62,Compesaciones!BE$63:CL$63),LOOKUP(A42,Compesaciones!BE$79:CL$79,Compesaciones!BE$80:CL$80),LOOKUP(A42,Compesaciones!BE$97:CL$97,Compesaciones!BE$98:CL$98),LOOKUP(A42,Compesaciones!BE$114:CL$114,Compesaciones!BE$115:CL$115),LOOKUP(A42,Compesaciones!BE$132:CL$132,Compesaciones!BE$133:CL$133),LOOKUP(A42,Compesaciones!BE$149:CL$149,Compesaciones!BE$150:CL$150),LOOKUP(A42,Compesaciones!BE$167:CL$167,Compesaciones!BE$168:CL$168),LOOKUP(A42,Compesaciones!BE$185:CL$185,Compesaciones!BE$186:CL$186)))))*100000</f>
        <v>0</v>
      </c>
      <c r="G42" s="487">
        <f>IF(D42="",0,IF(F42=0,LOOKUP(D42,'Moms de Empt'!P$3:P$36,'Moms de Empt'!U$3:U$36),F42))</f>
        <v>0</v>
      </c>
      <c r="H42" s="711" t="str">
        <f>Espesor!O27</f>
        <v/>
      </c>
      <c r="I42" s="488" t="str">
        <f>IF(G42&lt;=0,"------",0.848-SQRT(0.719-G42/(0.53*100*(H42-Espesor!L$4)^2*Espesor!E$4)))</f>
        <v>------</v>
      </c>
      <c r="J42" s="224" t="str">
        <f>IF(G42&lt;=0,"------",IF(I42*Espesor!E$4/Espesor!H$4&lt;0.002,0.002,I42*Espesor!E$4/Espesor!H$4))</f>
        <v>------</v>
      </c>
      <c r="K42" s="227" t="str">
        <f>+IF(F42&lt;=0,"------",ROUND(J42*(H42-Espesor!L$4)*100,2))</f>
        <v>------</v>
      </c>
      <c r="L42" s="228">
        <f t="shared" si="12"/>
        <v>0.375</v>
      </c>
      <c r="M42" s="496">
        <f>IF(F42&lt;=0,0.25,IF(K42="------",IF(2*(H42)/100&gt;0.25,0.25,2*(H42)/100),(TRUNC(IF(L42=3/8,IF(0.71/K42&gt;2*H42/100,2*H42/100,0.71/K42),IF(L42=1/2,IF(1.27/K42&gt;2*H42/100,2*H42/100,1.27/K42),IF(2.85/K42&gt;2*H42/100,2*H42/100,2.85/K42))),2))))</f>
        <v>0.25</v>
      </c>
      <c r="N42" s="267">
        <f t="shared" si="18"/>
        <v>0</v>
      </c>
      <c r="O42" s="490" t="str">
        <f>IF(D42="","",IF(Espesor!D$4&gt;=D42,IF(F42&gt;0,"",IF(F42=0,"Acero por retracción y temperatura","Acero por arriba y por abajo")),""))</f>
        <v>Acero por retracción y temperatura</v>
      </c>
    </row>
    <row r="43" spans="1:15" ht="23.25" customHeight="1">
      <c r="A43" s="213"/>
      <c r="B43" s="216">
        <f>+D42</f>
        <v>20</v>
      </c>
      <c r="C43" s="708"/>
      <c r="D43" s="692"/>
      <c r="E43" s="220" t="str">
        <f t="shared" ref="E43" si="62">+IF(D42="","","y")</f>
        <v>y</v>
      </c>
      <c r="F43" s="486">
        <f>IF(D42="",0,((MAX(LOOKUP(B43,Compesaciones!BE$203:CL$203,Compesaciones!BE$204:CL$204),LOOKUP(B43,Compesaciones!BE$221:CL$221,Compesaciones!BE$222:CL$222),LOOKUP(B43,Compesaciones!BE$238:CL$238,Compesaciones!BE$239:CL$239),LOOKUP(B43,Compesaciones!BE$255:CL$255,Compesaciones!BE$256:CL$256),LOOKUP(B43,Compesaciones!BE$273:CL$273,Compesaciones!BE$274:CL$274),LOOKUP(B43,Compesaciones!BE$290:CL$290,Compesaciones!BE$291:CL$291),LOOKUP(B43,Compesaciones!BE$308:CL$308,Compesaciones!BE$309:CL$309),LOOKUP(B43,Compesaciones!BE$325:CL$325,Compesaciones!BE$326:CL$326),LOOKUP(B43,Compesaciones!BE$343:CL$343,Compesaciones!BE$344:CL$344),LOOKUP(B43,Compesaciones!BE$361:CL$361,Compesaciones!BE$362:CL$362)))))*100000</f>
        <v>0</v>
      </c>
      <c r="G43" s="486">
        <f>IF(D42="",0,IF(F43=0,LOOKUP(D42,'Moms de Empt'!P$3:P$36,'Moms de Empt'!W$3:W$36),F43))</f>
        <v>0</v>
      </c>
      <c r="H43" s="712"/>
      <c r="I43" s="221" t="str">
        <f>IF(F43&lt;=0,"------",0.848-SQRT(0.719-F43/(0.53*100*(H42-Espesor!L$4)^2*Espesor!E$4)))</f>
        <v>------</v>
      </c>
      <c r="J43" s="221" t="str">
        <f>IF(F43&lt;=0,"------",IF(I43*Espesor!E$4/Espesor!H$4&lt;0.002,0.002,I43*Espesor!E$4/Espesor!H$4))</f>
        <v>------</v>
      </c>
      <c r="K43" s="222" t="str">
        <f>+IF(F43&lt;=0,"------",ROUND(J43*(H42-Espesor!L$4)*100,2))</f>
        <v>------</v>
      </c>
      <c r="L43" s="223">
        <f t="shared" si="12"/>
        <v>0.375</v>
      </c>
      <c r="M43" s="495">
        <f>IF(F43&lt;=0,0.25,IF(K43="------",IF(2*(H42)/100&gt;0.25,0.25,2*(H42)/100),(TRUNC(IF(L43=3/8,IF(0.71/K43&gt;2*H42/100,2*H42/100,0.71/K43),IF(L43=1/2,IF(1.27/K43&gt;2*H42/100,2*H42/100,1.27/K43),IF(2.85/K43&gt;2*H42/100,2*H42/100,2.85/K43))),2))))</f>
        <v>0.25</v>
      </c>
      <c r="N43" s="266">
        <f t="shared" si="18"/>
        <v>0</v>
      </c>
      <c r="O43" s="493" t="str">
        <f>IF(D42="","",IF(Espesor!D$4&gt;=D42,IF(F43&gt;0,"",IF(F43=0,"Acero por retracción y temperatura","Acero por arriba y por abajo")),""))</f>
        <v>Acero por retracción y temperatura</v>
      </c>
    </row>
    <row r="44" spans="1:15" ht="23.25" customHeight="1">
      <c r="A44" s="213">
        <f t="shared" ref="A44" si="63">+D44</f>
        <v>21</v>
      </c>
      <c r="B44" s="216"/>
      <c r="C44" s="707" t="str">
        <f>Espesor!B28</f>
        <v>Lt-</v>
      </c>
      <c r="D44" s="691">
        <f>Espesor!C28</f>
        <v>21</v>
      </c>
      <c r="E44" s="226" t="str">
        <f t="shared" ref="E44" si="64">+IF(D44="","","x")</f>
        <v>x</v>
      </c>
      <c r="F44" s="487">
        <f>IF(D44="",0,((MAX(LOOKUP(A44,Compesaciones!BE$27:CL$27,Compesaciones!BE$28:CL$28),LOOKUP(A44,Compesaciones!BE$45:CL$45,Compesaciones!BE$46:CL$46),LOOKUP(A44,Compesaciones!BE$62:CL$62,Compesaciones!BE$63:CL$63),LOOKUP(A44,Compesaciones!BE$79:CL$79,Compesaciones!BE$80:CL$80),LOOKUP(A44,Compesaciones!BE$97:CL$97,Compesaciones!BE$98:CL$98),LOOKUP(A44,Compesaciones!BE$114:CL$114,Compesaciones!BE$115:CL$115),LOOKUP(A44,Compesaciones!BE$132:CL$132,Compesaciones!BE$133:CL$133),LOOKUP(A44,Compesaciones!BE$149:CL$149,Compesaciones!BE$150:CL$150),LOOKUP(A44,Compesaciones!BE$167:CL$167,Compesaciones!BE$168:CL$168),LOOKUP(A44,Compesaciones!BE$185:CL$185,Compesaciones!BE$186:CL$186)))))*100000</f>
        <v>0</v>
      </c>
      <c r="G44" s="487">
        <f>IF(D44="",0,IF(F44=0,LOOKUP(D44,'Moms de Empt'!P$3:P$36,'Moms de Empt'!U$3:U$36),F44))</f>
        <v>0</v>
      </c>
      <c r="H44" s="711" t="str">
        <f>Espesor!O28</f>
        <v/>
      </c>
      <c r="I44" s="488" t="str">
        <f>IF(G44&lt;=0,"------",0.848-SQRT(0.719-G44/(0.53*100*(H44-Espesor!L$4)^2*Espesor!E$4)))</f>
        <v>------</v>
      </c>
      <c r="J44" s="224" t="str">
        <f>IF(G44&lt;=0,"------",IF(I44*Espesor!E$4/Espesor!H$4&lt;0.002,0.002,I44*Espesor!E$4/Espesor!H$4))</f>
        <v>------</v>
      </c>
      <c r="K44" s="227" t="str">
        <f>+IF(F44&lt;=0,"------",ROUND(J44*(H44-Espesor!L$4)*100,2))</f>
        <v>------</v>
      </c>
      <c r="L44" s="228">
        <f t="shared" si="12"/>
        <v>0.375</v>
      </c>
      <c r="M44" s="496">
        <f>IF(F44&lt;=0,0.25,IF(K44="------",IF(2*(H44)/100&gt;0.25,0.25,2*(H44)/100),(TRUNC(IF(L44=3/8,IF(0.71/K44&gt;2*H44/100,2*H44/100,0.71/K44),IF(L44=1/2,IF(1.27/K44&gt;2*H44/100,2*H44/100,1.27/K44),IF(2.85/K44&gt;2*H44/100,2*H44/100,2.85/K44))),2))))</f>
        <v>0.25</v>
      </c>
      <c r="N44" s="267">
        <f t="shared" si="18"/>
        <v>0</v>
      </c>
      <c r="O44" s="490" t="str">
        <f>IF(D44="","",IF(Espesor!D$4&gt;=D44,IF(F44&gt;0,"",IF(F44=0,"Acero por retracción y temperatura","Acero por arriba y por abajo")),""))</f>
        <v>Acero por retracción y temperatura</v>
      </c>
    </row>
    <row r="45" spans="1:15" ht="23.25" customHeight="1">
      <c r="A45" s="213"/>
      <c r="B45" s="216">
        <f t="shared" ref="B45" si="65">+D44</f>
        <v>21</v>
      </c>
      <c r="C45" s="708"/>
      <c r="D45" s="692"/>
      <c r="E45" s="220" t="str">
        <f t="shared" ref="E45" si="66">+IF(D44="","","y")</f>
        <v>y</v>
      </c>
      <c r="F45" s="486">
        <f>IF(D44="",0,((MAX(LOOKUP(B45,Compesaciones!BE$203:CL$203,Compesaciones!BE$204:CL$204),LOOKUP(B45,Compesaciones!BE$221:CL$221,Compesaciones!BE$222:CL$222),LOOKUP(B45,Compesaciones!BE$238:CL$238,Compesaciones!BE$239:CL$239),LOOKUP(B45,Compesaciones!BE$255:CL$255,Compesaciones!BE$256:CL$256),LOOKUP(B45,Compesaciones!BE$273:CL$273,Compesaciones!BE$274:CL$274),LOOKUP(B45,Compesaciones!BE$290:CL$290,Compesaciones!BE$291:CL$291),LOOKUP(B45,Compesaciones!BE$308:CL$308,Compesaciones!BE$309:CL$309),LOOKUP(B45,Compesaciones!BE$325:CL$325,Compesaciones!BE$326:CL$326),LOOKUP(B45,Compesaciones!BE$343:CL$343,Compesaciones!BE$344:CL$344),LOOKUP(B45,Compesaciones!BE$361:CL$361,Compesaciones!BE$362:CL$362)))))*100000</f>
        <v>0</v>
      </c>
      <c r="G45" s="486">
        <f>IF(D44="",0,IF(F45=0,LOOKUP(D44,'Moms de Empt'!P$3:P$36,'Moms de Empt'!W$3:W$36),F45))</f>
        <v>0</v>
      </c>
      <c r="H45" s="712"/>
      <c r="I45" s="221" t="str">
        <f>IF(F45&lt;=0,"------",0.848-SQRT(0.719-F45/(0.53*100*(H44-Espesor!L$4)^2*Espesor!E$4)))</f>
        <v>------</v>
      </c>
      <c r="J45" s="221" t="str">
        <f>IF(F45&lt;=0,"------",IF(I45*Espesor!E$4/Espesor!H$4&lt;0.002,0.002,I45*Espesor!E$4/Espesor!H$4))</f>
        <v>------</v>
      </c>
      <c r="K45" s="222" t="str">
        <f>+IF(F45&lt;=0,"------",ROUND(J45*(H44-Espesor!L$4)*100,2))</f>
        <v>------</v>
      </c>
      <c r="L45" s="223">
        <f t="shared" si="12"/>
        <v>0.375</v>
      </c>
      <c r="M45" s="495">
        <f>IF(F45&lt;=0,0.25,IF(K45="------",IF(2*(H44)/100&gt;0.25,0.25,2*(H44)/100),(TRUNC(IF(L45=3/8,IF(0.71/K45&gt;2*H44/100,2*H44/100,0.71/K45),IF(L45=1/2,IF(1.27/K45&gt;2*H44/100,2*H44/100,1.27/K45),IF(2.85/K45&gt;2*H44/100,2*H44/100,2.85/K45))),2))))</f>
        <v>0.25</v>
      </c>
      <c r="N45" s="266">
        <f t="shared" si="18"/>
        <v>0</v>
      </c>
      <c r="O45" s="493" t="str">
        <f>IF(D44="","",IF(Espesor!D$4&gt;=D44,IF(F45&gt;0,"",IF(F45=0,"Acero por retracción y temperatura","Acero por arriba y por abajo")),""))</f>
        <v>Acero por retracción y temperatura</v>
      </c>
    </row>
    <row r="46" spans="1:15" ht="23.25" customHeight="1">
      <c r="A46" s="213">
        <f t="shared" ref="A46" si="67">+D46</f>
        <v>22</v>
      </c>
      <c r="B46" s="216"/>
      <c r="C46" s="707" t="str">
        <f>Espesor!B29</f>
        <v>Lt-</v>
      </c>
      <c r="D46" s="691">
        <f>Espesor!C29</f>
        <v>22</v>
      </c>
      <c r="E46" s="226" t="str">
        <f t="shared" ref="E46" si="68">+IF(D46="","","x")</f>
        <v>x</v>
      </c>
      <c r="F46" s="487">
        <f>IF(D46="",0,((MAX(LOOKUP(A46,Compesaciones!BE$27:CL$27,Compesaciones!BE$28:CL$28),LOOKUP(A46,Compesaciones!BE$45:CL$45,Compesaciones!BE$46:CL$46),LOOKUP(A46,Compesaciones!BE$62:CL$62,Compesaciones!BE$63:CL$63),LOOKUP(A46,Compesaciones!BE$79:CL$79,Compesaciones!BE$80:CL$80),LOOKUP(A46,Compesaciones!BE$97:CL$97,Compesaciones!BE$98:CL$98),LOOKUP(A46,Compesaciones!BE$114:CL$114,Compesaciones!BE$115:CL$115),LOOKUP(A46,Compesaciones!BE$132:CL$132,Compesaciones!BE$133:CL$133),LOOKUP(A46,Compesaciones!BE$149:CL$149,Compesaciones!BE$150:CL$150),LOOKUP(A46,Compesaciones!BE$167:CL$167,Compesaciones!BE$168:CL$168),LOOKUP(A46,Compesaciones!BE$185:CL$185,Compesaciones!BE$186:CL$186)))))*100000</f>
        <v>0</v>
      </c>
      <c r="G46" s="487">
        <f>IF(D46="",0,IF(F46=0,LOOKUP(D46,'Moms de Empt'!P$3:P$36,'Moms de Empt'!U$3:U$36),F46))</f>
        <v>0</v>
      </c>
      <c r="H46" s="711" t="str">
        <f>Espesor!O29</f>
        <v/>
      </c>
      <c r="I46" s="488" t="str">
        <f>IF(G46&lt;=0,"------",0.848-SQRT(0.719-G46/(0.53*100*(H46-Espesor!L$4)^2*Espesor!E$4)))</f>
        <v>------</v>
      </c>
      <c r="J46" s="224" t="str">
        <f>IF(G46&lt;=0,"------",IF(I46*Espesor!E$4/Espesor!H$4&lt;0.002,0.002,I46*Espesor!E$4/Espesor!H$4))</f>
        <v>------</v>
      </c>
      <c r="K46" s="227" t="str">
        <f>+IF(F46&lt;=0,"------",ROUND(J46*(H46-Espesor!L$4)*100,2))</f>
        <v>------</v>
      </c>
      <c r="L46" s="228">
        <f t="shared" si="12"/>
        <v>0.375</v>
      </c>
      <c r="M46" s="496">
        <f>IF(F46&lt;=0,0.25,IF(K46="------",IF(2*(H46)/100&gt;0.25,0.25,2*(H46)/100),(TRUNC(IF(L46=3/8,IF(0.71/K46&gt;2*H46/100,2*H46/100,0.71/K46),IF(L46=1/2,IF(1.27/K46&gt;2*H46/100,2*H46/100,1.27/K46),IF(2.85/K46&gt;2*H46/100,2*H46/100,2.85/K46))),2))))</f>
        <v>0.25</v>
      </c>
      <c r="N46" s="267">
        <f t="shared" si="18"/>
        <v>0</v>
      </c>
      <c r="O46" s="490" t="str">
        <f>IF(D46="","",IF(Espesor!D$4&gt;=D46,IF(F46&gt;0,"",IF(F46=0,"Acero por retracción y temperatura","Acero por arriba y por abajo")),""))</f>
        <v>Acero por retracción y temperatura</v>
      </c>
    </row>
    <row r="47" spans="1:15" ht="23.25" customHeight="1">
      <c r="A47" s="213"/>
      <c r="B47" s="216">
        <f t="shared" ref="B47" si="69">+D46</f>
        <v>22</v>
      </c>
      <c r="C47" s="708"/>
      <c r="D47" s="692"/>
      <c r="E47" s="220" t="str">
        <f t="shared" ref="E47" si="70">+IF(D46="","","y")</f>
        <v>y</v>
      </c>
      <c r="F47" s="486">
        <f>IF(D46="",0,((MAX(LOOKUP(B47,Compesaciones!BE$203:CL$203,Compesaciones!BE$204:CL$204),LOOKUP(B47,Compesaciones!BE$221:CL$221,Compesaciones!BE$222:CL$222),LOOKUP(B47,Compesaciones!BE$238:CL$238,Compesaciones!BE$239:CL$239),LOOKUP(B47,Compesaciones!BE$255:CL$255,Compesaciones!BE$256:CL$256),LOOKUP(B47,Compesaciones!BE$273:CL$273,Compesaciones!BE$274:CL$274),LOOKUP(B47,Compesaciones!BE$290:CL$290,Compesaciones!BE$291:CL$291),LOOKUP(B47,Compesaciones!BE$308:CL$308,Compesaciones!BE$309:CL$309),LOOKUP(B47,Compesaciones!BE$325:CL$325,Compesaciones!BE$326:CL$326),LOOKUP(B47,Compesaciones!BE$343:CL$343,Compesaciones!BE$344:CL$344),LOOKUP(B47,Compesaciones!BE$361:CL$361,Compesaciones!BE$362:CL$362)))))*100000</f>
        <v>0</v>
      </c>
      <c r="G47" s="486">
        <f>IF(D46="",0,IF(F47=0,LOOKUP(D46,'Moms de Empt'!P$3:P$36,'Moms de Empt'!W$3:W$36),F47))</f>
        <v>0</v>
      </c>
      <c r="H47" s="712"/>
      <c r="I47" s="221" t="str">
        <f>IF(F47&lt;=0,"------",0.848-SQRT(0.719-F47/(0.53*100*(H46-Espesor!L$4)^2*Espesor!E$4)))</f>
        <v>------</v>
      </c>
      <c r="J47" s="221" t="str">
        <f>IF(F47&lt;=0,"------",IF(I47*Espesor!E$4/Espesor!H$4&lt;0.002,0.002,I47*Espesor!E$4/Espesor!H$4))</f>
        <v>------</v>
      </c>
      <c r="K47" s="222" t="str">
        <f>+IF(F47&lt;=0,"------",ROUND(J47*(H46-Espesor!L$4)*100,2))</f>
        <v>------</v>
      </c>
      <c r="L47" s="223">
        <f t="shared" si="12"/>
        <v>0.375</v>
      </c>
      <c r="M47" s="495">
        <f>IF(F47&lt;=0,0.25,IF(K47="------",IF(2*(H46)/100&gt;0.25,0.25,2*(H46)/100),(TRUNC(IF(L47=3/8,IF(0.71/K47&gt;2*H46/100,2*H46/100,0.71/K47),IF(L47=1/2,IF(1.27/K47&gt;2*H46/100,2*H46/100,1.27/K47),IF(2.85/K47&gt;2*H46/100,2*H46/100,2.85/K47))),2))))</f>
        <v>0.25</v>
      </c>
      <c r="N47" s="266">
        <f t="shared" si="18"/>
        <v>0</v>
      </c>
      <c r="O47" s="493" t="str">
        <f>IF(D46="","",IF(Espesor!D$4&gt;=D46,IF(F47&gt;0,"",IF(F47=0,"Acero por retracción y temperatura","Acero por arriba y por abajo")),""))</f>
        <v>Acero por retracción y temperatura</v>
      </c>
    </row>
    <row r="48" spans="1:15" ht="23.25" customHeight="1">
      <c r="A48" s="213">
        <f t="shared" ref="A48" si="71">+D48</f>
        <v>23</v>
      </c>
      <c r="B48" s="216"/>
      <c r="C48" s="707" t="str">
        <f>Espesor!B30</f>
        <v>Lt-</v>
      </c>
      <c r="D48" s="691">
        <f>Espesor!C30</f>
        <v>23</v>
      </c>
      <c r="E48" s="226" t="str">
        <f t="shared" ref="E48" si="72">+IF(D48="","","x")</f>
        <v>x</v>
      </c>
      <c r="F48" s="487">
        <f>IF(D48="",0,((MAX(LOOKUP(A48,Compesaciones!BE$27:CL$27,Compesaciones!BE$28:CL$28),LOOKUP(A48,Compesaciones!BE$45:CL$45,Compesaciones!BE$46:CL$46),LOOKUP(A48,Compesaciones!BE$62:CL$62,Compesaciones!BE$63:CL$63),LOOKUP(A48,Compesaciones!BE$79:CL$79,Compesaciones!BE$80:CL$80),LOOKUP(A48,Compesaciones!BE$97:CL$97,Compesaciones!BE$98:CL$98),LOOKUP(A48,Compesaciones!BE$114:CL$114,Compesaciones!BE$115:CL$115),LOOKUP(A48,Compesaciones!BE$132:CL$132,Compesaciones!BE$133:CL$133),LOOKUP(A48,Compesaciones!BE$149:CL$149,Compesaciones!BE$150:CL$150),LOOKUP(A48,Compesaciones!BE$167:CL$167,Compesaciones!BE$168:CL$168),LOOKUP(A48,Compesaciones!BE$185:CL$185,Compesaciones!BE$186:CL$186)))))*100000</f>
        <v>0</v>
      </c>
      <c r="G48" s="487">
        <f>IF(D48="",0,IF(F48=0,LOOKUP(D48,'Moms de Empt'!P$3:P$36,'Moms de Empt'!U$3:U$36),F48))</f>
        <v>0</v>
      </c>
      <c r="H48" s="711" t="str">
        <f>Espesor!O30</f>
        <v/>
      </c>
      <c r="I48" s="488" t="str">
        <f>IF(G48&lt;=0,"------",0.848-SQRT(0.719-G48/(0.53*100*(H48-Espesor!L$4)^2*Espesor!E$4)))</f>
        <v>------</v>
      </c>
      <c r="J48" s="224" t="str">
        <f>IF(G48&lt;=0,"------",IF(I48*Espesor!E$4/Espesor!H$4&lt;0.002,0.002,I48*Espesor!E$4/Espesor!H$4))</f>
        <v>------</v>
      </c>
      <c r="K48" s="227" t="str">
        <f>+IF(F48&lt;=0,"------",ROUND(J48*(H48-Espesor!L$4)*100,2))</f>
        <v>------</v>
      </c>
      <c r="L48" s="228">
        <f t="shared" si="12"/>
        <v>0.375</v>
      </c>
      <c r="M48" s="496">
        <f>IF(F48&lt;=0,0.25,IF(K48="------",IF(2*(H48)/100&gt;0.25,0.25,2*(H48)/100),(TRUNC(IF(L48=3/8,IF(0.71/K48&gt;2*H48/100,2*H48/100,0.71/K48),IF(L48=1/2,IF(1.27/K48&gt;2*H48/100,2*H48/100,1.27/K48),IF(2.85/K48&gt;2*H48/100,2*H48/100,2.85/K48))),2))))</f>
        <v>0.25</v>
      </c>
      <c r="N48" s="267">
        <f t="shared" si="18"/>
        <v>0</v>
      </c>
      <c r="O48" s="490" t="str">
        <f>IF(D48="","",IF(Espesor!D$4&gt;=D48,IF(F48&gt;0,"",IF(F48=0,"Acero por retracción y temperatura","Acero por arriba y por abajo")),""))</f>
        <v>Acero por retracción y temperatura</v>
      </c>
    </row>
    <row r="49" spans="1:15" ht="23.25" customHeight="1">
      <c r="A49" s="213"/>
      <c r="B49" s="216">
        <f>+D48</f>
        <v>23</v>
      </c>
      <c r="C49" s="708"/>
      <c r="D49" s="692"/>
      <c r="E49" s="220" t="str">
        <f t="shared" ref="E49" si="73">+IF(D48="","","y")</f>
        <v>y</v>
      </c>
      <c r="F49" s="486">
        <f>IF(D48="",0,((MAX(LOOKUP(B49,Compesaciones!BE$203:CL$203,Compesaciones!BE$204:CL$204),LOOKUP(B49,Compesaciones!BE$221:CL$221,Compesaciones!BE$222:CL$222),LOOKUP(B49,Compesaciones!BE$238:CL$238,Compesaciones!BE$239:CL$239),LOOKUP(B49,Compesaciones!BE$255:CL$255,Compesaciones!BE$256:CL$256),LOOKUP(B49,Compesaciones!BE$273:CL$273,Compesaciones!BE$274:CL$274),LOOKUP(B49,Compesaciones!BE$290:CL$290,Compesaciones!BE$291:CL$291),LOOKUP(B49,Compesaciones!BE$308:CL$308,Compesaciones!BE$309:CL$309),LOOKUP(B49,Compesaciones!BE$325:CL$325,Compesaciones!BE$326:CL$326),LOOKUP(B49,Compesaciones!BE$343:CL$343,Compesaciones!BE$344:CL$344),LOOKUP(B49,Compesaciones!BE$361:CL$361,Compesaciones!BE$362:CL$362)))))*100000</f>
        <v>0</v>
      </c>
      <c r="G49" s="486">
        <f>IF(D48="",0,IF(F49=0,LOOKUP(D48,'Moms de Empt'!P$3:P$36,'Moms de Empt'!W$3:W$36),F49))</f>
        <v>0</v>
      </c>
      <c r="H49" s="712"/>
      <c r="I49" s="221" t="str">
        <f>IF(F49&lt;=0,"------",0.848-SQRT(0.719-F49/(0.53*100*(H48-Espesor!L$4)^2*Espesor!E$4)))</f>
        <v>------</v>
      </c>
      <c r="J49" s="221" t="str">
        <f>IF(F49&lt;=0,"------",IF(I49*Espesor!E$4/Espesor!H$4&lt;0.002,0.002,I49*Espesor!E$4/Espesor!H$4))</f>
        <v>------</v>
      </c>
      <c r="K49" s="222" t="str">
        <f>+IF(F49&lt;=0,"------",ROUND(J49*(H48-Espesor!L$4)*100,2))</f>
        <v>------</v>
      </c>
      <c r="L49" s="223">
        <f t="shared" si="12"/>
        <v>0.375</v>
      </c>
      <c r="M49" s="495">
        <f>IF(F49&lt;=0,0.25,IF(K49="------",IF(2*(H48)/100&gt;0.25,0.25,2*(H48)/100),(TRUNC(IF(L49=3/8,IF(0.71/K49&gt;2*H48/100,2*H48/100,0.71/K49),IF(L49=1/2,IF(1.27/K49&gt;2*H48/100,2*H48/100,1.27/K49),IF(2.85/K49&gt;2*H48/100,2*H48/100,2.85/K49))),2))))</f>
        <v>0.25</v>
      </c>
      <c r="N49" s="266">
        <f t="shared" si="18"/>
        <v>0</v>
      </c>
      <c r="O49" s="493" t="str">
        <f>IF(D48="","",IF(Espesor!D$4&gt;=D48,IF(F49&gt;0,"",IF(F49=0,"Acero por retracción y temperatura","Acero por arriba y por abajo")),""))</f>
        <v>Acero por retracción y temperatura</v>
      </c>
    </row>
    <row r="50" spans="1:15" ht="23.25" customHeight="1">
      <c r="A50" s="213">
        <f t="shared" ref="A50" si="74">+D50</f>
        <v>24</v>
      </c>
      <c r="B50" s="216"/>
      <c r="C50" s="707" t="str">
        <f>Espesor!B31</f>
        <v>Lt-</v>
      </c>
      <c r="D50" s="691">
        <f>Espesor!C31</f>
        <v>24</v>
      </c>
      <c r="E50" s="226" t="str">
        <f t="shared" ref="E50" si="75">+IF(D50="","","x")</f>
        <v>x</v>
      </c>
      <c r="F50" s="487">
        <f>IF(D50="",0,((MAX(LOOKUP(A50,Compesaciones!BE$27:CL$27,Compesaciones!BE$28:CL$28),LOOKUP(A50,Compesaciones!BE$45:CL$45,Compesaciones!BE$46:CL$46),LOOKUP(A50,Compesaciones!BE$62:CL$62,Compesaciones!BE$63:CL$63),LOOKUP(A50,Compesaciones!BE$79:CL$79,Compesaciones!BE$80:CL$80),LOOKUP(A50,Compesaciones!BE$97:CL$97,Compesaciones!BE$98:CL$98),LOOKUP(A50,Compesaciones!BE$114:CL$114,Compesaciones!BE$115:CL$115),LOOKUP(A50,Compesaciones!BE$132:CL$132,Compesaciones!BE$133:CL$133),LOOKUP(A50,Compesaciones!BE$149:CL$149,Compesaciones!BE$150:CL$150),LOOKUP(A50,Compesaciones!BE$167:CL$167,Compesaciones!BE$168:CL$168),LOOKUP(A50,Compesaciones!BE$185:CL$185,Compesaciones!BE$186:CL$186)))))*100000</f>
        <v>0</v>
      </c>
      <c r="G50" s="487">
        <f>IF(D50="",0,IF(F50=0,LOOKUP(D50,'Moms de Empt'!P$3:P$36,'Moms de Empt'!U$3:U$36),F50))</f>
        <v>0</v>
      </c>
      <c r="H50" s="711" t="str">
        <f>Espesor!O31</f>
        <v/>
      </c>
      <c r="I50" s="488" t="str">
        <f>IF(G50&lt;=0,"------",0.848-SQRT(0.719-G50/(0.53*100*(H50-Espesor!L$4)^2*Espesor!E$4)))</f>
        <v>------</v>
      </c>
      <c r="J50" s="224" t="str">
        <f>IF(G50&lt;=0,"------",IF(I50*Espesor!E$4/Espesor!H$4&lt;0.002,0.002,I50*Espesor!E$4/Espesor!H$4))</f>
        <v>------</v>
      </c>
      <c r="K50" s="227" t="str">
        <f>+IF(F50&lt;=0,"------",ROUND(J50*(H50-Espesor!L$4)*100,2))</f>
        <v>------</v>
      </c>
      <c r="L50" s="228">
        <f t="shared" si="12"/>
        <v>0.375</v>
      </c>
      <c r="M50" s="496">
        <f>IF(F50&lt;=0,0.25,IF(K50="------",IF(2*(H50)/100&gt;0.25,0.25,2*(H50)/100),(TRUNC(IF(L50=3/8,IF(0.71/K50&gt;2*H50/100,2*H50/100,0.71/K50),IF(L50=1/2,IF(1.27/K50&gt;2*H50/100,2*H50/100,1.27/K50),IF(2.85/K50&gt;2*H50/100,2*H50/100,2.85/K50))),2))))</f>
        <v>0.25</v>
      </c>
      <c r="N50" s="267">
        <f t="shared" si="18"/>
        <v>0</v>
      </c>
      <c r="O50" s="490" t="str">
        <f>IF(D50="","",IF(Espesor!D$4&gt;=D50,IF(F50&gt;0,"",IF(F50=0,"Acero por retracción y temperatura","Acero por arriba y por abajo")),""))</f>
        <v>Acero por retracción y temperatura</v>
      </c>
    </row>
    <row r="51" spans="1:15" ht="23.25" customHeight="1">
      <c r="A51" s="213"/>
      <c r="B51" s="216">
        <f t="shared" ref="B51" si="76">+D50</f>
        <v>24</v>
      </c>
      <c r="C51" s="708"/>
      <c r="D51" s="692"/>
      <c r="E51" s="220" t="str">
        <f t="shared" ref="E51" si="77">+IF(D50="","","y")</f>
        <v>y</v>
      </c>
      <c r="F51" s="486">
        <f>IF(D50="",0,((MAX(LOOKUP(B51,Compesaciones!BE$203:CL$203,Compesaciones!BE$204:CL$204),LOOKUP(B51,Compesaciones!BE$221:CL$221,Compesaciones!BE$222:CL$222),LOOKUP(B51,Compesaciones!BE$238:CL$238,Compesaciones!BE$239:CL$239),LOOKUP(B51,Compesaciones!BE$255:CL$255,Compesaciones!BE$256:CL$256),LOOKUP(B51,Compesaciones!BE$273:CL$273,Compesaciones!BE$274:CL$274),LOOKUP(B51,Compesaciones!BE$290:CL$290,Compesaciones!BE$291:CL$291),LOOKUP(B51,Compesaciones!BE$308:CL$308,Compesaciones!BE$309:CL$309),LOOKUP(B51,Compesaciones!BE$325:CL$325,Compesaciones!BE$326:CL$326),LOOKUP(B51,Compesaciones!BE$343:CL$343,Compesaciones!BE$344:CL$344),LOOKUP(B51,Compesaciones!BE$361:CL$361,Compesaciones!BE$362:CL$362)))))*100000</f>
        <v>0</v>
      </c>
      <c r="G51" s="486">
        <f>IF(D50="",0,IF(F51=0,LOOKUP(D50,'Moms de Empt'!P$3:P$36,'Moms de Empt'!W$3:W$36),F51))</f>
        <v>0</v>
      </c>
      <c r="H51" s="712"/>
      <c r="I51" s="221" t="str">
        <f>IF(F51&lt;=0,"------",0.848-SQRT(0.719-F51/(0.53*100*(H50-Espesor!L$4)^2*Espesor!E$4)))</f>
        <v>------</v>
      </c>
      <c r="J51" s="221" t="str">
        <f>IF(F51&lt;=0,"------",IF(I51*Espesor!E$4/Espesor!H$4&lt;0.002,0.002,I51*Espesor!E$4/Espesor!H$4))</f>
        <v>------</v>
      </c>
      <c r="K51" s="222" t="str">
        <f>+IF(F51&lt;=0,"------",ROUND(J51*(H50-Espesor!L$4)*100,2))</f>
        <v>------</v>
      </c>
      <c r="L51" s="223">
        <f t="shared" si="12"/>
        <v>0.375</v>
      </c>
      <c r="M51" s="495">
        <f>IF(F51&lt;=0,0.25,IF(K51="------",IF(2*(H50)/100&gt;0.25,0.25,2*(H50)/100),(TRUNC(IF(L51=3/8,IF(0.71/K51&gt;2*H50/100,2*H50/100,0.71/K51),IF(L51=1/2,IF(1.27/K51&gt;2*H50/100,2*H50/100,1.27/K51),IF(2.85/K51&gt;2*H50/100,2*H50/100,2.85/K51))),2))))</f>
        <v>0.25</v>
      </c>
      <c r="N51" s="266">
        <f t="shared" si="18"/>
        <v>0</v>
      </c>
      <c r="O51" s="493" t="str">
        <f>IF(D50="","",IF(Espesor!D$4&gt;=D50,IF(F51&gt;0,"",IF(F51=0,"Acero por retracción y temperatura","Acero por arriba y por abajo")),""))</f>
        <v>Acero por retracción y temperatura</v>
      </c>
    </row>
    <row r="52" spans="1:15" ht="23.25" customHeight="1">
      <c r="A52" s="213">
        <f t="shared" ref="A52" si="78">+D52</f>
        <v>25</v>
      </c>
      <c r="B52" s="216"/>
      <c r="C52" s="707" t="str">
        <f>Espesor!B32</f>
        <v>Lt-</v>
      </c>
      <c r="D52" s="691">
        <f>Espesor!C32</f>
        <v>25</v>
      </c>
      <c r="E52" s="226" t="str">
        <f t="shared" ref="E52" si="79">+IF(D52="","","x")</f>
        <v>x</v>
      </c>
      <c r="F52" s="487">
        <f>IF(D52="",0,((MAX(LOOKUP(A52,Compesaciones!BE$27:CL$27,Compesaciones!BE$28:CL$28),LOOKUP(A52,Compesaciones!BE$45:CL$45,Compesaciones!BE$46:CL$46),LOOKUP(A52,Compesaciones!BE$62:CL$62,Compesaciones!BE$63:CL$63),LOOKUP(A52,Compesaciones!BE$79:CL$79,Compesaciones!BE$80:CL$80),LOOKUP(A52,Compesaciones!BE$97:CL$97,Compesaciones!BE$98:CL$98),LOOKUP(A52,Compesaciones!BE$114:CL$114,Compesaciones!BE$115:CL$115),LOOKUP(A52,Compesaciones!BE$132:CL$132,Compesaciones!BE$133:CL$133),LOOKUP(A52,Compesaciones!BE$149:CL$149,Compesaciones!BE$150:CL$150),LOOKUP(A52,Compesaciones!BE$167:CL$167,Compesaciones!BE$168:CL$168),LOOKUP(A52,Compesaciones!BE$185:CL$185,Compesaciones!BE$186:CL$186)))))*100000</f>
        <v>0</v>
      </c>
      <c r="G52" s="487">
        <f>IF(D52="",0,IF(F52=0,LOOKUP(D52,'Moms de Empt'!P$3:P$36,'Moms de Empt'!U$3:U$36),F52))</f>
        <v>0</v>
      </c>
      <c r="H52" s="711" t="str">
        <f>Espesor!O32</f>
        <v/>
      </c>
      <c r="I52" s="488" t="str">
        <f>IF(G52&lt;=0,"------",0.848-SQRT(0.719-G52/(0.53*100*(H52-Espesor!L$4)^2*Espesor!E$4)))</f>
        <v>------</v>
      </c>
      <c r="J52" s="224" t="str">
        <f>IF(G52&lt;=0,"------",IF(I52*Espesor!E$4/Espesor!H$4&lt;0.002,0.002,I52*Espesor!E$4/Espesor!H$4))</f>
        <v>------</v>
      </c>
      <c r="K52" s="227" t="str">
        <f>+IF(F52&lt;=0,"------",ROUND(J52*(H52-Espesor!L$4)*100,2))</f>
        <v>------</v>
      </c>
      <c r="L52" s="228">
        <f t="shared" si="12"/>
        <v>0.375</v>
      </c>
      <c r="M52" s="496">
        <f>IF(F52&lt;=0,0.25,IF(K52="------",IF(2*(H52)/100&gt;0.25,0.25,2*(H52)/100),(TRUNC(IF(L52=3/8,IF(0.71/K52&gt;2*H52/100,2*H52/100,0.71/K52),IF(L52=1/2,IF(1.27/K52&gt;2*H52/100,2*H52/100,1.27/K52),IF(2.85/K52&gt;2*H52/100,2*H52/100,2.85/K52))),2))))</f>
        <v>0.25</v>
      </c>
      <c r="N52" s="267">
        <f t="shared" si="18"/>
        <v>0</v>
      </c>
      <c r="O52" s="490" t="str">
        <f>IF(D52="","",IF(Espesor!D$4&gt;=D52,IF(F52&gt;0,"",IF(F52=0,"Acero por retracción y temperatura","Acero por arriba y por abajo")),""))</f>
        <v>Acero por retracción y temperatura</v>
      </c>
    </row>
    <row r="53" spans="1:15" ht="23.25" customHeight="1">
      <c r="A53" s="213"/>
      <c r="B53" s="216">
        <f t="shared" ref="B53" si="80">+D52</f>
        <v>25</v>
      </c>
      <c r="C53" s="708"/>
      <c r="D53" s="692"/>
      <c r="E53" s="220" t="str">
        <f t="shared" ref="E53" si="81">+IF(D52="","","y")</f>
        <v>y</v>
      </c>
      <c r="F53" s="486">
        <f>IF(D52="",0,((MAX(LOOKUP(B53,Compesaciones!BE$203:CL$203,Compesaciones!BE$204:CL$204),LOOKUP(B53,Compesaciones!BE$221:CL$221,Compesaciones!BE$222:CL$222),LOOKUP(B53,Compesaciones!BE$238:CL$238,Compesaciones!BE$239:CL$239),LOOKUP(B53,Compesaciones!BE$255:CL$255,Compesaciones!BE$256:CL$256),LOOKUP(B53,Compesaciones!BE$273:CL$273,Compesaciones!BE$274:CL$274),LOOKUP(B53,Compesaciones!BE$290:CL$290,Compesaciones!BE$291:CL$291),LOOKUP(B53,Compesaciones!BE$308:CL$308,Compesaciones!BE$309:CL$309),LOOKUP(B53,Compesaciones!BE$325:CL$325,Compesaciones!BE$326:CL$326),LOOKUP(B53,Compesaciones!BE$343:CL$343,Compesaciones!BE$344:CL$344),LOOKUP(B53,Compesaciones!BE$361:CL$361,Compesaciones!BE$362:CL$362)))))*100000</f>
        <v>0</v>
      </c>
      <c r="G53" s="486">
        <f>IF(D52="",0,IF(F53=0,LOOKUP(D52,'Moms de Empt'!P$3:P$36,'Moms de Empt'!W$3:W$36),F53))</f>
        <v>0</v>
      </c>
      <c r="H53" s="712"/>
      <c r="I53" s="221" t="str">
        <f>IF(F53&lt;=0,"------",0.848-SQRT(0.719-F53/(0.53*100*(H52-Espesor!L$4)^2*Espesor!E$4)))</f>
        <v>------</v>
      </c>
      <c r="J53" s="221" t="str">
        <f>IF(F53&lt;=0,"------",IF(I53*Espesor!E$4/Espesor!H$4&lt;0.002,0.002,I53*Espesor!E$4/Espesor!H$4))</f>
        <v>------</v>
      </c>
      <c r="K53" s="222" t="str">
        <f>+IF(F53&lt;=0,"------",ROUND(J53*(H52-Espesor!L$4)*100,2))</f>
        <v>------</v>
      </c>
      <c r="L53" s="223">
        <f t="shared" si="12"/>
        <v>0.375</v>
      </c>
      <c r="M53" s="495">
        <f>IF(F53&lt;=0,0.25,IF(K53="------",IF(2*(H52)/100&gt;0.25,0.25,2*(H52)/100),(TRUNC(IF(L53=3/8,IF(0.71/K53&gt;2*H52/100,2*H52/100,0.71/K53),IF(L53=1/2,IF(1.27/K53&gt;2*H52/100,2*H52/100,1.27/K53),IF(2.85/K53&gt;2*H52/100,2*H52/100,2.85/K53))),2))))</f>
        <v>0.25</v>
      </c>
      <c r="N53" s="266">
        <f t="shared" si="18"/>
        <v>0</v>
      </c>
      <c r="O53" s="493" t="str">
        <f>IF(D52="","",IF(Espesor!D$4&gt;=D52,IF(F53&gt;0,"",IF(F53=0,"Acero por retracción y temperatura","Acero por arriba y por abajo")),""))</f>
        <v>Acero por retracción y temperatura</v>
      </c>
    </row>
    <row r="54" spans="1:15" ht="23.25" customHeight="1">
      <c r="A54" s="213">
        <f t="shared" ref="A54" si="82">+D54</f>
        <v>26</v>
      </c>
      <c r="B54" s="216"/>
      <c r="C54" s="707" t="str">
        <f>Espesor!B33</f>
        <v>Lt-</v>
      </c>
      <c r="D54" s="691">
        <f>Espesor!C33</f>
        <v>26</v>
      </c>
      <c r="E54" s="226" t="str">
        <f t="shared" ref="E54" si="83">+IF(D54="","","x")</f>
        <v>x</v>
      </c>
      <c r="F54" s="487">
        <f>IF(D54="",0,((MAX(LOOKUP(A54,Compesaciones!BE$27:CL$27,Compesaciones!BE$28:CL$28),LOOKUP(A54,Compesaciones!BE$45:CL$45,Compesaciones!BE$46:CL$46),LOOKUP(A54,Compesaciones!BE$62:CL$62,Compesaciones!BE$63:CL$63),LOOKUP(A54,Compesaciones!BE$79:CL$79,Compesaciones!BE$80:CL$80),LOOKUP(A54,Compesaciones!BE$97:CL$97,Compesaciones!BE$98:CL$98),LOOKUP(A54,Compesaciones!BE$114:CL$114,Compesaciones!BE$115:CL$115),LOOKUP(A54,Compesaciones!BE$132:CL$132,Compesaciones!BE$133:CL$133),LOOKUP(A54,Compesaciones!BE$149:CL$149,Compesaciones!BE$150:CL$150),LOOKUP(A54,Compesaciones!BE$167:CL$167,Compesaciones!BE$168:CL$168),LOOKUP(A54,Compesaciones!BE$185:CL$185,Compesaciones!BE$186:CL$186)))))*100000</f>
        <v>0</v>
      </c>
      <c r="G54" s="487">
        <f>IF(D54="",0,IF(F54=0,LOOKUP(D54,'Moms de Empt'!P$3:P$36,'Moms de Empt'!U$3:U$36),F54))</f>
        <v>0</v>
      </c>
      <c r="H54" s="711" t="str">
        <f>Espesor!O33</f>
        <v/>
      </c>
      <c r="I54" s="488" t="str">
        <f>IF(G54&lt;=0,"------",0.848-SQRT(0.719-G54/(0.53*100*(H54-Espesor!L$4)^2*Espesor!E$4)))</f>
        <v>------</v>
      </c>
      <c r="J54" s="224" t="str">
        <f>IF(G54&lt;=0,"------",IF(I54*Espesor!E$4/Espesor!H$4&lt;0.002,0.002,I54*Espesor!E$4/Espesor!H$4))</f>
        <v>------</v>
      </c>
      <c r="K54" s="227" t="str">
        <f>+IF(F54&lt;=0,"------",ROUND(J54*(H54-Espesor!L$4)*100,2))</f>
        <v>------</v>
      </c>
      <c r="L54" s="228">
        <f t="shared" si="12"/>
        <v>0.375</v>
      </c>
      <c r="M54" s="496">
        <f>IF(F54&lt;=0,0.25,IF(K54="------",IF(2*(H54)/100&gt;0.25,0.25,2*(H54)/100),(TRUNC(IF(L54=3/8,IF(0.71/K54&gt;2*H54/100,2*H54/100,0.71/K54),IF(L54=1/2,IF(1.27/K54&gt;2*H54/100,2*H54/100,1.27/K54),IF(2.85/K54&gt;2*H54/100,2*H54/100,2.85/K54))),2))))</f>
        <v>0.25</v>
      </c>
      <c r="N54" s="267">
        <f t="shared" si="18"/>
        <v>0</v>
      </c>
      <c r="O54" s="490" t="str">
        <f>IF(D54="","",IF(Espesor!D$4&gt;=D54,IF(F54&gt;0,"",IF(F54=0,"Acero por retracción y temperatura","Acero por arriba y por abajo")),""))</f>
        <v>Acero por retracción y temperatura</v>
      </c>
    </row>
    <row r="55" spans="1:15" ht="23.25" customHeight="1">
      <c r="A55" s="213"/>
      <c r="B55" s="216">
        <f>+D54</f>
        <v>26</v>
      </c>
      <c r="C55" s="708"/>
      <c r="D55" s="692"/>
      <c r="E55" s="220" t="str">
        <f t="shared" ref="E55" si="84">+IF(D54="","","y")</f>
        <v>y</v>
      </c>
      <c r="F55" s="486">
        <f>IF(D54="",0,((MAX(LOOKUP(B55,Compesaciones!BE$203:CL$203,Compesaciones!BE$204:CL$204),LOOKUP(B55,Compesaciones!BE$221:CL$221,Compesaciones!BE$222:CL$222),LOOKUP(B55,Compesaciones!BE$238:CL$238,Compesaciones!BE$239:CL$239),LOOKUP(B55,Compesaciones!BE$255:CL$255,Compesaciones!BE$256:CL$256),LOOKUP(B55,Compesaciones!BE$273:CL$273,Compesaciones!BE$274:CL$274),LOOKUP(B55,Compesaciones!BE$290:CL$290,Compesaciones!BE$291:CL$291),LOOKUP(B55,Compesaciones!BE$308:CL$308,Compesaciones!BE$309:CL$309),LOOKUP(B55,Compesaciones!BE$325:CL$325,Compesaciones!BE$326:CL$326),LOOKUP(B55,Compesaciones!BE$343:CL$343,Compesaciones!BE$344:CL$344),LOOKUP(B55,Compesaciones!BE$361:CL$361,Compesaciones!BE$362:CL$362)))))*100000</f>
        <v>0</v>
      </c>
      <c r="G55" s="486">
        <f>IF(D54="",0,IF(F55=0,LOOKUP(D54,'Moms de Empt'!P$3:P$36,'Moms de Empt'!W$3:W$36),F55))</f>
        <v>0</v>
      </c>
      <c r="H55" s="712"/>
      <c r="I55" s="221" t="str">
        <f>IF(F55&lt;=0,"------",0.848-SQRT(0.719-F55/(0.53*100*(H54-Espesor!L$4)^2*Espesor!E$4)))</f>
        <v>------</v>
      </c>
      <c r="J55" s="221" t="str">
        <f>IF(F55&lt;=0,"------",IF(I55*Espesor!E$4/Espesor!H$4&lt;0.002,0.002,I55*Espesor!E$4/Espesor!H$4))</f>
        <v>------</v>
      </c>
      <c r="K55" s="222" t="str">
        <f>+IF(F55&lt;=0,"------",ROUND(J55*(H54-Espesor!L$4)*100,2))</f>
        <v>------</v>
      </c>
      <c r="L55" s="223">
        <f t="shared" si="12"/>
        <v>0.375</v>
      </c>
      <c r="M55" s="495">
        <f>IF(F55&lt;=0,0.25,IF(K55="------",IF(2*(H54)/100&gt;0.25,0.25,2*(H54)/100),(TRUNC(IF(L55=3/8,IF(0.71/K55&gt;2*H54/100,2*H54/100,0.71/K55),IF(L55=1/2,IF(1.27/K55&gt;2*H54/100,2*H54/100,1.27/K55),IF(2.85/K55&gt;2*H54/100,2*H54/100,2.85/K55))),2))))</f>
        <v>0.25</v>
      </c>
      <c r="N55" s="266">
        <f t="shared" si="18"/>
        <v>0</v>
      </c>
      <c r="O55" s="493" t="str">
        <f>IF(D54="","",IF(Espesor!D$4&gt;=D54,IF(F55&gt;0,"",IF(F55=0,"Acero por retracción y temperatura","Acero por arriba y por abajo")),""))</f>
        <v>Acero por retracción y temperatura</v>
      </c>
    </row>
    <row r="56" spans="1:15" ht="23.25" customHeight="1">
      <c r="A56" s="213">
        <f t="shared" ref="A56" si="85">+D56</f>
        <v>27</v>
      </c>
      <c r="B56" s="216"/>
      <c r="C56" s="707" t="str">
        <f>Espesor!B34</f>
        <v>Lt-</v>
      </c>
      <c r="D56" s="691">
        <f>Espesor!C34</f>
        <v>27</v>
      </c>
      <c r="E56" s="226" t="str">
        <f t="shared" ref="E56" si="86">+IF(D56="","","x")</f>
        <v>x</v>
      </c>
      <c r="F56" s="487">
        <f>IF(D56="",0,((MAX(LOOKUP(A56,Compesaciones!BE$27:CL$27,Compesaciones!BE$28:CL$28),LOOKUP(A56,Compesaciones!BE$45:CL$45,Compesaciones!BE$46:CL$46),LOOKUP(A56,Compesaciones!BE$62:CL$62,Compesaciones!BE$63:CL$63),LOOKUP(A56,Compesaciones!BE$79:CL$79,Compesaciones!BE$80:CL$80),LOOKUP(A56,Compesaciones!BE$97:CL$97,Compesaciones!BE$98:CL$98),LOOKUP(A56,Compesaciones!BE$114:CL$114,Compesaciones!BE$115:CL$115),LOOKUP(A56,Compesaciones!BE$132:CL$132,Compesaciones!BE$133:CL$133),LOOKUP(A56,Compesaciones!BE$149:CL$149,Compesaciones!BE$150:CL$150),LOOKUP(A56,Compesaciones!BE$167:CL$167,Compesaciones!BE$168:CL$168),LOOKUP(A56,Compesaciones!BE$185:CL$185,Compesaciones!BE$186:CL$186)))))*100000</f>
        <v>0</v>
      </c>
      <c r="G56" s="487">
        <f>IF(D56="",0,IF(F56=0,LOOKUP(D56,'Moms de Empt'!P$3:P$36,'Moms de Empt'!U$3:U$36),F56))</f>
        <v>0</v>
      </c>
      <c r="H56" s="711" t="str">
        <f>Espesor!O34</f>
        <v/>
      </c>
      <c r="I56" s="488" t="str">
        <f>IF(G56&lt;=0,"------",0.848-SQRT(0.719-G56/(0.53*100*(H56-Espesor!L$4)^2*Espesor!E$4)))</f>
        <v>------</v>
      </c>
      <c r="J56" s="224" t="str">
        <f>IF(G56&lt;=0,"------",IF(I56*Espesor!E$4/Espesor!H$4&lt;0.002,0.002,I56*Espesor!E$4/Espesor!H$4))</f>
        <v>------</v>
      </c>
      <c r="K56" s="227" t="str">
        <f>+IF(F56&lt;=0,"------",ROUND(J56*(H56-Espesor!L$4)*100,2))</f>
        <v>------</v>
      </c>
      <c r="L56" s="228">
        <f t="shared" si="12"/>
        <v>0.375</v>
      </c>
      <c r="M56" s="496">
        <f>IF(F56&lt;=0,0.25,IF(K56="------",IF(2*(H56)/100&gt;0.25,0.25,2*(H56)/100),(TRUNC(IF(L56=3/8,IF(0.71/K56&gt;2*H56/100,2*H56/100,0.71/K56),IF(L56=1/2,IF(1.27/K56&gt;2*H56/100,2*H56/100,1.27/K56),IF(2.85/K56&gt;2*H56/100,2*H56/100,2.85/K56))),2))))</f>
        <v>0.25</v>
      </c>
      <c r="N56" s="267">
        <f t="shared" si="18"/>
        <v>0</v>
      </c>
      <c r="O56" s="490" t="str">
        <f>IF(D56="","",IF(Espesor!D$4&gt;=D56,IF(F56&gt;0,"",IF(F56=0,"Acero por retracción y temperatura","Acero por arriba y por abajo")),""))</f>
        <v>Acero por retracción y temperatura</v>
      </c>
    </row>
    <row r="57" spans="1:15" ht="23.25" customHeight="1">
      <c r="A57" s="213"/>
      <c r="B57" s="216">
        <f t="shared" ref="B57" si="87">+D56</f>
        <v>27</v>
      </c>
      <c r="C57" s="708"/>
      <c r="D57" s="692"/>
      <c r="E57" s="220" t="str">
        <f t="shared" ref="E57" si="88">+IF(D56="","","y")</f>
        <v>y</v>
      </c>
      <c r="F57" s="486">
        <f>IF(D56="",0,((MAX(LOOKUP(B57,Compesaciones!BE$203:CL$203,Compesaciones!BE$204:CL$204),LOOKUP(B57,Compesaciones!BE$221:CL$221,Compesaciones!BE$222:CL$222),LOOKUP(B57,Compesaciones!BE$238:CL$238,Compesaciones!BE$239:CL$239),LOOKUP(B57,Compesaciones!BE$255:CL$255,Compesaciones!BE$256:CL$256),LOOKUP(B57,Compesaciones!BE$273:CL$273,Compesaciones!BE$274:CL$274),LOOKUP(B57,Compesaciones!BE$290:CL$290,Compesaciones!BE$291:CL$291),LOOKUP(B57,Compesaciones!BE$308:CL$308,Compesaciones!BE$309:CL$309),LOOKUP(B57,Compesaciones!BE$325:CL$325,Compesaciones!BE$326:CL$326),LOOKUP(B57,Compesaciones!BE$343:CL$343,Compesaciones!BE$344:CL$344),LOOKUP(B57,Compesaciones!BE$361:CL$361,Compesaciones!BE$362:CL$362)))))*100000</f>
        <v>0</v>
      </c>
      <c r="G57" s="486">
        <f>IF(D56="",0,IF(F57=0,LOOKUP(D56,'Moms de Empt'!P$3:P$36,'Moms de Empt'!W$3:W$36),F57))</f>
        <v>0</v>
      </c>
      <c r="H57" s="712"/>
      <c r="I57" s="221" t="str">
        <f>IF(F57&lt;=0,"------",0.848-SQRT(0.719-F57/(0.53*100*(H56-Espesor!L$4)^2*Espesor!E$4)))</f>
        <v>------</v>
      </c>
      <c r="J57" s="221" t="str">
        <f>IF(F57&lt;=0,"------",IF(I57*Espesor!E$4/Espesor!H$4&lt;0.002,0.002,I57*Espesor!E$4/Espesor!H$4))</f>
        <v>------</v>
      </c>
      <c r="K57" s="222" t="str">
        <f>+IF(F57&lt;=0,"------",ROUND(J57*(H56-Espesor!L$4)*100,2))</f>
        <v>------</v>
      </c>
      <c r="L57" s="223">
        <f t="shared" si="12"/>
        <v>0.375</v>
      </c>
      <c r="M57" s="495">
        <f>IF(F57&lt;=0,0.25,IF(K57="------",IF(2*(H56)/100&gt;0.25,0.25,2*(H56)/100),(TRUNC(IF(L57=3/8,IF(0.71/K57&gt;2*H56/100,2*H56/100,0.71/K57),IF(L57=1/2,IF(1.27/K57&gt;2*H56/100,2*H56/100,1.27/K57),IF(2.85/K57&gt;2*H56/100,2*H56/100,2.85/K57))),2))))</f>
        <v>0.25</v>
      </c>
      <c r="N57" s="266">
        <f t="shared" si="18"/>
        <v>0</v>
      </c>
      <c r="O57" s="493" t="str">
        <f>IF(D56="","",IF(Espesor!D$4&gt;=D56,IF(F57&gt;0,"",IF(F57=0,"Acero por retracción y temperatura","Acero por arriba y por abajo")),""))</f>
        <v>Acero por retracción y temperatura</v>
      </c>
    </row>
    <row r="58" spans="1:15" ht="23.25" customHeight="1">
      <c r="A58" s="213">
        <f t="shared" ref="A58" si="89">+D58</f>
        <v>28</v>
      </c>
      <c r="B58" s="216"/>
      <c r="C58" s="707" t="str">
        <f>Espesor!B35</f>
        <v>Lt-</v>
      </c>
      <c r="D58" s="691">
        <f>Espesor!C35</f>
        <v>28</v>
      </c>
      <c r="E58" s="226" t="str">
        <f t="shared" ref="E58" si="90">+IF(D58="","","x")</f>
        <v>x</v>
      </c>
      <c r="F58" s="487">
        <f>IF(D58="",0,((MAX(LOOKUP(A58,Compesaciones!BE$27:CL$27,Compesaciones!BE$28:CL$28),LOOKUP(A58,Compesaciones!BE$45:CL$45,Compesaciones!BE$46:CL$46),LOOKUP(A58,Compesaciones!BE$62:CL$62,Compesaciones!BE$63:CL$63),LOOKUP(A58,Compesaciones!BE$79:CL$79,Compesaciones!BE$80:CL$80),LOOKUP(A58,Compesaciones!BE$97:CL$97,Compesaciones!BE$98:CL$98),LOOKUP(A58,Compesaciones!BE$114:CL$114,Compesaciones!BE$115:CL$115),LOOKUP(A58,Compesaciones!BE$132:CL$132,Compesaciones!BE$133:CL$133),LOOKUP(A58,Compesaciones!BE$149:CL$149,Compesaciones!BE$150:CL$150),LOOKUP(A58,Compesaciones!BE$167:CL$167,Compesaciones!BE$168:CL$168),LOOKUP(A58,Compesaciones!BE$185:CL$185,Compesaciones!BE$186:CL$186)))))*100000</f>
        <v>0</v>
      </c>
      <c r="G58" s="487">
        <f>IF(D58="",0,IF(F58=0,LOOKUP(D58,'Moms de Empt'!P$3:P$36,'Moms de Empt'!U$3:U$36),F58))</f>
        <v>0</v>
      </c>
      <c r="H58" s="711" t="str">
        <f>Espesor!O35</f>
        <v/>
      </c>
      <c r="I58" s="488" t="str">
        <f>IF(G58&lt;=0,"------",0.848-SQRT(0.719-G58/(0.53*100*(H58-Espesor!L$4)^2*Espesor!E$4)))</f>
        <v>------</v>
      </c>
      <c r="J58" s="224" t="str">
        <f>IF(G58&lt;=0,"------",IF(I58*Espesor!E$4/Espesor!H$4&lt;0.002,0.002,I58*Espesor!E$4/Espesor!H$4))</f>
        <v>------</v>
      </c>
      <c r="K58" s="227" t="str">
        <f>+IF(F58&lt;=0,"------",ROUND(J58*(H58-Espesor!L$4)*100,2))</f>
        <v>------</v>
      </c>
      <c r="L58" s="228">
        <f t="shared" si="12"/>
        <v>0.375</v>
      </c>
      <c r="M58" s="496">
        <f>IF(F58&lt;=0,0.25,IF(K58="------",IF(2*(H58)/100&gt;0.25,0.25,2*(H58)/100),(TRUNC(IF(L58=3/8,IF(0.71/K58&gt;2*H58/100,2*H58/100,0.71/K58),IF(L58=1/2,IF(1.27/K58&gt;2*H58/100,2*H58/100,1.27/K58),IF(2.85/K58&gt;2*H58/100,2*H58/100,2.85/K58))),2))))</f>
        <v>0.25</v>
      </c>
      <c r="N58" s="267">
        <f t="shared" si="18"/>
        <v>0</v>
      </c>
      <c r="O58" s="490" t="str">
        <f>IF(D58="","",IF(Espesor!D$4&gt;=D58,IF(F58&gt;0,"",IF(F58=0,"Acero por retracción y temperatura","Acero por arriba y por abajo")),""))</f>
        <v>Acero por retracción y temperatura</v>
      </c>
    </row>
    <row r="59" spans="1:15" ht="23.25" customHeight="1">
      <c r="A59" s="213"/>
      <c r="B59" s="216">
        <f t="shared" ref="B59" si="91">+D58</f>
        <v>28</v>
      </c>
      <c r="C59" s="708"/>
      <c r="D59" s="692"/>
      <c r="E59" s="220" t="str">
        <f t="shared" ref="E59" si="92">+IF(D58="","","y")</f>
        <v>y</v>
      </c>
      <c r="F59" s="486">
        <f>IF(D58="",0,((MAX(LOOKUP(B59,Compesaciones!BE$203:CL$203,Compesaciones!BE$204:CL$204),LOOKUP(B59,Compesaciones!BE$221:CL$221,Compesaciones!BE$222:CL$222),LOOKUP(B59,Compesaciones!BE$238:CL$238,Compesaciones!BE$239:CL$239),LOOKUP(B59,Compesaciones!BE$255:CL$255,Compesaciones!BE$256:CL$256),LOOKUP(B59,Compesaciones!BE$273:CL$273,Compesaciones!BE$274:CL$274),LOOKUP(B59,Compesaciones!BE$290:CL$290,Compesaciones!BE$291:CL$291),LOOKUP(B59,Compesaciones!BE$308:CL$308,Compesaciones!BE$309:CL$309),LOOKUP(B59,Compesaciones!BE$325:CL$325,Compesaciones!BE$326:CL$326),LOOKUP(B59,Compesaciones!BE$343:CL$343,Compesaciones!BE$344:CL$344),LOOKUP(B59,Compesaciones!BE$361:CL$361,Compesaciones!BE$362:CL$362)))))*100000</f>
        <v>0</v>
      </c>
      <c r="G59" s="486">
        <f>IF(D58="",0,IF(F59=0,LOOKUP(D58,'Moms de Empt'!P$3:P$36,'Moms de Empt'!W$3:W$36),F59))</f>
        <v>0</v>
      </c>
      <c r="H59" s="712"/>
      <c r="I59" s="221" t="str">
        <f>IF(F59&lt;=0,"------",0.848-SQRT(0.719-F59/(0.53*100*(H58-Espesor!L$4)^2*Espesor!E$4)))</f>
        <v>------</v>
      </c>
      <c r="J59" s="221" t="str">
        <f>IF(F59&lt;=0,"------",IF(I59*Espesor!E$4/Espesor!H$4&lt;0.002,0.002,I59*Espesor!E$4/Espesor!H$4))</f>
        <v>------</v>
      </c>
      <c r="K59" s="222" t="str">
        <f>+IF(F59&lt;=0,"------",ROUND(J59*(H58-Espesor!L$4)*100,2))</f>
        <v>------</v>
      </c>
      <c r="L59" s="223">
        <f t="shared" si="12"/>
        <v>0.375</v>
      </c>
      <c r="M59" s="495">
        <f>IF(F59&lt;=0,0.25,IF(K59="------",IF(2*(H58)/100&gt;0.25,0.25,2*(H58)/100),(TRUNC(IF(L59=3/8,IF(0.71/K59&gt;2*H58/100,2*H58/100,0.71/K59),IF(L59=1/2,IF(1.27/K59&gt;2*H58/100,2*H58/100,1.27/K59),IF(2.85/K59&gt;2*H58/100,2*H58/100,2.85/K59))),2))))</f>
        <v>0.25</v>
      </c>
      <c r="N59" s="266">
        <f t="shared" si="18"/>
        <v>0</v>
      </c>
      <c r="O59" s="493" t="str">
        <f>IF(D58="","",IF(Espesor!D$4&gt;=D58,IF(F59&gt;0,"",IF(F59=0,"Acero por retracción y temperatura","Acero por arriba y por abajo")),""))</f>
        <v>Acero por retracción y temperatura</v>
      </c>
    </row>
    <row r="60" spans="1:15" ht="23.25" customHeight="1">
      <c r="A60" s="213">
        <f t="shared" ref="A60" si="93">+D60</f>
        <v>29</v>
      </c>
      <c r="B60" s="216"/>
      <c r="C60" s="707" t="str">
        <f>Espesor!B36</f>
        <v>Lt-</v>
      </c>
      <c r="D60" s="691">
        <f>Espesor!C36</f>
        <v>29</v>
      </c>
      <c r="E60" s="226" t="str">
        <f t="shared" ref="E60" si="94">+IF(D60="","","x")</f>
        <v>x</v>
      </c>
      <c r="F60" s="487">
        <f>IF(D60="",0,((MAX(LOOKUP(A60,Compesaciones!BE$27:CL$27,Compesaciones!BE$28:CL$28),LOOKUP(A60,Compesaciones!BE$45:CL$45,Compesaciones!BE$46:CL$46),LOOKUP(A60,Compesaciones!BE$62:CL$62,Compesaciones!BE$63:CL$63),LOOKUP(A60,Compesaciones!BE$79:CL$79,Compesaciones!BE$80:CL$80),LOOKUP(A60,Compesaciones!BE$97:CL$97,Compesaciones!BE$98:CL$98),LOOKUP(A60,Compesaciones!BE$114:CL$114,Compesaciones!BE$115:CL$115),LOOKUP(A60,Compesaciones!BE$132:CL$132,Compesaciones!BE$133:CL$133),LOOKUP(A60,Compesaciones!BE$149:CL$149,Compesaciones!BE$150:CL$150),LOOKUP(A60,Compesaciones!BE$167:CL$167,Compesaciones!BE$168:CL$168),LOOKUP(A60,Compesaciones!BE$185:CL$185,Compesaciones!BE$186:CL$186)))))*100000</f>
        <v>0</v>
      </c>
      <c r="G60" s="487">
        <f>IF(D60="",0,IF(F60=0,LOOKUP(D60,'Moms de Empt'!P$3:P$36,'Moms de Empt'!U$3:U$36),F60))</f>
        <v>0</v>
      </c>
      <c r="H60" s="711" t="str">
        <f>Espesor!O36</f>
        <v/>
      </c>
      <c r="I60" s="488" t="str">
        <f>IF(G60&lt;=0,"------",0.848-SQRT(0.719-G60/(0.53*100*(H60-Espesor!L$4)^2*Espesor!E$4)))</f>
        <v>------</v>
      </c>
      <c r="J60" s="224" t="str">
        <f>IF(G60&lt;=0,"------",IF(I60*Espesor!E$4/Espesor!H$4&lt;0.002,0.002,I60*Espesor!E$4/Espesor!H$4))</f>
        <v>------</v>
      </c>
      <c r="K60" s="227" t="str">
        <f>+IF(F60&lt;=0,"------",ROUND(J60*(H60-Espesor!L$4)*100,2))</f>
        <v>------</v>
      </c>
      <c r="L60" s="228">
        <f t="shared" si="12"/>
        <v>0.375</v>
      </c>
      <c r="M60" s="496">
        <f>IF(F60&lt;=0,0.25,IF(K60="------",IF(2*(H60)/100&gt;0.25,0.25,2*(H60)/100),(TRUNC(IF(L60=3/8,IF(0.71/K60&gt;2*H60/100,2*H60/100,0.71/K60),IF(L60=1/2,IF(1.27/K60&gt;2*H60/100,2*H60/100,1.27/K60),IF(2.85/K60&gt;2*H60/100,2*H60/100,2.85/K60))),2))))</f>
        <v>0.25</v>
      </c>
      <c r="N60" s="267">
        <f t="shared" si="18"/>
        <v>0</v>
      </c>
      <c r="O60" s="490" t="str">
        <f>IF(D60="","",IF(Espesor!D$4&gt;=D60,IF(F60&gt;0,"",IF(F60=0,"Acero por retracción y temperatura","Acero por arriba y por abajo")),""))</f>
        <v>Acero por retracción y temperatura</v>
      </c>
    </row>
    <row r="61" spans="1:15" ht="23.25" customHeight="1">
      <c r="A61" s="213"/>
      <c r="B61" s="216">
        <f>+D60</f>
        <v>29</v>
      </c>
      <c r="C61" s="708"/>
      <c r="D61" s="692"/>
      <c r="E61" s="220" t="str">
        <f t="shared" ref="E61" si="95">+IF(D60="","","y")</f>
        <v>y</v>
      </c>
      <c r="F61" s="486">
        <f>IF(D60="",0,((MAX(LOOKUP(B61,Compesaciones!BE$203:CL$203,Compesaciones!BE$204:CL$204),LOOKUP(B61,Compesaciones!BE$221:CL$221,Compesaciones!BE$222:CL$222),LOOKUP(B61,Compesaciones!BE$238:CL$238,Compesaciones!BE$239:CL$239),LOOKUP(B61,Compesaciones!BE$255:CL$255,Compesaciones!BE$256:CL$256),LOOKUP(B61,Compesaciones!BE$273:CL$273,Compesaciones!BE$274:CL$274),LOOKUP(B61,Compesaciones!BE$290:CL$290,Compesaciones!BE$291:CL$291),LOOKUP(B61,Compesaciones!BE$308:CL$308,Compesaciones!BE$309:CL$309),LOOKUP(B61,Compesaciones!BE$325:CL$325,Compesaciones!BE$326:CL$326),LOOKUP(B61,Compesaciones!BE$343:CL$343,Compesaciones!BE$344:CL$344),LOOKUP(B61,Compesaciones!BE$361:CL$361,Compesaciones!BE$362:CL$362)))))*100000</f>
        <v>0</v>
      </c>
      <c r="G61" s="486">
        <f>IF(D60="",0,IF(F61=0,LOOKUP(D60,'Moms de Empt'!P$3:P$36,'Moms de Empt'!W$3:W$36),F61))</f>
        <v>0</v>
      </c>
      <c r="H61" s="712"/>
      <c r="I61" s="221" t="str">
        <f>IF(F61&lt;=0,"------",0.848-SQRT(0.719-F61/(0.53*100*(H60-Espesor!L$4)^2*Espesor!E$4)))</f>
        <v>------</v>
      </c>
      <c r="J61" s="221" t="str">
        <f>IF(F61&lt;=0,"------",IF(I61*Espesor!E$4/Espesor!H$4&lt;0.002,0.002,I61*Espesor!E$4/Espesor!H$4))</f>
        <v>------</v>
      </c>
      <c r="K61" s="222" t="str">
        <f>+IF(F61&lt;=0,"------",ROUND(J61*(H60-Espesor!L$4)*100,2))</f>
        <v>------</v>
      </c>
      <c r="L61" s="223">
        <f t="shared" si="12"/>
        <v>0.375</v>
      </c>
      <c r="M61" s="495">
        <f>IF(F61&lt;=0,0.25,IF(K61="------",IF(2*(H60)/100&gt;0.25,0.25,2*(H60)/100),(TRUNC(IF(L61=3/8,IF(0.71/K61&gt;2*H60/100,2*H60/100,0.71/K61),IF(L61=1/2,IF(1.27/K61&gt;2*H60/100,2*H60/100,1.27/K61),IF(2.85/K61&gt;2*H60/100,2*H60/100,2.85/K61))),2))))</f>
        <v>0.25</v>
      </c>
      <c r="N61" s="266">
        <f t="shared" si="18"/>
        <v>0</v>
      </c>
      <c r="O61" s="493" t="str">
        <f>IF(D60="","",IF(Espesor!D$4&gt;=D60,IF(F61&gt;0,"",IF(F61=0,"Acero por retracción y temperatura","Acero por arriba y por abajo")),""))</f>
        <v>Acero por retracción y temperatura</v>
      </c>
    </row>
    <row r="62" spans="1:15" ht="23.25" customHeight="1">
      <c r="A62" s="213">
        <f t="shared" ref="A62" si="96">+D62</f>
        <v>30</v>
      </c>
      <c r="B62" s="216"/>
      <c r="C62" s="707" t="str">
        <f>Espesor!B37</f>
        <v>Lt-</v>
      </c>
      <c r="D62" s="691">
        <f>Espesor!C37</f>
        <v>30</v>
      </c>
      <c r="E62" s="226" t="str">
        <f t="shared" ref="E62" si="97">+IF(D62="","","x")</f>
        <v>x</v>
      </c>
      <c r="F62" s="487">
        <f>IF(D62="",0,((MAX(LOOKUP(A62,Compesaciones!BE$27:CL$27,Compesaciones!BE$28:CL$28),LOOKUP(A62,Compesaciones!BE$45:CL$45,Compesaciones!BE$46:CL$46),LOOKUP(A62,Compesaciones!BE$62:CL$62,Compesaciones!BE$63:CL$63),LOOKUP(A62,Compesaciones!BE$79:CL$79,Compesaciones!BE$80:CL$80),LOOKUP(A62,Compesaciones!BE$97:CL$97,Compesaciones!BE$98:CL$98),LOOKUP(A62,Compesaciones!BE$114:CL$114,Compesaciones!BE$115:CL$115),LOOKUP(A62,Compesaciones!BE$132:CL$132,Compesaciones!BE$133:CL$133),LOOKUP(A62,Compesaciones!BE$149:CL$149,Compesaciones!BE$150:CL$150),LOOKUP(A62,Compesaciones!BE$167:CL$167,Compesaciones!BE$168:CL$168),LOOKUP(A62,Compesaciones!BE$185:CL$185,Compesaciones!BE$186:CL$186)))))*100000</f>
        <v>0</v>
      </c>
      <c r="G62" s="487">
        <f>IF(D62="",0,IF(F62=0,LOOKUP(D62,'Moms de Empt'!P$3:P$36,'Moms de Empt'!U$3:U$36),F62))</f>
        <v>0</v>
      </c>
      <c r="H62" s="711" t="str">
        <f>Espesor!O37</f>
        <v/>
      </c>
      <c r="I62" s="488" t="str">
        <f>IF(G62&lt;=0,"------",0.848-SQRT(0.719-G62/(0.53*100*(H62-Espesor!L$4)^2*Espesor!E$4)))</f>
        <v>------</v>
      </c>
      <c r="J62" s="224" t="str">
        <f>IF(G62&lt;=0,"------",IF(I62*Espesor!E$4/Espesor!H$4&lt;0.002,0.002,I62*Espesor!E$4/Espesor!H$4))</f>
        <v>------</v>
      </c>
      <c r="K62" s="227" t="str">
        <f>+IF(F62&lt;=0,"------",ROUND(J62*(H62-Espesor!L$4)*100,2))</f>
        <v>------</v>
      </c>
      <c r="L62" s="228">
        <f t="shared" si="12"/>
        <v>0.375</v>
      </c>
      <c r="M62" s="496">
        <f>IF(F62&lt;=0,0.25,IF(K62="------",IF(2*(H62)/100&gt;0.25,0.25,2*(H62)/100),(TRUNC(IF(L62=3/8,IF(0.71/K62&gt;2*H62/100,2*H62/100,0.71/K62),IF(L62=1/2,IF(1.27/K62&gt;2*H62/100,2*H62/100,1.27/K62),IF(2.85/K62&gt;2*H62/100,2*H62/100,2.85/K62))),2))))</f>
        <v>0.25</v>
      </c>
      <c r="N62" s="267">
        <f t="shared" si="18"/>
        <v>0</v>
      </c>
      <c r="O62" s="490" t="str">
        <f>IF(D62="","",IF(Espesor!D$4&gt;=D62,IF(F62&gt;0,"",IF(F62=0,"Acero por retracción y temperatura","Acero por arriba y por abajo")),""))</f>
        <v>Acero por retracción y temperatura</v>
      </c>
    </row>
    <row r="63" spans="1:15" ht="23.25" customHeight="1">
      <c r="A63" s="213"/>
      <c r="B63" s="216">
        <f t="shared" ref="B63" si="98">+D62</f>
        <v>30</v>
      </c>
      <c r="C63" s="708"/>
      <c r="D63" s="692"/>
      <c r="E63" s="220" t="str">
        <f t="shared" ref="E63" si="99">+IF(D62="","","y")</f>
        <v>y</v>
      </c>
      <c r="F63" s="486">
        <f>IF(D62="",0,((MAX(LOOKUP(B63,Compesaciones!BE$203:CL$203,Compesaciones!BE$204:CL$204),LOOKUP(B63,Compesaciones!BE$221:CL$221,Compesaciones!BE$222:CL$222),LOOKUP(B63,Compesaciones!BE$238:CL$238,Compesaciones!BE$239:CL$239),LOOKUP(B63,Compesaciones!BE$255:CL$255,Compesaciones!BE$256:CL$256),LOOKUP(B63,Compesaciones!BE$273:CL$273,Compesaciones!BE$274:CL$274),LOOKUP(B63,Compesaciones!BE$290:CL$290,Compesaciones!BE$291:CL$291),LOOKUP(B63,Compesaciones!BE$308:CL$308,Compesaciones!BE$309:CL$309),LOOKUP(B63,Compesaciones!BE$325:CL$325,Compesaciones!BE$326:CL$326),LOOKUP(B63,Compesaciones!BE$343:CL$343,Compesaciones!BE$344:CL$344),LOOKUP(B63,Compesaciones!BE$361:CL$361,Compesaciones!BE$362:CL$362)))))*100000</f>
        <v>0</v>
      </c>
      <c r="G63" s="486">
        <f>IF(D62="",0,IF(F63=0,LOOKUP(D62,'Moms de Empt'!P$3:P$36,'Moms de Empt'!W$3:W$36),F63))</f>
        <v>0</v>
      </c>
      <c r="H63" s="712"/>
      <c r="I63" s="221" t="str">
        <f>IF(F63&lt;=0,"------",0.848-SQRT(0.719-F63/(0.53*100*(H62-Espesor!L$4)^2*Espesor!E$4)))</f>
        <v>------</v>
      </c>
      <c r="J63" s="221" t="str">
        <f>IF(F63&lt;=0,"------",IF(I63*Espesor!E$4/Espesor!H$4&lt;0.002,0.002,I63*Espesor!E$4/Espesor!H$4))</f>
        <v>------</v>
      </c>
      <c r="K63" s="222" t="str">
        <f>+IF(F63&lt;=0,"------",ROUND(J63*(H62-Espesor!L$4)*100,2))</f>
        <v>------</v>
      </c>
      <c r="L63" s="223">
        <f t="shared" si="12"/>
        <v>0.375</v>
      </c>
      <c r="M63" s="495">
        <f>IF(F63&lt;=0,0.25,IF(K63="------",IF(2*(H62)/100&gt;0.25,0.25,2*(H62)/100),(TRUNC(IF(L63=3/8,IF(0.71/K63&gt;2*H62/100,2*H62/100,0.71/K63),IF(L63=1/2,IF(1.27/K63&gt;2*H62/100,2*H62/100,1.27/K63),IF(2.85/K63&gt;2*H62/100,2*H62/100,2.85/K63))),2))))</f>
        <v>0.25</v>
      </c>
      <c r="N63" s="266">
        <f t="shared" si="18"/>
        <v>0</v>
      </c>
      <c r="O63" s="493" t="str">
        <f>IF(D62="","",IF(Espesor!D$4&gt;=D62,IF(F63&gt;0,"",IF(F63=0,"Acero por retracción y temperatura","Acero por arriba y por abajo")),""))</f>
        <v>Acero por retracción y temperatura</v>
      </c>
    </row>
    <row r="64" spans="1:15" ht="23.25" customHeight="1">
      <c r="A64" s="213">
        <f t="shared" ref="A64" si="100">+D64</f>
        <v>31</v>
      </c>
      <c r="B64" s="216"/>
      <c r="C64" s="707" t="str">
        <f>Espesor!B38</f>
        <v>Lt-</v>
      </c>
      <c r="D64" s="691">
        <f>Espesor!C38</f>
        <v>31</v>
      </c>
      <c r="E64" s="226" t="str">
        <f t="shared" ref="E64" si="101">+IF(D64="","","x")</f>
        <v>x</v>
      </c>
      <c r="F64" s="487">
        <f>IF(D64="",0,((MAX(LOOKUP(A64,Compesaciones!BE$27:CL$27,Compesaciones!BE$28:CL$28),LOOKUP(A64,Compesaciones!BE$45:CL$45,Compesaciones!BE$46:CL$46),LOOKUP(A64,Compesaciones!BE$62:CL$62,Compesaciones!BE$63:CL$63),LOOKUP(A64,Compesaciones!BE$79:CL$79,Compesaciones!BE$80:CL$80),LOOKUP(A64,Compesaciones!BE$97:CL$97,Compesaciones!BE$98:CL$98),LOOKUP(A64,Compesaciones!BE$114:CL$114,Compesaciones!BE$115:CL$115),LOOKUP(A64,Compesaciones!BE$132:CL$132,Compesaciones!BE$133:CL$133),LOOKUP(A64,Compesaciones!BE$149:CL$149,Compesaciones!BE$150:CL$150),LOOKUP(A64,Compesaciones!BE$167:CL$167,Compesaciones!BE$168:CL$168),LOOKUP(A64,Compesaciones!BE$185:CL$185,Compesaciones!BE$186:CL$186)))))*100000</f>
        <v>0</v>
      </c>
      <c r="G64" s="487">
        <f>IF(D64="",0,IF(F64=0,LOOKUP(D64,'Moms de Empt'!P$3:P$36,'Moms de Empt'!U$3:U$36),F64))</f>
        <v>0</v>
      </c>
      <c r="H64" s="711" t="str">
        <f>Espesor!O38</f>
        <v/>
      </c>
      <c r="I64" s="488" t="str">
        <f>IF(G64&lt;=0,"------",0.848-SQRT(0.719-G64/(0.53*100*(H64-Espesor!L$4)^2*Espesor!E$4)))</f>
        <v>------</v>
      </c>
      <c r="J64" s="224" t="str">
        <f>IF(G64&lt;=0,"------",IF(I64*Espesor!E$4/Espesor!H$4&lt;0.002,0.002,I64*Espesor!E$4/Espesor!H$4))</f>
        <v>------</v>
      </c>
      <c r="K64" s="227" t="str">
        <f>+IF(F64&lt;=0,"------",ROUND(J64*(H64-Espesor!L$4)*100,2))</f>
        <v>------</v>
      </c>
      <c r="L64" s="228">
        <f t="shared" si="12"/>
        <v>0.375</v>
      </c>
      <c r="M64" s="496">
        <f>IF(F64&lt;=0,0.25,IF(K64="------",IF(2*(H64)/100&gt;0.25,0.25,2*(H64)/100),(TRUNC(IF(L64=3/8,IF(0.71/K64&gt;2*H64/100,2*H64/100,0.71/K64),IF(L64=1/2,IF(1.27/K64&gt;2*H64/100,2*H64/100,1.27/K64),IF(2.85/K64&gt;2*H64/100,2*H64/100,2.85/K64))),2))))</f>
        <v>0.25</v>
      </c>
      <c r="N64" s="267">
        <f t="shared" si="18"/>
        <v>0</v>
      </c>
      <c r="O64" s="490" t="str">
        <f>IF(D64="","",IF(Espesor!D$4&gt;=D64,IF(F64&gt;0,"",IF(F64=0,"Acero por retracción y temperatura","Acero por arriba y por abajo")),""))</f>
        <v>Acero por retracción y temperatura</v>
      </c>
    </row>
    <row r="65" spans="1:15" ht="23.25" customHeight="1">
      <c r="A65" s="213"/>
      <c r="B65" s="216">
        <f t="shared" ref="B65" si="102">+D64</f>
        <v>31</v>
      </c>
      <c r="C65" s="708"/>
      <c r="D65" s="692"/>
      <c r="E65" s="220" t="str">
        <f t="shared" ref="E65" si="103">+IF(D64="","","y")</f>
        <v>y</v>
      </c>
      <c r="F65" s="486">
        <f>IF(D64="",0,((MAX(LOOKUP(B65,Compesaciones!BE$203:CL$203,Compesaciones!BE$204:CL$204),LOOKUP(B65,Compesaciones!BE$221:CL$221,Compesaciones!BE$222:CL$222),LOOKUP(B65,Compesaciones!BE$238:CL$238,Compesaciones!BE$239:CL$239),LOOKUP(B65,Compesaciones!BE$255:CL$255,Compesaciones!BE$256:CL$256),LOOKUP(B65,Compesaciones!BE$273:CL$273,Compesaciones!BE$274:CL$274),LOOKUP(B65,Compesaciones!BE$290:CL$290,Compesaciones!BE$291:CL$291),LOOKUP(B65,Compesaciones!BE$308:CL$308,Compesaciones!BE$309:CL$309),LOOKUP(B65,Compesaciones!BE$325:CL$325,Compesaciones!BE$326:CL$326),LOOKUP(B65,Compesaciones!BE$343:CL$343,Compesaciones!BE$344:CL$344),LOOKUP(B65,Compesaciones!BE$361:CL$361,Compesaciones!BE$362:CL$362)))))*100000</f>
        <v>0</v>
      </c>
      <c r="G65" s="486">
        <f>IF(D64="",0,IF(F65=0,LOOKUP(D64,'Moms de Empt'!P$3:P$36,'Moms de Empt'!W$3:W$36),F65))</f>
        <v>0</v>
      </c>
      <c r="H65" s="712"/>
      <c r="I65" s="221" t="str">
        <f>IF(F65&lt;=0,"------",0.848-SQRT(0.719-F65/(0.53*100*(H64-Espesor!L$4)^2*Espesor!E$4)))</f>
        <v>------</v>
      </c>
      <c r="J65" s="221" t="str">
        <f>IF(F65&lt;=0,"------",IF(I65*Espesor!E$4/Espesor!H$4&lt;0.002,0.002,I65*Espesor!E$4/Espesor!H$4))</f>
        <v>------</v>
      </c>
      <c r="K65" s="222" t="str">
        <f>+IF(F65&lt;=0,"------",ROUND(J65*(H64-Espesor!L$4)*100,2))</f>
        <v>------</v>
      </c>
      <c r="L65" s="223">
        <f t="shared" si="12"/>
        <v>0.375</v>
      </c>
      <c r="M65" s="495">
        <f>IF(F65&lt;=0,0.25,IF(K65="------",IF(2*(H65)/100&gt;0.25,0.25,2*(H65)/100),(TRUNC(IF(L65=3/8,IF(0.71/K65&gt;2*H65/100,2*H65/100,0.71/K65),IF(L65=1/2,IF(1.27/K65&gt;2*H65/100,2*H65/100,1.27/K65),IF(2.85/K65&gt;2*H65/100,2*H65/100,2.85/K65))),2))))</f>
        <v>0.25</v>
      </c>
      <c r="N65" s="266">
        <f t="shared" si="18"/>
        <v>0</v>
      </c>
      <c r="O65" s="493" t="str">
        <f>IF(D64="","",IF(Espesor!D$4&gt;=D64,IF(F65&gt;0,"",IF(F65=0,"Acero por retracción y temperatura","Acero por arriba y por abajo")),""))</f>
        <v>Acero por retracción y temperatura</v>
      </c>
    </row>
    <row r="66" spans="1:15" ht="23.25" customHeight="1">
      <c r="A66" s="213">
        <f t="shared" ref="A66" si="104">+D66</f>
        <v>32</v>
      </c>
      <c r="B66" s="216"/>
      <c r="C66" s="707" t="str">
        <f>Espesor!B39</f>
        <v>Lt-</v>
      </c>
      <c r="D66" s="691">
        <f>Espesor!C39</f>
        <v>32</v>
      </c>
      <c r="E66" s="226" t="str">
        <f t="shared" ref="E66" si="105">+IF(D66="","","x")</f>
        <v>x</v>
      </c>
      <c r="F66" s="487">
        <f>IF(D66="",0,((MAX(LOOKUP(A66,Compesaciones!BE$27:CL$27,Compesaciones!BE$28:CL$28),LOOKUP(A66,Compesaciones!BE$45:CL$45,Compesaciones!BE$46:CL$46),LOOKUP(A66,Compesaciones!BE$62:CL$62,Compesaciones!BE$63:CL$63),LOOKUP(A66,Compesaciones!BE$79:CL$79,Compesaciones!BE$80:CL$80),LOOKUP(A66,Compesaciones!BE$97:CL$97,Compesaciones!BE$98:CL$98),LOOKUP(A66,Compesaciones!BE$114:CL$114,Compesaciones!BE$115:CL$115),LOOKUP(A66,Compesaciones!BE$132:CL$132,Compesaciones!BE$133:CL$133),LOOKUP(A66,Compesaciones!BE$149:CL$149,Compesaciones!BE$150:CL$150),LOOKUP(A66,Compesaciones!BE$167:CL$167,Compesaciones!BE$168:CL$168),LOOKUP(A66,Compesaciones!BE$185:CL$185,Compesaciones!BE$186:CL$186)))))*100000</f>
        <v>0</v>
      </c>
      <c r="G66" s="487">
        <f>IF(D66="",0,IF(F66=0,LOOKUP(D66,'Moms de Empt'!P$3:P$36,'Moms de Empt'!U$3:U$36),F66))</f>
        <v>0</v>
      </c>
      <c r="H66" s="711" t="str">
        <f>Espesor!O39</f>
        <v/>
      </c>
      <c r="I66" s="488" t="str">
        <f>IF(G66&lt;=0,"------",0.848-SQRT(0.719-G66/(0.53*100*(H66-Espesor!L$4)^2*Espesor!E$4)))</f>
        <v>------</v>
      </c>
      <c r="J66" s="224" t="str">
        <f>IF(G66&lt;=0,"------",IF(I66*Espesor!E$4/Espesor!H$4&lt;0.002,0.002,I66*Espesor!E$4/Espesor!H$4))</f>
        <v>------</v>
      </c>
      <c r="K66" s="227" t="str">
        <f>+IF(F66&lt;=0,"------",ROUND(J66*(H66-Espesor!L$4)*100,2))</f>
        <v>------</v>
      </c>
      <c r="L66" s="228">
        <f t="shared" si="12"/>
        <v>0.375</v>
      </c>
      <c r="M66" s="496">
        <f>IF(F66&lt;=0,0.25,IF(K66="------",IF(2*(H65)/100&gt;0.25,0.25,2*(H65)/100),(TRUNC(IF(L66=3/8,IF(0.71/K66&gt;2*H65/100,2*H65/100,0.71/K66),IF(L66=1/2,IF(1.27/K66&gt;2*H65/100,2*H65/100,1.27/K66),IF(2.85/K66&gt;2*H65/100,2*H65/100,2.85/K66))),2))))</f>
        <v>0.25</v>
      </c>
      <c r="N66" s="267">
        <f t="shared" si="18"/>
        <v>0</v>
      </c>
      <c r="O66" s="490" t="str">
        <f>IF(D66="","",IF(Espesor!D$4&gt;=D66,IF(F66&gt;0,"",IF(F66=0,"Acero por retracción y temperatura","Acero por arriba y por abajo")),""))</f>
        <v>Acero por retracción y temperatura</v>
      </c>
    </row>
    <row r="67" spans="1:15" ht="23.25" customHeight="1">
      <c r="A67" s="213"/>
      <c r="B67" s="216">
        <f>+D66</f>
        <v>32</v>
      </c>
      <c r="C67" s="708"/>
      <c r="D67" s="692"/>
      <c r="E67" s="220" t="str">
        <f t="shared" ref="E67" si="106">+IF(D66="","","y")</f>
        <v>y</v>
      </c>
      <c r="F67" s="486">
        <f>IF(D66="",0,((MAX(LOOKUP(B67,Compesaciones!BE$203:CL$203,Compesaciones!BE$204:CL$204),LOOKUP(B67,Compesaciones!BE$221:CL$221,Compesaciones!BE$222:CL$222),LOOKUP(B67,Compesaciones!BE$238:CL$238,Compesaciones!BE$239:CL$239),LOOKUP(B67,Compesaciones!BE$255:CL$255,Compesaciones!BE$256:CL$256),LOOKUP(B67,Compesaciones!BE$273:CL$273,Compesaciones!BE$274:CL$274),LOOKUP(B67,Compesaciones!BE$290:CL$290,Compesaciones!BE$291:CL$291),LOOKUP(B67,Compesaciones!BE$308:CL$308,Compesaciones!BE$309:CL$309),LOOKUP(B67,Compesaciones!BE$325:CL$325,Compesaciones!BE$326:CL$326),LOOKUP(B67,Compesaciones!BE$343:CL$343,Compesaciones!BE$344:CL$344),LOOKUP(B67,Compesaciones!BE$361:CL$361,Compesaciones!BE$362:CL$362)))))*100000</f>
        <v>0</v>
      </c>
      <c r="G67" s="486">
        <f>IF(D66="",0,IF(F67=0,LOOKUP(D66,'Moms de Empt'!P$3:P$36,'Moms de Empt'!W$3:W$36),F67))</f>
        <v>0</v>
      </c>
      <c r="H67" s="712"/>
      <c r="I67" s="221" t="str">
        <f>IF(F67&lt;=0,"------",0.848-SQRT(0.719-F67/(0.53*100*(H66-Espesor!L$4)^2*Espesor!E$4)))</f>
        <v>------</v>
      </c>
      <c r="J67" s="221" t="str">
        <f>IF(F67&lt;=0,"------",IF(I67*Espesor!E$4/Espesor!H$4&lt;0.002,0.002,I67*Espesor!E$4/Espesor!H$4))</f>
        <v>------</v>
      </c>
      <c r="K67" s="222" t="str">
        <f>+IF(F67&lt;=0,"------",ROUND(J67*(H66-Espesor!L$4)*100,2))</f>
        <v>------</v>
      </c>
      <c r="L67" s="223">
        <f t="shared" si="12"/>
        <v>0.375</v>
      </c>
      <c r="M67" s="495">
        <f>IF(F67&lt;=0,0.25,IF(K67="------",IF(2*(H67)/100&gt;0.25,0.25,2*(H67)/100),(TRUNC(IF(L67=3/8,IF(0.71/K67&gt;2*H67/100,2*H67/100,0.71/K67),IF(L67=1/2,IF(1.27/K67&gt;2*H67/100,2*H67/100,1.27/K67),IF(2.85/K67&gt;2*H67/100,2*H67/100,2.85/K67))),2))))</f>
        <v>0.25</v>
      </c>
      <c r="N67" s="266">
        <f t="shared" si="18"/>
        <v>0</v>
      </c>
      <c r="O67" s="493" t="str">
        <f>IF(D66="","",IF(Espesor!D$4&gt;=D66,IF(F67&gt;0,"",IF(F67=0,"Acero por retracción y temperatura","Acero por arriba y por abajo")),""))</f>
        <v>Acero por retracción y temperatura</v>
      </c>
    </row>
    <row r="68" spans="1:15" ht="23.25" customHeight="1">
      <c r="A68" s="213">
        <f t="shared" ref="A68" si="107">+D68</f>
        <v>33</v>
      </c>
      <c r="B68" s="216"/>
      <c r="C68" s="707" t="str">
        <f>Espesor!B40</f>
        <v>Lt-</v>
      </c>
      <c r="D68" s="691">
        <f>Espesor!C40</f>
        <v>33</v>
      </c>
      <c r="E68" s="226" t="str">
        <f t="shared" ref="E68" si="108">+IF(D68="","","x")</f>
        <v>x</v>
      </c>
      <c r="F68" s="487">
        <f>IF(D68="",0,((MAX(LOOKUP(A68,Compesaciones!BE$27:CL$27,Compesaciones!BE$28:CL$28),LOOKUP(A68,Compesaciones!BE$45:CL$45,Compesaciones!BE$46:CL$46),LOOKUP(A68,Compesaciones!BE$62:CL$62,Compesaciones!BE$63:CL$63),LOOKUP(A68,Compesaciones!BE$79:CL$79,Compesaciones!BE$80:CL$80),LOOKUP(A68,Compesaciones!BE$97:CL$97,Compesaciones!BE$98:CL$98),LOOKUP(A68,Compesaciones!BE$114:CL$114,Compesaciones!BE$115:CL$115),LOOKUP(A68,Compesaciones!BE$132:CL$132,Compesaciones!BE$133:CL$133),LOOKUP(A68,Compesaciones!BE$149:CL$149,Compesaciones!BE$150:CL$150),LOOKUP(A68,Compesaciones!BE$167:CL$167,Compesaciones!BE$168:CL$168),LOOKUP(A68,Compesaciones!BE$185:CL$185,Compesaciones!BE$186:CL$186)))))*100000</f>
        <v>0</v>
      </c>
      <c r="G68" s="487">
        <f>IF(D68="",0,IF(F68=0,LOOKUP(D68,'Moms de Empt'!P$3:P$36,'Moms de Empt'!U$3:U$36),F68))</f>
        <v>0</v>
      </c>
      <c r="H68" s="711" t="str">
        <f>Espesor!O40</f>
        <v/>
      </c>
      <c r="I68" s="488" t="str">
        <f>IF(G68&lt;=0,"------",0.848-SQRT(0.719-G68/(0.53*100*(H68-Espesor!L$4)^2*Espesor!E$4)))</f>
        <v>------</v>
      </c>
      <c r="J68" s="224" t="str">
        <f>IF(G68&lt;=0,"------",IF(I68*Espesor!E$4/Espesor!H$4&lt;0.002,0.002,I68*Espesor!E$4/Espesor!H$4))</f>
        <v>------</v>
      </c>
      <c r="K68" s="227" t="str">
        <f>+IF(F68&lt;=0,"------",ROUND(J68*(H68-Espesor!L$4)*100,2))</f>
        <v>------</v>
      </c>
      <c r="L68" s="228">
        <f t="shared" si="12"/>
        <v>0.375</v>
      </c>
      <c r="M68" s="496">
        <f>IF(F68&lt;=0,0.25,IF(K68="------",IF(2*(H67)/100&gt;0.25,0.25,2*(H67)/100),(TRUNC(IF(L68=3/8,IF(0.71/K68&gt;2*H67/100,2*H67/100,0.71/K68),IF(L68=1/2,IF(1.27/K68&gt;2*H67/100,2*H67/100,1.27/K68),IF(2.85/K68&gt;2*H67/100,2*H67/100,2.85/K68))),2))))</f>
        <v>0.25</v>
      </c>
      <c r="N68" s="267">
        <f t="shared" si="18"/>
        <v>0</v>
      </c>
      <c r="O68" s="490" t="str">
        <f>IF(D68="","",IF(Espesor!D$4&gt;=D68,IF(F68&gt;0,"",IF(F68=0,"Acero por retracción y temperatura","Acero por arriba y por abajo")),""))</f>
        <v>Acero por retracción y temperatura</v>
      </c>
    </row>
    <row r="69" spans="1:15" ht="23.25" customHeight="1">
      <c r="A69" s="213"/>
      <c r="B69" s="216">
        <f t="shared" ref="B69" si="109">+D68</f>
        <v>33</v>
      </c>
      <c r="C69" s="708"/>
      <c r="D69" s="692"/>
      <c r="E69" s="220" t="str">
        <f t="shared" ref="E69" si="110">+IF(D68="","","y")</f>
        <v>y</v>
      </c>
      <c r="F69" s="486">
        <f>IF(D68="",0,((MAX(LOOKUP(B69,Compesaciones!BE$203:CL$203,Compesaciones!BE$204:CL$204),LOOKUP(B69,Compesaciones!BE$221:CL$221,Compesaciones!BE$222:CL$222),LOOKUP(B69,Compesaciones!BE$238:CL$238,Compesaciones!BE$239:CL$239),LOOKUP(B69,Compesaciones!BE$255:CL$255,Compesaciones!BE$256:CL$256),LOOKUP(B69,Compesaciones!BE$273:CL$273,Compesaciones!BE$274:CL$274),LOOKUP(B69,Compesaciones!BE$290:CL$290,Compesaciones!BE$291:CL$291),LOOKUP(B69,Compesaciones!BE$308:CL$308,Compesaciones!BE$309:CL$309),LOOKUP(B69,Compesaciones!BE$325:CL$325,Compesaciones!BE$326:CL$326),LOOKUP(B69,Compesaciones!BE$343:CL$343,Compesaciones!BE$344:CL$344),LOOKUP(B69,Compesaciones!BE$361:CL$361,Compesaciones!BE$362:CL$362)))))*100000</f>
        <v>0</v>
      </c>
      <c r="G69" s="486">
        <f>IF(D68="",0,IF(F69=0,LOOKUP(D68,'Moms de Empt'!P$3:P$36,'Moms de Empt'!W$3:W$36),F69))</f>
        <v>0</v>
      </c>
      <c r="H69" s="712"/>
      <c r="I69" s="221" t="str">
        <f>IF(F69&lt;=0,"------",0.848-SQRT(0.719-F69/(0.53*100*(H68-Espesor!L$4)^2*Espesor!E$4)))</f>
        <v>------</v>
      </c>
      <c r="J69" s="221" t="str">
        <f>IF(F69&lt;=0,"------",IF(I69*Espesor!E$4/Espesor!H$4&lt;0.002,0.002,I69*Espesor!E$4/Espesor!H$4))</f>
        <v>------</v>
      </c>
      <c r="K69" s="222" t="str">
        <f>+IF(F69&lt;=0,"------",ROUND(J69*(H68-Espesor!L$4)*100,2))</f>
        <v>------</v>
      </c>
      <c r="L69" s="223">
        <f t="shared" si="12"/>
        <v>0.375</v>
      </c>
      <c r="M69" s="495">
        <f>IF(F69&lt;=0,0.25,IF(K69="------",IF(2*(H69)/100&gt;0.25,0.25,2*(H69)/100),(TRUNC(IF(L69=3/8,IF(0.71/K69&gt;2*H69/100,2*H69/100,0.71/K69),IF(L69=1/2,IF(1.27/K69&gt;2*H69/100,2*H69/100,1.27/K69),IF(2.85/K69&gt;2*H69/100,2*H69/100,2.85/K69))),2))))</f>
        <v>0.25</v>
      </c>
      <c r="N69" s="266">
        <f t="shared" si="18"/>
        <v>0</v>
      </c>
      <c r="O69" s="493" t="str">
        <f>IF(D68="","",IF(Espesor!D$4&gt;=D68,IF(F69&gt;0,"",IF(F69=0,"Acero por retracción y temperatura","Acero por arriba y por abajo")),""))</f>
        <v>Acero por retracción y temperatura</v>
      </c>
    </row>
    <row r="70" spans="1:15" ht="23.25" customHeight="1">
      <c r="A70" s="213">
        <f t="shared" ref="A70" si="111">+D70</f>
        <v>34</v>
      </c>
      <c r="B70" s="216"/>
      <c r="C70" s="707" t="str">
        <f>Espesor!B41</f>
        <v>Lt-</v>
      </c>
      <c r="D70" s="691">
        <f>Espesor!C41</f>
        <v>34</v>
      </c>
      <c r="E70" s="226" t="str">
        <f t="shared" ref="E70" si="112">+IF(D70="","","x")</f>
        <v>x</v>
      </c>
      <c r="F70" s="487">
        <f>IF(D70="",0,((MAX(LOOKUP(A70,Compesaciones!BE$27:CL$27,Compesaciones!BE$28:CL$28),LOOKUP(A70,Compesaciones!BE$45:CL$45,Compesaciones!BE$46:CL$46),LOOKUP(A70,Compesaciones!BE$62:CL$62,Compesaciones!BE$63:CL$63),LOOKUP(A70,Compesaciones!BE$79:CL$79,Compesaciones!BE$80:CL$80),LOOKUP(A70,Compesaciones!BE$97:CL$97,Compesaciones!BE$98:CL$98),LOOKUP(A70,Compesaciones!BE$114:CL$114,Compesaciones!BE$115:CL$115),LOOKUP(A70,Compesaciones!BE$132:CL$132,Compesaciones!BE$133:CL$133),LOOKUP(A70,Compesaciones!BE$149:CL$149,Compesaciones!BE$150:CL$150),LOOKUP(A70,Compesaciones!BE$167:CL$167,Compesaciones!BE$168:CL$168),LOOKUP(A70,Compesaciones!BE$185:CL$185,Compesaciones!BE$186:CL$186)))))*100000</f>
        <v>0</v>
      </c>
      <c r="G70" s="487">
        <f>IF(D70="",0,IF(F70=0,LOOKUP(D70,'Moms de Empt'!P$3:P$36,'Moms de Empt'!U$3:U$36),F70))</f>
        <v>0</v>
      </c>
      <c r="H70" s="711" t="str">
        <f>Espesor!O41</f>
        <v/>
      </c>
      <c r="I70" s="488" t="str">
        <f>IF(G70&lt;=0,"------",0.848-SQRT(0.719-G70/(0.53*100*(H70-Espesor!L$4)^2*Espesor!E$4)))</f>
        <v>------</v>
      </c>
      <c r="J70" s="224" t="str">
        <f>IF(G70&lt;=0,"------",IF(I70*Espesor!E$4/Espesor!H$4&lt;0.002,0.002,I70*Espesor!E$4/Espesor!H$4))</f>
        <v>------</v>
      </c>
      <c r="K70" s="227" t="str">
        <f>+IF(F70&lt;=0,"------",ROUND(J70*(H70-Espesor!L$4)*100,2))</f>
        <v>------</v>
      </c>
      <c r="L70" s="228">
        <f t="shared" si="12"/>
        <v>0.375</v>
      </c>
      <c r="M70" s="496">
        <f>IF(F70&lt;=0,0.25,IF(K70="------",IF(2*(H69)/100&gt;0.25,0.25,2*(H69)/100),(TRUNC(IF(L70=3/8,IF(0.71/K70&gt;2*H69/100,2*H69/100,0.71/K70),IF(L70=1/2,IF(1.27/K70&gt;2*H69/100,2*H69/100,1.27/K70),IF(2.85/K70&gt;2*H69/100,2*H69/100,2.85/K70))),2))))</f>
        <v>0.25</v>
      </c>
      <c r="N70" s="267">
        <f t="shared" si="18"/>
        <v>0</v>
      </c>
      <c r="O70" s="490" t="str">
        <f>IF(D70="","",IF(Espesor!D$4&gt;=D70,IF(F70&gt;0,"",IF(F70=0,"Acero por retracción y temperatura","Acero por arriba y por abajo")),""))</f>
        <v>Acero por retracción y temperatura</v>
      </c>
    </row>
    <row r="71" spans="1:15" ht="23.25" customHeight="1">
      <c r="A71" s="213"/>
      <c r="B71" s="216">
        <f t="shared" ref="B71" si="113">+D70</f>
        <v>34</v>
      </c>
      <c r="C71" s="708"/>
      <c r="D71" s="692"/>
      <c r="E71" s="220" t="str">
        <f t="shared" ref="E71" si="114">+IF(D70="","","y")</f>
        <v>y</v>
      </c>
      <c r="F71" s="486">
        <f>IF(D70="",0,((MAX(LOOKUP(B71,Compesaciones!BE$203:CL$203,Compesaciones!BE$204:CL$204),LOOKUP(B71,Compesaciones!BE$221:CL$221,Compesaciones!BE$222:CL$222),LOOKUP(B71,Compesaciones!BE$238:CL$238,Compesaciones!BE$239:CL$239),LOOKUP(B71,Compesaciones!BE$255:CL$255,Compesaciones!BE$256:CL$256),LOOKUP(B71,Compesaciones!BE$273:CL$273,Compesaciones!BE$274:CL$274),LOOKUP(B71,Compesaciones!BE$290:CL$290,Compesaciones!BE$291:CL$291),LOOKUP(B71,Compesaciones!BE$308:CL$308,Compesaciones!BE$309:CL$309),LOOKUP(B71,Compesaciones!BE$325:CL$325,Compesaciones!BE$326:CL$326),LOOKUP(B71,Compesaciones!BE$343:CL$343,Compesaciones!BE$344:CL$344),LOOKUP(B71,Compesaciones!BE$361:CL$361,Compesaciones!BE$362:CL$362)))))*100000</f>
        <v>0</v>
      </c>
      <c r="G71" s="486">
        <f>IF(D70="",0,IF(F71=0,LOOKUP(D70,'Moms de Empt'!P$3:P$36,'Moms de Empt'!W$3:W$36),F71))</f>
        <v>0</v>
      </c>
      <c r="H71" s="712"/>
      <c r="I71" s="221" t="str">
        <f>IF(F71&lt;=0,"------",0.848-SQRT(0.719-F71/(0.53*100*(H70-Espesor!L$4)^2*Espesor!E$4)))</f>
        <v>------</v>
      </c>
      <c r="J71" s="221" t="str">
        <f>IF(F71&lt;=0,"------",IF(I71*Espesor!E$4/Espesor!H$4&lt;0.002,0.002,I71*Espesor!E$4/Espesor!H$4))</f>
        <v>------</v>
      </c>
      <c r="K71" s="222" t="str">
        <f>+IF(F71&lt;=0,"------",ROUND(J71*(H70-Espesor!L$4)*100,2))</f>
        <v>------</v>
      </c>
      <c r="L71" s="223">
        <f t="shared" si="12"/>
        <v>0.375</v>
      </c>
      <c r="M71" s="495">
        <f>IF(F71&lt;=0,0.25,IF(K71="------",IF(2*(H71)/100&gt;0.25,0.25,2*(H71)/100),(TRUNC(IF(L71=3/8,IF(0.71/K71&gt;2*H71/100,2*H71/100,0.71/K71),IF(L71=1/2,IF(1.27/K71&gt;2*H71/100,2*H71/100,1.27/K71),IF(2.85/K71&gt;2*H71/100,2*H71/100,2.85/K71))),2))))</f>
        <v>0.25</v>
      </c>
      <c r="N71" s="356">
        <f t="shared" si="18"/>
        <v>0</v>
      </c>
      <c r="O71" s="493" t="str">
        <f>IF(D70="","",IF(Espesor!D$4&gt;=D70,IF(F71&gt;0,"",IF(F71=0,"Acero por retracción y temperatura","Acero por arriba y por abajo")),""))</f>
        <v>Acero por retracción y temperatura</v>
      </c>
    </row>
  </sheetData>
  <mergeCells count="112">
    <mergeCell ref="C1:O1"/>
    <mergeCell ref="H62:H63"/>
    <mergeCell ref="H64:H65"/>
    <mergeCell ref="H66:H67"/>
    <mergeCell ref="H68:H69"/>
    <mergeCell ref="H70:H71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2:H23"/>
    <mergeCell ref="H24:H25"/>
    <mergeCell ref="H26:H27"/>
    <mergeCell ref="H28:H29"/>
    <mergeCell ref="H30:H31"/>
    <mergeCell ref="H12:H13"/>
    <mergeCell ref="H14:H15"/>
    <mergeCell ref="H16:H17"/>
    <mergeCell ref="H18:H19"/>
    <mergeCell ref="H20:H21"/>
    <mergeCell ref="H2:H3"/>
    <mergeCell ref="H4:H5"/>
    <mergeCell ref="H6:H7"/>
    <mergeCell ref="H8:H9"/>
    <mergeCell ref="H10:H11"/>
    <mergeCell ref="C66:C67"/>
    <mergeCell ref="D66:D67"/>
    <mergeCell ref="C68:C69"/>
    <mergeCell ref="D68:D69"/>
    <mergeCell ref="C70:C71"/>
    <mergeCell ref="D70:D71"/>
    <mergeCell ref="C60:C61"/>
    <mergeCell ref="D60:D61"/>
    <mergeCell ref="C62:C63"/>
    <mergeCell ref="D62:D63"/>
    <mergeCell ref="C64:C65"/>
    <mergeCell ref="D64:D65"/>
    <mergeCell ref="C54:C55"/>
    <mergeCell ref="D54:D55"/>
    <mergeCell ref="C56:C57"/>
    <mergeCell ref="D56:D57"/>
    <mergeCell ref="C58:C59"/>
    <mergeCell ref="D58:D59"/>
    <mergeCell ref="C44:C45"/>
    <mergeCell ref="C46:C47"/>
    <mergeCell ref="C48:C49"/>
    <mergeCell ref="C50:C51"/>
    <mergeCell ref="C52:C53"/>
    <mergeCell ref="D52:D53"/>
    <mergeCell ref="C34:C35"/>
    <mergeCell ref="C36:C37"/>
    <mergeCell ref="C38:C39"/>
    <mergeCell ref="C40:C41"/>
    <mergeCell ref="C42:C43"/>
    <mergeCell ref="C24:C25"/>
    <mergeCell ref="C26:C27"/>
    <mergeCell ref="C28:C29"/>
    <mergeCell ref="C30:C31"/>
    <mergeCell ref="C32:C33"/>
    <mergeCell ref="C16:C17"/>
    <mergeCell ref="C18:C19"/>
    <mergeCell ref="C20:C21"/>
    <mergeCell ref="C22:C23"/>
    <mergeCell ref="C4:C5"/>
    <mergeCell ref="C6:C7"/>
    <mergeCell ref="C8:C9"/>
    <mergeCell ref="C10:C11"/>
    <mergeCell ref="C12:C13"/>
    <mergeCell ref="C14:C15"/>
    <mergeCell ref="D14:D15"/>
    <mergeCell ref="I2:I3"/>
    <mergeCell ref="J2:J3"/>
    <mergeCell ref="K2:K3"/>
    <mergeCell ref="L2:M3"/>
    <mergeCell ref="N2:N3"/>
    <mergeCell ref="O2:O3"/>
    <mergeCell ref="D4:D5"/>
    <mergeCell ref="D6:D7"/>
    <mergeCell ref="D8:D9"/>
    <mergeCell ref="D10:D11"/>
    <mergeCell ref="D12:D13"/>
    <mergeCell ref="C2:E3"/>
    <mergeCell ref="F2:G3"/>
    <mergeCell ref="D40:D41"/>
    <mergeCell ref="D42:D43"/>
    <mergeCell ref="D44:D45"/>
    <mergeCell ref="D46:D47"/>
    <mergeCell ref="D48:D49"/>
    <mergeCell ref="D50:D51"/>
    <mergeCell ref="D38:D39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</mergeCells>
  <pageMargins left="1.36" right="0.43" top="0.61" bottom="0.59" header="0" footer="0"/>
  <pageSetup orientation="portrait" horizontalDpi="300" verticalDpi="300" r:id="rId1"/>
  <headerFooter alignWithMargins="0">
    <oddFooter>&amp;C&amp;11Cell Orange: 809-883-7811
e-mail: estrosingenieros@gmail.com, prosario@ucateci.edu.do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V169"/>
  <sheetViews>
    <sheetView workbookViewId="0">
      <selection activeCell="E5" sqref="E5"/>
    </sheetView>
  </sheetViews>
  <sheetFormatPr defaultColWidth="5.5546875" defaultRowHeight="18" customHeight="1"/>
  <cols>
    <col min="1" max="1" width="3.6640625" style="230" customWidth="1"/>
    <col min="2" max="2" width="4.109375" style="230" customWidth="1"/>
    <col min="3" max="6" width="4.33203125" style="230" customWidth="1"/>
    <col min="7" max="7" width="13.6640625" style="230" customWidth="1"/>
    <col min="8" max="8" width="9.44140625" style="230" hidden="1" customWidth="1"/>
    <col min="9" max="10" width="8.77734375" style="230" hidden="1" customWidth="1"/>
    <col min="11" max="13" width="5.77734375" style="229" hidden="1" customWidth="1"/>
    <col min="14" max="14" width="11.44140625" style="230" customWidth="1"/>
    <col min="15" max="15" width="7.6640625" style="230" customWidth="1"/>
    <col min="16" max="16" width="10.6640625" style="229" hidden="1" customWidth="1"/>
    <col min="17" max="20" width="11.77734375" style="230" hidden="1" customWidth="1"/>
    <col min="21" max="22" width="11.88671875" style="230" customWidth="1"/>
    <col min="23" max="24" width="5.5546875" style="230" customWidth="1"/>
    <col min="25" max="16384" width="5.5546875" style="230"/>
  </cols>
  <sheetData>
    <row r="1" spans="1:22" ht="18" customHeight="1">
      <c r="A1" s="417"/>
      <c r="B1" s="268"/>
      <c r="C1" s="268"/>
      <c r="D1" s="268"/>
      <c r="E1" s="268"/>
      <c r="F1" s="268"/>
      <c r="G1" s="268"/>
      <c r="H1" s="269" t="s">
        <v>133</v>
      </c>
      <c r="I1" s="268" t="str">
        <f>Espesor!J3</f>
        <v>Techo</v>
      </c>
      <c r="J1" s="268"/>
      <c r="K1" s="268"/>
      <c r="L1" s="268"/>
      <c r="M1" s="268"/>
      <c r="N1" s="268"/>
      <c r="O1" s="268"/>
    </row>
    <row r="2" spans="1:22" ht="18" customHeight="1" thickBot="1">
      <c r="A2" s="715" t="s">
        <v>84</v>
      </c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5"/>
      <c r="S2" s="715"/>
      <c r="T2" s="715"/>
      <c r="U2" s="715"/>
      <c r="V2" s="499">
        <v>80</v>
      </c>
    </row>
    <row r="3" spans="1:22" s="231" customFormat="1" ht="18" customHeight="1" thickTop="1" thickBot="1">
      <c r="A3" s="716" t="s">
        <v>73</v>
      </c>
      <c r="B3" s="717"/>
      <c r="C3" s="717"/>
      <c r="D3" s="717"/>
      <c r="E3" s="717"/>
      <c r="F3" s="718"/>
      <c r="G3" s="719" t="s">
        <v>164</v>
      </c>
      <c r="H3" s="719" t="s">
        <v>85</v>
      </c>
      <c r="I3" s="721" t="s">
        <v>69</v>
      </c>
      <c r="J3" s="721" t="s">
        <v>70</v>
      </c>
      <c r="K3" s="726" t="s">
        <v>74</v>
      </c>
      <c r="L3" s="717"/>
      <c r="M3" s="718"/>
      <c r="N3" s="727" t="s">
        <v>75</v>
      </c>
      <c r="O3" s="728"/>
      <c r="P3" s="724"/>
      <c r="Q3" s="724"/>
      <c r="R3" s="724"/>
      <c r="S3" s="724"/>
      <c r="T3" s="724"/>
    </row>
    <row r="4" spans="1:22" s="231" customFormat="1" ht="18" customHeight="1" thickTop="1" thickBot="1">
      <c r="A4" s="518" t="s">
        <v>9</v>
      </c>
      <c r="B4" s="519" t="s">
        <v>86</v>
      </c>
      <c r="C4" s="722" t="s">
        <v>121</v>
      </c>
      <c r="D4" s="723"/>
      <c r="E4" s="722" t="s">
        <v>122</v>
      </c>
      <c r="F4" s="723"/>
      <c r="G4" s="720"/>
      <c r="H4" s="720"/>
      <c r="I4" s="720"/>
      <c r="J4" s="720"/>
      <c r="K4" s="513" t="s">
        <v>76</v>
      </c>
      <c r="L4" s="514" t="s">
        <v>119</v>
      </c>
      <c r="M4" s="514" t="s">
        <v>120</v>
      </c>
      <c r="N4" s="729"/>
      <c r="O4" s="730"/>
      <c r="P4" s="725"/>
      <c r="Q4" s="724"/>
      <c r="R4" s="724"/>
      <c r="S4" s="724"/>
      <c r="T4" s="724"/>
    </row>
    <row r="5" spans="1:22" s="233" customFormat="1" ht="18" customHeight="1" thickTop="1">
      <c r="A5" s="504">
        <f>+IF(V$2&gt;=1,1,"")</f>
        <v>1</v>
      </c>
      <c r="B5" s="505" t="str">
        <f>+IF(A5="","","x")</f>
        <v>x</v>
      </c>
      <c r="C5" s="515" t="str">
        <f>IF(A5="","",IF(Espesor!$J$3="Techo","Lt-","Le-"))</f>
        <v>Lt-</v>
      </c>
      <c r="D5" s="516">
        <f>IF(F5="","",Compesaciones!B2)</f>
        <v>3</v>
      </c>
      <c r="E5" s="515" t="str">
        <f>IF(A5="","",IF(Espesor!$J$3="Techo","Lt-","Le-"))</f>
        <v>Lt-</v>
      </c>
      <c r="F5" s="516">
        <f>IF(Compesaciones!E27="","",Compesaciones!C2)</f>
        <v>4</v>
      </c>
      <c r="G5" s="508">
        <f>IF(A5="","",Compesaciones!D36)</f>
        <v>76923.530000000013</v>
      </c>
      <c r="H5" s="509">
        <f>IF(F5=0,"",MAX(LOOKUP(D5,Espesor!C$8:C$41,Espesor!O$8:O$41),LOOKUP(F5,Espesor!C$8:C$41,Espesor!O$8:O$41)))</f>
        <v>16</v>
      </c>
      <c r="I5" s="510">
        <f>IF(G5="","",IF(G5&lt;=0,"",0.848-SQRT(0.719-G5/(0.53*100*(H5-Espesor!L$4)^2*Espesor!E$4))))</f>
        <v>1.6173788164845049E-2</v>
      </c>
      <c r="J5" s="510">
        <f>IF(G5="","",IF(G5&lt;=0,"",IF(I5*Espesor!E$4/Espesor!H$4&lt;0.002,0.002,I5*Espesor!E$4/Espesor!H$4)))</f>
        <v>2E-3</v>
      </c>
      <c r="K5" s="517">
        <f>IF(G5="","",IF(G5&lt;=0,"------",ROUND(J5*(H5-Espesor!L$4)*100,2)))</f>
        <v>3.2</v>
      </c>
      <c r="L5" s="508">
        <f>IF(A5="",0,LOOKUP(D5,'M+'!$A$4:$A$71,'M+'!$N$4:$N$71))</f>
        <v>3.2272727272727271</v>
      </c>
      <c r="M5" s="508">
        <f>IF(A5="",0,LOOKUP(F5,'M+'!$A$4:$A$71,'M+'!$N$4:$N$71))</f>
        <v>2.84</v>
      </c>
      <c r="N5" s="517" t="str">
        <f>IF(G5="","",IF(G5=0,"",IF(P5&gt;=K5,"------",IF(O5=Q5,"3/8   a",IF(O5=R5,"1/2   a",IF(O5=S5,"3/4   a","1   a"))))))</f>
        <v>3/8   a</v>
      </c>
      <c r="O5" s="512">
        <f>IF(G5="","",IF(G5=0,"    ",IF(K5=P5,"------",IF(Q5&lt;0.1,IF(R5&lt;0.1,IF(S5&lt;0.1,T5,S5),R5),Q5))))</f>
        <v>1</v>
      </c>
      <c r="P5" s="501">
        <f t="shared" ref="P5" si="0">IF(G5=0,0,IF(L5="------","",IF((L5+M5)/2&lt;0,0,(L5+M5)/2)))</f>
        <v>3.0336363636363632</v>
      </c>
      <c r="Q5" s="234">
        <f t="shared" ref="Q5" si="1">IF(G5&lt;=0,"",IF(P5="","",IF(ROUNDDOWN(0.71/(K5-P5),2)&lt;0,"------",IF(ROUNDDOWN(0.71/(K5-P5),2)&gt;1,1,ROUNDDOWN(0.71/(K5-P5),2)))))</f>
        <v>1</v>
      </c>
      <c r="R5" s="234">
        <f t="shared" ref="R5" si="2">IF(G5&lt;=0,"",IF(P5="","",IF(ROUNDDOWN(1.27/(K5-P5),2)&lt;0,"------",ROUNDDOWN(1.27/(K5-P5),2))))</f>
        <v>7.63</v>
      </c>
      <c r="S5" s="234">
        <f t="shared" ref="S5" si="3">IF(G5&lt;=0,"",IF(P5="","",IF(ROUNDDOWN(2.85/(K5-P5),2)&lt;0,"------",ROUNDDOWN(2.85/(K5-P5),2))))</f>
        <v>17.13</v>
      </c>
      <c r="T5" s="235">
        <f t="shared" ref="T5" si="4">IF(G5&lt;=0,"",IF(P5="","",IF(ROUNDDOWN(5.07/(K5-P5),2)&lt;0,"------",ROUNDDOWN(5.07/(K5-P5),2))))</f>
        <v>30.47</v>
      </c>
    </row>
    <row r="6" spans="1:22" s="236" customFormat="1" ht="18" hidden="1" customHeight="1">
      <c r="A6" s="504" t="str">
        <f>IF(F6=0,"",IF(A5="",IF(V$2&gt;=MAX(A5)+1,MAX(A5)+1,""),A5+1))</f>
        <v/>
      </c>
      <c r="B6" s="505" t="str">
        <f t="shared" ref="B6:B16" si="5">+IF(A6="","","x")</f>
        <v/>
      </c>
      <c r="C6" s="515" t="str">
        <f>IF(A6="","",IF(Espesor!$J$3="Techo","Lt-","Le-"))</f>
        <v/>
      </c>
      <c r="D6" s="516">
        <f>+Compesaciones!C2</f>
        <v>4</v>
      </c>
      <c r="E6" s="515" t="str">
        <f>IF(A6="","",IF(Espesor!$J$3="Techo","Lt-","Le-"))</f>
        <v/>
      </c>
      <c r="F6" s="516">
        <f>+Compesaciones!D2</f>
        <v>0</v>
      </c>
      <c r="G6" s="508" t="str">
        <f>IF(A6="","",Compesaciones!G36)</f>
        <v/>
      </c>
      <c r="H6" s="509" t="str">
        <f>IF(F6=0,"",MAX(LOOKUP(D6,Espesor!C$8:C$41,Espesor!O$8:O$41),LOOKUP(F6,Espesor!C$8:C$41,Espesor!O$8:O$41)))</f>
        <v/>
      </c>
      <c r="I6" s="510" t="str">
        <f>IF(G6="","",IF(G6&lt;=0,"",0.848-SQRT(0.719-G6/(0.53*100*(H6-Espesor!L$4)^2*Espesor!E$4))))</f>
        <v/>
      </c>
      <c r="J6" s="510" t="str">
        <f>IF(G6="","",IF(G6&lt;=0,"",IF(I6*Espesor!E$4/Espesor!H$4&lt;0.002,0.002,I6*Espesor!E$4/Espesor!H$4)))</f>
        <v/>
      </c>
      <c r="K6" s="517" t="str">
        <f>IF(G6="","",IF(G6&lt;=0,"------",ROUND(J6*(H6-Espesor!L$4)*100,2)))</f>
        <v/>
      </c>
      <c r="L6" s="508">
        <f>IF(A6="",0,LOOKUP(D6,'M+'!$A$4:$A$71,'M+'!$N$4:$N$71))</f>
        <v>0</v>
      </c>
      <c r="M6" s="508">
        <f>IF(A6="",0,LOOKUP(F6,'M+'!$A$4:$A$71,'M+'!$N$4:$N$71))</f>
        <v>0</v>
      </c>
      <c r="N6" s="517" t="str">
        <f>IF(G6="","",IF(G6=0,"",IF(P6&gt;=K6,"------",IF(O6=Q6,"3/8   a",IF(O6=R6,"1/2   a",IF(O6=S6,"3/4   a","1   a"))))))</f>
        <v/>
      </c>
      <c r="O6" s="512" t="str">
        <f>IF(G6="","",IF(G6=0,"    ",IF(K6=P6,"------",IF(Q6&lt;0.1,IF(R6&lt;0.1,IF(S6&lt;0.1,T6,S6),R6),Q6))))</f>
        <v/>
      </c>
      <c r="P6" s="501">
        <f t="shared" ref="P6:P16" si="6">IF(G6=0,0,IF(L6="------","",IF((L6+M6)/2&lt;0,0,(L6+M6)/2)))</f>
        <v>0</v>
      </c>
      <c r="Q6" s="234" t="e">
        <f t="shared" ref="Q6:Q16" si="7">IF(G6&lt;=0,"",IF(P6="","",IF(ROUNDDOWN(0.71/(K6-P6),2)&lt;0,"------",IF(ROUNDDOWN(0.71/(K6-P6),2)&gt;1,1,ROUNDDOWN(0.71/(K6-P6),2)))))</f>
        <v>#VALUE!</v>
      </c>
      <c r="R6" s="234" t="e">
        <f t="shared" ref="R6:R16" si="8">IF(G6&lt;=0,"",IF(P6="","",IF(ROUNDDOWN(1.27/(K6-P6),2)&lt;0,"------",ROUNDDOWN(1.27/(K6-P6),2))))</f>
        <v>#VALUE!</v>
      </c>
      <c r="S6" s="234" t="e">
        <f t="shared" ref="S6:S16" si="9">IF(G6&lt;=0,"",IF(P6="","",IF(ROUNDDOWN(2.85/(K6-P6),2)&lt;0,"------",ROUNDDOWN(2.85/(K6-P6),2))))</f>
        <v>#VALUE!</v>
      </c>
      <c r="T6" s="235" t="e">
        <f t="shared" ref="T6:T16" si="10">IF(G6&lt;=0,"",IF(P6="","",IF(ROUNDDOWN(5.07/(K6-P6),2)&lt;0,"------",ROUNDDOWN(5.07/(K6-P6),2))))</f>
        <v>#VALUE!</v>
      </c>
    </row>
    <row r="7" spans="1:22" s="231" customFormat="1" ht="18" hidden="1" customHeight="1">
      <c r="A7" s="504" t="str">
        <f>IF(F7=0,"",IF(A6="",IF(V$2&gt;=MAX(A$5:A6)+1,MAX(A$5:A6)+1,""),A6+1))</f>
        <v/>
      </c>
      <c r="B7" s="505" t="str">
        <f t="shared" si="5"/>
        <v/>
      </c>
      <c r="C7" s="515" t="str">
        <f>IF(A7="","",IF(Espesor!$J$3="Techo","Lt-","Le-"))</f>
        <v/>
      </c>
      <c r="D7" s="516">
        <f>+Compesaciones!D2</f>
        <v>0</v>
      </c>
      <c r="E7" s="515" t="str">
        <f>IF(A7="","",IF(Espesor!$J$3="Techo","Lt-","Le-"))</f>
        <v/>
      </c>
      <c r="F7" s="516">
        <f>+Compesaciones!E2</f>
        <v>0</v>
      </c>
      <c r="G7" s="508" t="str">
        <f>IF(A7="","",Compesaciones!J36)</f>
        <v/>
      </c>
      <c r="H7" s="509" t="str">
        <f>IF(F7=0,"",MAX(LOOKUP(D7,Espesor!C$8:C$41,Espesor!O$8:O$41),LOOKUP(F7,Espesor!C$8:C$41,Espesor!O$8:O$41)))</f>
        <v/>
      </c>
      <c r="I7" s="510" t="str">
        <f>IF(G7="","",IF(G7&lt;=0,"",0.848-SQRT(0.719-G7/(0.53*100*(H7-Espesor!L$4)^2*Espesor!E$4))))</f>
        <v/>
      </c>
      <c r="J7" s="510" t="str">
        <f>IF(G7="","",IF(G7&lt;=0,"",IF(I7*Espesor!E$4/Espesor!H$4&lt;0.002,0.002,I7*Espesor!E$4/Espesor!H$4)))</f>
        <v/>
      </c>
      <c r="K7" s="517" t="str">
        <f>IF(G7="","",IF(G7&lt;=0,"------",ROUND(J7*(H7-Espesor!L$4)*100,2)))</f>
        <v/>
      </c>
      <c r="L7" s="508">
        <f>IF(A7="",0,LOOKUP(D7,'M+'!$A$4:$A$71,'M+'!$N$4:$N$71))</f>
        <v>0</v>
      </c>
      <c r="M7" s="508">
        <f>IF(A7="",0,LOOKUP(F7,'M+'!$A$4:$A$71,'M+'!$N$4:$N$71))</f>
        <v>0</v>
      </c>
      <c r="N7" s="517" t="str">
        <f t="shared" ref="N7:N16" si="11">IF(G7="","",IF(G7=0,"",IF(P7&gt;=K7,"------",IF(O7=Q7,"3/8   a",IF(O7=R7,"1/2   a",IF(O7=S7,"3/4   a","1   a"))))))</f>
        <v/>
      </c>
      <c r="O7" s="512" t="str">
        <f t="shared" ref="O7:O16" si="12">IF(G7="","",IF(G7=0,"    ",IF(K7=P7,"------",IF(Q7&lt;0.1,IF(R7&lt;0.1,IF(S7&lt;0.1,T7,S7),R7),Q7))))</f>
        <v/>
      </c>
      <c r="P7" s="501">
        <f t="shared" si="6"/>
        <v>0</v>
      </c>
      <c r="Q7" s="234" t="e">
        <f t="shared" si="7"/>
        <v>#VALUE!</v>
      </c>
      <c r="R7" s="234" t="e">
        <f t="shared" si="8"/>
        <v>#VALUE!</v>
      </c>
      <c r="S7" s="234" t="e">
        <f t="shared" si="9"/>
        <v>#VALUE!</v>
      </c>
      <c r="T7" s="235" t="e">
        <f t="shared" si="10"/>
        <v>#VALUE!</v>
      </c>
    </row>
    <row r="8" spans="1:22" s="231" customFormat="1" ht="18" hidden="1" customHeight="1">
      <c r="A8" s="504" t="str">
        <f>IF(F8=0,"",IF(A7="",IF(V$2&gt;=MAX(A$5:A7)+1,MAX(A$5:A7)+1,""),A7+1))</f>
        <v/>
      </c>
      <c r="B8" s="505" t="str">
        <f t="shared" si="5"/>
        <v/>
      </c>
      <c r="C8" s="515" t="str">
        <f>IF(A8="","",IF(Espesor!$J$3="Techo","Lt-","Le-"))</f>
        <v/>
      </c>
      <c r="D8" s="516">
        <f>+Compesaciones!E2</f>
        <v>0</v>
      </c>
      <c r="E8" s="515" t="str">
        <f>IF(A8="","",IF(Espesor!$J$3="Techo","Lt-","Le-"))</f>
        <v/>
      </c>
      <c r="F8" s="516">
        <f>+Compesaciones!F2</f>
        <v>0</v>
      </c>
      <c r="G8" s="508" t="str">
        <f>IF(A8="","",Compesaciones!M36)</f>
        <v/>
      </c>
      <c r="H8" s="509" t="str">
        <f>IF(F8=0,"",MAX(LOOKUP(D8,Espesor!C$8:C$41,Espesor!O$8:O$41),LOOKUP(F8,Espesor!C$8:C$41,Espesor!O$8:O$41)))</f>
        <v/>
      </c>
      <c r="I8" s="510" t="str">
        <f>IF(G8="","",IF(G8&lt;=0,"",0.848-SQRT(0.719-G8/(0.53*100*(H8-Espesor!L$4)^2*Espesor!E$4))))</f>
        <v/>
      </c>
      <c r="J8" s="510" t="str">
        <f>IF(G8="","",IF(G8&lt;=0,"",IF(I8*Espesor!E$4/Espesor!H$4&lt;0.002,0.002,I8*Espesor!E$4/Espesor!H$4)))</f>
        <v/>
      </c>
      <c r="K8" s="517" t="str">
        <f>IF(G8="","",IF(G8&lt;=0,"------",ROUND(J8*(H8-Espesor!L$4)*100,2)))</f>
        <v/>
      </c>
      <c r="L8" s="508">
        <f>IF(A8="",0,LOOKUP(D8,'M+'!$A$4:$A$71,'M+'!$N$4:$N$71))</f>
        <v>0</v>
      </c>
      <c r="M8" s="508">
        <f>IF(A8="",0,LOOKUP(F8,'M+'!$A$4:$A$71,'M+'!$N$4:$N$71))</f>
        <v>0</v>
      </c>
      <c r="N8" s="517" t="str">
        <f t="shared" si="11"/>
        <v/>
      </c>
      <c r="O8" s="512" t="str">
        <f t="shared" si="12"/>
        <v/>
      </c>
      <c r="P8" s="501">
        <f t="shared" si="6"/>
        <v>0</v>
      </c>
      <c r="Q8" s="234" t="e">
        <f t="shared" si="7"/>
        <v>#VALUE!</v>
      </c>
      <c r="R8" s="234" t="e">
        <f t="shared" si="8"/>
        <v>#VALUE!</v>
      </c>
      <c r="S8" s="234" t="e">
        <f t="shared" si="9"/>
        <v>#VALUE!</v>
      </c>
      <c r="T8" s="235" t="e">
        <f t="shared" si="10"/>
        <v>#VALUE!</v>
      </c>
    </row>
    <row r="9" spans="1:22" ht="18" hidden="1" customHeight="1">
      <c r="A9" s="504" t="str">
        <f>IF(F9=0,"",IF(A8="",IF(V$2&gt;=MAX(A$5:A8)+1,MAX(A$5:A8)+1,""),A8+1))</f>
        <v/>
      </c>
      <c r="B9" s="505" t="str">
        <f t="shared" si="5"/>
        <v/>
      </c>
      <c r="C9" s="515" t="str">
        <f>IF(A9="","",IF(Espesor!$J$3="Techo","Lt-","Le-"))</f>
        <v/>
      </c>
      <c r="D9" s="516">
        <f>+Compesaciones!F2</f>
        <v>0</v>
      </c>
      <c r="E9" s="515" t="str">
        <f>IF(A9="","",IF(Espesor!$J$3="Techo","Lt-","Le-"))</f>
        <v/>
      </c>
      <c r="F9" s="516">
        <f>+Compesaciones!G2</f>
        <v>0</v>
      </c>
      <c r="G9" s="508" t="str">
        <f>IF(A9="","",Compesaciones!P36)</f>
        <v/>
      </c>
      <c r="H9" s="509" t="str">
        <f>IF(F9=0,"",MAX(LOOKUP(D9,Espesor!C$8:C$41,Espesor!O$8:O$41),LOOKUP(F9,Espesor!C$8:C$41,Espesor!O$8:O$41)))</f>
        <v/>
      </c>
      <c r="I9" s="510" t="str">
        <f>IF(G9="","",IF(G9&lt;=0,"",0.848-SQRT(0.719-G9/(0.53*100*(H9-Espesor!L$4)^2*Espesor!E$4))))</f>
        <v/>
      </c>
      <c r="J9" s="510" t="str">
        <f>IF(G9="","",IF(G9&lt;=0,"",IF(I9*Espesor!E$4/Espesor!H$4&lt;0.002,0.002,I9*Espesor!E$4/Espesor!H$4)))</f>
        <v/>
      </c>
      <c r="K9" s="517" t="str">
        <f>IF(G9="","",IF(G9&lt;=0,"------",ROUND(J9*(H9-Espesor!L$4)*100,2)))</f>
        <v/>
      </c>
      <c r="L9" s="508">
        <f>IF(A9="",0,LOOKUP(D9,'M+'!$A$4:$A$71,'M+'!$N$4:$N$71))</f>
        <v>0</v>
      </c>
      <c r="M9" s="508">
        <f>IF(A9="",0,LOOKUP(F9,'M+'!$A$4:$A$71,'M+'!$N$4:$N$71))</f>
        <v>0</v>
      </c>
      <c r="N9" s="517" t="str">
        <f t="shared" si="11"/>
        <v/>
      </c>
      <c r="O9" s="512" t="str">
        <f t="shared" si="12"/>
        <v/>
      </c>
      <c r="P9" s="501">
        <f t="shared" si="6"/>
        <v>0</v>
      </c>
      <c r="Q9" s="234" t="e">
        <f t="shared" si="7"/>
        <v>#VALUE!</v>
      </c>
      <c r="R9" s="234" t="e">
        <f t="shared" si="8"/>
        <v>#VALUE!</v>
      </c>
      <c r="S9" s="234" t="e">
        <f t="shared" si="9"/>
        <v>#VALUE!</v>
      </c>
      <c r="T9" s="235" t="e">
        <f t="shared" si="10"/>
        <v>#VALUE!</v>
      </c>
    </row>
    <row r="10" spans="1:22" ht="18" hidden="1" customHeight="1">
      <c r="A10" s="504" t="str">
        <f>IF(F10=0,"",IF(A9="",IF(V$2&gt;=MAX(A$5:A9)+1,MAX(A$5:A9)+1,""),A9+1))</f>
        <v/>
      </c>
      <c r="B10" s="505" t="str">
        <f t="shared" si="5"/>
        <v/>
      </c>
      <c r="C10" s="515" t="str">
        <f>IF(A10="","",IF(Espesor!$J$3="Techo","Lt-","Le-"))</f>
        <v/>
      </c>
      <c r="D10" s="516">
        <f>+Compesaciones!G2</f>
        <v>0</v>
      </c>
      <c r="E10" s="515" t="str">
        <f>IF(A10="","",IF(Espesor!$J$3="Techo","Lt-","Le-"))</f>
        <v/>
      </c>
      <c r="F10" s="516">
        <f>+Compesaciones!H2</f>
        <v>0</v>
      </c>
      <c r="G10" s="508" t="str">
        <f>IF(A10="","",Compesaciones!S36)</f>
        <v/>
      </c>
      <c r="H10" s="509" t="str">
        <f>IF(F10=0,"",MAX(LOOKUP(D10,Espesor!C$8:C$41,Espesor!O$8:O$41),LOOKUP(F10,Espesor!C$8:C$41,Espesor!O$8:O$41)))</f>
        <v/>
      </c>
      <c r="I10" s="510" t="str">
        <f>IF(G10="","",IF(G10&lt;=0,"",0.848-SQRT(0.719-G10/(0.53*100*(H10-Espesor!L$4)^2*Espesor!E$4))))</f>
        <v/>
      </c>
      <c r="J10" s="510" t="str">
        <f>IF(G10="","",IF(G10&lt;=0,"",IF(I10*Espesor!E$4/Espesor!H$4&lt;0.002,0.002,I10*Espesor!E$4/Espesor!H$4)))</f>
        <v/>
      </c>
      <c r="K10" s="517" t="str">
        <f>IF(G10="","",IF(G10&lt;=0,"------",ROUND(J10*(H10-Espesor!L$4)*100,2)))</f>
        <v/>
      </c>
      <c r="L10" s="508">
        <f>IF(A10="",0,LOOKUP(D10,'M+'!$A$4:$A$71,'M+'!$N$4:$N$71))</f>
        <v>0</v>
      </c>
      <c r="M10" s="508">
        <f>IF(A10="",0,LOOKUP(F10,'M+'!$A$4:$A$71,'M+'!$N$4:$N$71))</f>
        <v>0</v>
      </c>
      <c r="N10" s="517" t="str">
        <f t="shared" si="11"/>
        <v/>
      </c>
      <c r="O10" s="512" t="str">
        <f t="shared" si="12"/>
        <v/>
      </c>
      <c r="P10" s="501">
        <f t="shared" si="6"/>
        <v>0</v>
      </c>
      <c r="Q10" s="234" t="e">
        <f t="shared" si="7"/>
        <v>#VALUE!</v>
      </c>
      <c r="R10" s="234" t="e">
        <f t="shared" si="8"/>
        <v>#VALUE!</v>
      </c>
      <c r="S10" s="234" t="e">
        <f t="shared" si="9"/>
        <v>#VALUE!</v>
      </c>
      <c r="T10" s="235" t="e">
        <f t="shared" si="10"/>
        <v>#VALUE!</v>
      </c>
    </row>
    <row r="11" spans="1:22" ht="18" hidden="1" customHeight="1">
      <c r="A11" s="504" t="str">
        <f>IF(F11=0,"",IF(A10="",IF(V$2&gt;=MAX(A$5:A10)+1,MAX(A$5:A10)+1,""),A10+1))</f>
        <v/>
      </c>
      <c r="B11" s="505" t="str">
        <f t="shared" si="5"/>
        <v/>
      </c>
      <c r="C11" s="515" t="str">
        <f>IF(A11="","",IF(Espesor!$J$3="Techo","Lt-","Le-"))</f>
        <v/>
      </c>
      <c r="D11" s="516">
        <f>+Compesaciones!H2</f>
        <v>0</v>
      </c>
      <c r="E11" s="515" t="str">
        <f>IF(A11="","",IF(Espesor!$J$3="Techo","Lt-","Le-"))</f>
        <v/>
      </c>
      <c r="F11" s="516">
        <f>+Compesaciones!I2</f>
        <v>0</v>
      </c>
      <c r="G11" s="508" t="str">
        <f>IF(A11="","",Compesaciones!V36)</f>
        <v/>
      </c>
      <c r="H11" s="509" t="str">
        <f>IF(F11=0,"",MAX(LOOKUP(D11,Espesor!C$8:C$41,Espesor!O$8:O$41),LOOKUP(F11,Espesor!C$8:C$41,Espesor!O$8:O$41)))</f>
        <v/>
      </c>
      <c r="I11" s="510" t="str">
        <f>IF(G11="","",IF(G11&lt;=0,"",0.848-SQRT(0.719-G11/(0.53*100*(H11-Espesor!L$4)^2*Espesor!E$4))))</f>
        <v/>
      </c>
      <c r="J11" s="510" t="str">
        <f>IF(G11="","",IF(G11&lt;=0,"",IF(I11*Espesor!E$4/Espesor!H$4&lt;0.002,0.002,I11*Espesor!E$4/Espesor!H$4)))</f>
        <v/>
      </c>
      <c r="K11" s="517" t="str">
        <f>IF(G11="","",IF(G11&lt;=0,"------",ROUND(J11*(H11-Espesor!L$4)*100,2)))</f>
        <v/>
      </c>
      <c r="L11" s="508">
        <f>IF(A11="",0,LOOKUP(D11,'M+'!$A$4:$A$71,'M+'!$N$4:$N$71))</f>
        <v>0</v>
      </c>
      <c r="M11" s="508">
        <f>IF(A11="",0,LOOKUP(F11,'M+'!$A$4:$A$71,'M+'!$N$4:$N$71))</f>
        <v>0</v>
      </c>
      <c r="N11" s="517" t="str">
        <f t="shared" si="11"/>
        <v/>
      </c>
      <c r="O11" s="512" t="str">
        <f t="shared" si="12"/>
        <v/>
      </c>
      <c r="P11" s="501">
        <f t="shared" si="6"/>
        <v>0</v>
      </c>
      <c r="Q11" s="234" t="e">
        <f t="shared" si="7"/>
        <v>#VALUE!</v>
      </c>
      <c r="R11" s="234" t="e">
        <f t="shared" si="8"/>
        <v>#VALUE!</v>
      </c>
      <c r="S11" s="234" t="e">
        <f t="shared" si="9"/>
        <v>#VALUE!</v>
      </c>
      <c r="T11" s="235" t="e">
        <f t="shared" si="10"/>
        <v>#VALUE!</v>
      </c>
    </row>
    <row r="12" spans="1:22" ht="18" hidden="1" customHeight="1">
      <c r="A12" s="504" t="str">
        <f>IF(F12=0,"",IF(A11="",IF(V$2&gt;=MAX(A$5:A11)+1,MAX(A$5:A11)+1,""),A11+1))</f>
        <v/>
      </c>
      <c r="B12" s="505" t="str">
        <f>+IF(A12="","","x")</f>
        <v/>
      </c>
      <c r="C12" s="515" t="str">
        <f>IF(A12="","",IF(Espesor!$J$3="Techo","Lt-","Le-"))</f>
        <v/>
      </c>
      <c r="D12" s="516">
        <f>+Compesaciones!I2</f>
        <v>0</v>
      </c>
      <c r="E12" s="515" t="str">
        <f>IF(A12="","",IF(Espesor!$J$3="Techo","Lt-","Le-"))</f>
        <v/>
      </c>
      <c r="F12" s="516">
        <f>+Compesaciones!J2</f>
        <v>0</v>
      </c>
      <c r="G12" s="508" t="str">
        <f>IF(A12="","",Compesaciones!Y36)</f>
        <v/>
      </c>
      <c r="H12" s="509" t="str">
        <f>IF(F12=0,"",MAX(LOOKUP(D12,Espesor!C$8:C$41,Espesor!O$8:O$41),LOOKUP(F12,Espesor!C$8:C$41,Espesor!O$8:O$41)))</f>
        <v/>
      </c>
      <c r="I12" s="510" t="str">
        <f>IF(G12="","",IF(G12&lt;=0,"",0.848-SQRT(0.719-G12/(0.53*100*(H12-Espesor!L$4)^2*Espesor!E$4))))</f>
        <v/>
      </c>
      <c r="J12" s="510" t="str">
        <f>IF(G12="","",IF(G12&lt;=0,"",IF(I12*Espesor!E$4/Espesor!H$4&lt;0.002,0.002,I12*Espesor!E$4/Espesor!H$4)))</f>
        <v/>
      </c>
      <c r="K12" s="517" t="str">
        <f>IF(G12="","",IF(G12&lt;=0,"------",ROUND(J12*(H12-Espesor!L$4)*100,2)))</f>
        <v/>
      </c>
      <c r="L12" s="508">
        <f>IF(A12="",0,LOOKUP(D12,'M+'!$A$4:$A$71,'M+'!$N$4:$N$71))</f>
        <v>0</v>
      </c>
      <c r="M12" s="508">
        <f>IF(A12="",0,LOOKUP(F12,'M+'!$A$4:$A$71,'M+'!$N$4:$N$71))</f>
        <v>0</v>
      </c>
      <c r="N12" s="517" t="str">
        <f t="shared" si="11"/>
        <v/>
      </c>
      <c r="O12" s="512" t="str">
        <f t="shared" si="12"/>
        <v/>
      </c>
      <c r="P12" s="501">
        <f t="shared" si="6"/>
        <v>0</v>
      </c>
      <c r="Q12" s="234" t="e">
        <f t="shared" si="7"/>
        <v>#VALUE!</v>
      </c>
      <c r="R12" s="234" t="e">
        <f t="shared" si="8"/>
        <v>#VALUE!</v>
      </c>
      <c r="S12" s="234" t="e">
        <f t="shared" si="9"/>
        <v>#VALUE!</v>
      </c>
      <c r="T12" s="235" t="e">
        <f t="shared" si="10"/>
        <v>#VALUE!</v>
      </c>
    </row>
    <row r="13" spans="1:22" ht="18" hidden="1" customHeight="1">
      <c r="A13" s="504" t="str">
        <f>IF(F13=0,"",IF(A12="",IF(V$2&gt;=MAX(A$5:A12)+1,MAX(A$5:A12)+1,""),A12+1))</f>
        <v/>
      </c>
      <c r="B13" s="505" t="str">
        <f t="shared" si="5"/>
        <v/>
      </c>
      <c r="C13" s="515" t="str">
        <f>IF(A13="","",IF(Espesor!$J$3="Techo","Lt-","Le-"))</f>
        <v/>
      </c>
      <c r="D13" s="516">
        <f>+Compesaciones!B3</f>
        <v>0</v>
      </c>
      <c r="E13" s="515" t="str">
        <f>IF(A13="","",IF(Espesor!$J$3="Techo","Lt-","Le-"))</f>
        <v/>
      </c>
      <c r="F13" s="516">
        <f>+Compesaciones!C3</f>
        <v>0</v>
      </c>
      <c r="G13" s="508" t="str">
        <f>IF(A13="","",Compesaciones!D54)</f>
        <v/>
      </c>
      <c r="H13" s="509" t="str">
        <f>IF(F13=0,"",MAX(LOOKUP(D13,Espesor!C$8:C$41,Espesor!O$8:O$41),LOOKUP(F13,Espesor!C$8:C$41,Espesor!O$8:O$41)))</f>
        <v/>
      </c>
      <c r="I13" s="510" t="str">
        <f>IF(G13="","",IF(G13&lt;=0,"",0.848-SQRT(0.719-G13/(0.53*100*(H13-Espesor!L$4)^2*Espesor!E$4))))</f>
        <v/>
      </c>
      <c r="J13" s="510" t="str">
        <f>IF(G13="","",IF(G13&lt;=0,"",IF(I13*Espesor!E$4/Espesor!H$4&lt;0.002,0.002,I13*Espesor!E$4/Espesor!H$4)))</f>
        <v/>
      </c>
      <c r="K13" s="517" t="str">
        <f>IF(G13="","",IF(G13&lt;=0,"------",ROUND(J13*(H13-Espesor!L$4)*100,2)))</f>
        <v/>
      </c>
      <c r="L13" s="508">
        <f>IF(A13="",0,LOOKUP(D13,'M+'!$A$4:$A$71,'M+'!$N$4:$N$71))</f>
        <v>0</v>
      </c>
      <c r="M13" s="508">
        <f>IF(A13="",0,LOOKUP(F13,'M+'!$A$4:$A$71,'M+'!$N$4:$N$71))</f>
        <v>0</v>
      </c>
      <c r="N13" s="517" t="str">
        <f t="shared" si="11"/>
        <v/>
      </c>
      <c r="O13" s="512" t="str">
        <f t="shared" si="12"/>
        <v/>
      </c>
      <c r="P13" s="501">
        <f t="shared" si="6"/>
        <v>0</v>
      </c>
      <c r="Q13" s="234" t="e">
        <f t="shared" si="7"/>
        <v>#VALUE!</v>
      </c>
      <c r="R13" s="234" t="e">
        <f t="shared" si="8"/>
        <v>#VALUE!</v>
      </c>
      <c r="S13" s="234" t="e">
        <f t="shared" si="9"/>
        <v>#VALUE!</v>
      </c>
      <c r="T13" s="235" t="e">
        <f t="shared" si="10"/>
        <v>#VALUE!</v>
      </c>
    </row>
    <row r="14" spans="1:22" ht="18" hidden="1" customHeight="1">
      <c r="A14" s="504" t="str">
        <f>IF(F14=0,"",IF(A13="",IF(V$2&gt;=MAX(A$5:A13)+1,MAX(A$5:A13)+1,""),A13+1))</f>
        <v/>
      </c>
      <c r="B14" s="505" t="str">
        <f t="shared" si="5"/>
        <v/>
      </c>
      <c r="C14" s="515" t="str">
        <f>IF(A14="","",IF(Espesor!$J$3="Techo","Lt-","Le-"))</f>
        <v/>
      </c>
      <c r="D14" s="516">
        <f>+Compesaciones!C3</f>
        <v>0</v>
      </c>
      <c r="E14" s="515" t="str">
        <f>IF(A14="","",IF(Espesor!$J$3="Techo","Lt-","Le-"))</f>
        <v/>
      </c>
      <c r="F14" s="516">
        <f>+Compesaciones!D3</f>
        <v>0</v>
      </c>
      <c r="G14" s="508" t="str">
        <f>IF(A14="","",Compesaciones!G54)</f>
        <v/>
      </c>
      <c r="H14" s="509" t="str">
        <f>IF(F14=0,"",MAX(LOOKUP(D14,Espesor!C$8:C$41,Espesor!O$8:O$41),LOOKUP(F14,Espesor!C$8:C$41,Espesor!O$8:O$41)))</f>
        <v/>
      </c>
      <c r="I14" s="510" t="str">
        <f>IF(G14="","",IF(G14&lt;=0,"",0.848-SQRT(0.719-G14/(0.53*100*(H14-Espesor!L$4)^2*Espesor!E$4))))</f>
        <v/>
      </c>
      <c r="J14" s="510" t="str">
        <f>IF(G14="","",IF(G14&lt;=0,"",IF(I14*Espesor!E$4/Espesor!H$4&lt;0.002,0.002,I14*Espesor!E$4/Espesor!H$4)))</f>
        <v/>
      </c>
      <c r="K14" s="517" t="str">
        <f>IF(G14="","",IF(G14&lt;=0,"------",ROUND(J14*(H14-Espesor!L$4)*100,2)))</f>
        <v/>
      </c>
      <c r="L14" s="508">
        <f>IF(A14="",0,LOOKUP(D14,'M+'!$A$4:$A$71,'M+'!$N$4:$N$71))</f>
        <v>0</v>
      </c>
      <c r="M14" s="508">
        <f>IF(A14="",0,LOOKUP(F14,'M+'!$A$4:$A$71,'M+'!$N$4:$N$71))</f>
        <v>0</v>
      </c>
      <c r="N14" s="517" t="str">
        <f t="shared" si="11"/>
        <v/>
      </c>
      <c r="O14" s="512" t="str">
        <f t="shared" si="12"/>
        <v/>
      </c>
      <c r="P14" s="501">
        <f t="shared" si="6"/>
        <v>0</v>
      </c>
      <c r="Q14" s="234" t="e">
        <f t="shared" si="7"/>
        <v>#VALUE!</v>
      </c>
      <c r="R14" s="234" t="e">
        <f t="shared" si="8"/>
        <v>#VALUE!</v>
      </c>
      <c r="S14" s="234" t="e">
        <f t="shared" si="9"/>
        <v>#VALUE!</v>
      </c>
      <c r="T14" s="235" t="e">
        <f t="shared" si="10"/>
        <v>#VALUE!</v>
      </c>
    </row>
    <row r="15" spans="1:22" ht="18" hidden="1" customHeight="1">
      <c r="A15" s="504" t="str">
        <f>IF(F15=0,"",IF(A14="",IF(V$2&gt;=MAX(A$5:A14)+1,MAX(A$5:A14)+1,""),A14+1))</f>
        <v/>
      </c>
      <c r="B15" s="505" t="str">
        <f t="shared" si="5"/>
        <v/>
      </c>
      <c r="C15" s="515" t="str">
        <f>IF(A15="","",IF(Espesor!$J$3="Techo","Lt-","Le-"))</f>
        <v/>
      </c>
      <c r="D15" s="516">
        <f>+Compesaciones!D3</f>
        <v>0</v>
      </c>
      <c r="E15" s="515" t="str">
        <f>IF(A15="","",IF(Espesor!$J$3="Techo","Lt-","Le-"))</f>
        <v/>
      </c>
      <c r="F15" s="516">
        <f>+Compesaciones!E3</f>
        <v>0</v>
      </c>
      <c r="G15" s="508" t="str">
        <f>IF(A15="","",Compesaciones!J54)</f>
        <v/>
      </c>
      <c r="H15" s="509" t="str">
        <f>IF(F15=0,"",MAX(LOOKUP(D15,Espesor!C$8:C$41,Espesor!O$8:O$41),LOOKUP(F15,Espesor!C$8:C$41,Espesor!O$8:O$41)))</f>
        <v/>
      </c>
      <c r="I15" s="510" t="str">
        <f>IF(G15="","",IF(G15&lt;=0,"",0.848-SQRT(0.719-G15/(0.53*100*(H15-Espesor!L$4)^2*Espesor!E$4))))</f>
        <v/>
      </c>
      <c r="J15" s="510" t="str">
        <f>IF(G15="","",IF(G15&lt;=0,"",IF(I15*Espesor!E$4/Espesor!H$4&lt;0.002,0.002,I15*Espesor!E$4/Espesor!H$4)))</f>
        <v/>
      </c>
      <c r="K15" s="517" t="str">
        <f>IF(G15="","",IF(G15&lt;=0,"------",ROUND(J15*(H15-Espesor!L$4)*100,2)))</f>
        <v/>
      </c>
      <c r="L15" s="508">
        <f>IF(A15="",0,LOOKUP(D15,'M+'!$A$4:$A$71,'M+'!$N$4:$N$71))</f>
        <v>0</v>
      </c>
      <c r="M15" s="508">
        <f>IF(A15="",0,LOOKUP(F15,'M+'!$A$4:$A$71,'M+'!$N$4:$N$71))</f>
        <v>0</v>
      </c>
      <c r="N15" s="517" t="str">
        <f t="shared" si="11"/>
        <v/>
      </c>
      <c r="O15" s="512" t="str">
        <f t="shared" si="12"/>
        <v/>
      </c>
      <c r="P15" s="501">
        <f t="shared" si="6"/>
        <v>0</v>
      </c>
      <c r="Q15" s="234" t="e">
        <f t="shared" si="7"/>
        <v>#VALUE!</v>
      </c>
      <c r="R15" s="234" t="e">
        <f t="shared" si="8"/>
        <v>#VALUE!</v>
      </c>
      <c r="S15" s="234" t="e">
        <f t="shared" si="9"/>
        <v>#VALUE!</v>
      </c>
      <c r="T15" s="235" t="e">
        <f t="shared" si="10"/>
        <v>#VALUE!</v>
      </c>
    </row>
    <row r="16" spans="1:22" ht="18" hidden="1" customHeight="1">
      <c r="A16" s="504" t="str">
        <f>IF(F16=0,"",IF(A15="",IF(V$2&gt;=MAX(A$5:A15)+1,MAX(A$5:A15)+1,""),A15+1))</f>
        <v/>
      </c>
      <c r="B16" s="505" t="str">
        <f t="shared" si="5"/>
        <v/>
      </c>
      <c r="C16" s="515" t="str">
        <f>IF(A16="","",IF(Espesor!$J$3="Techo","Lt-","Le-"))</f>
        <v/>
      </c>
      <c r="D16" s="516">
        <f>+Compesaciones!E3</f>
        <v>0</v>
      </c>
      <c r="E16" s="515" t="str">
        <f>IF(A16="","",IF(Espesor!$J$3="Techo","Lt-","Le-"))</f>
        <v/>
      </c>
      <c r="F16" s="516">
        <f>+Compesaciones!F3</f>
        <v>0</v>
      </c>
      <c r="G16" s="508" t="str">
        <f>IF(A16="","",Compesaciones!M54)</f>
        <v/>
      </c>
      <c r="H16" s="509" t="str">
        <f>IF(F16=0,"",MAX(LOOKUP(D16,Espesor!C$8:C$41,Espesor!O$8:O$41),LOOKUP(F16,Espesor!C$8:C$41,Espesor!O$8:O$41)))</f>
        <v/>
      </c>
      <c r="I16" s="510" t="str">
        <f>IF(G16="","",IF(G16&lt;=0,"",0.848-SQRT(0.719-G16/(0.53*100*(H16-Espesor!L$4)^2*Espesor!E$4))))</f>
        <v/>
      </c>
      <c r="J16" s="510" t="str">
        <f>IF(G16="","",IF(G16&lt;=0,"",IF(I16*Espesor!E$4/Espesor!H$4&lt;0.002,0.002,I16*Espesor!E$4/Espesor!H$4)))</f>
        <v/>
      </c>
      <c r="K16" s="517" t="str">
        <f>IF(G16="","",IF(G16&lt;=0,"------",ROUND(J16*(H16-Espesor!L$4)*100,2)))</f>
        <v/>
      </c>
      <c r="L16" s="508">
        <f>IF(A16="",0,LOOKUP(D16,'M+'!$A$4:$A$71,'M+'!$N$4:$N$71))</f>
        <v>0</v>
      </c>
      <c r="M16" s="508">
        <f>IF(A16="",0,LOOKUP(F16,'M+'!$A$4:$A$71,'M+'!$N$4:$N$71))</f>
        <v>0</v>
      </c>
      <c r="N16" s="517" t="str">
        <f t="shared" si="11"/>
        <v/>
      </c>
      <c r="O16" s="512" t="str">
        <f t="shared" si="12"/>
        <v/>
      </c>
      <c r="P16" s="501">
        <f t="shared" si="6"/>
        <v>0</v>
      </c>
      <c r="Q16" s="234" t="e">
        <f t="shared" si="7"/>
        <v>#VALUE!</v>
      </c>
      <c r="R16" s="234" t="e">
        <f t="shared" si="8"/>
        <v>#VALUE!</v>
      </c>
      <c r="S16" s="234" t="e">
        <f t="shared" si="9"/>
        <v>#VALUE!</v>
      </c>
      <c r="T16" s="235" t="e">
        <f t="shared" si="10"/>
        <v>#VALUE!</v>
      </c>
    </row>
    <row r="17" spans="1:20" ht="18" hidden="1" customHeight="1">
      <c r="A17" s="504" t="str">
        <f>IF(F17=0,"",IF(A16="",IF(V$2&gt;=MAX(A$5:A16)+1,MAX(A$5:A16)+1,""),A16+1))</f>
        <v/>
      </c>
      <c r="B17" s="505" t="str">
        <f t="shared" ref="B17:B22" si="13">+IF(A17="","","x")</f>
        <v/>
      </c>
      <c r="C17" s="515" t="str">
        <f>IF(A17="","",IF(Espesor!$J$3="Techo","Lt-","Le-"))</f>
        <v/>
      </c>
      <c r="D17" s="516">
        <f>+Compesaciones!F3</f>
        <v>0</v>
      </c>
      <c r="E17" s="515" t="str">
        <f>IF(A17="","",IF(Espesor!$J$3="Techo","Lt-","Le-"))</f>
        <v/>
      </c>
      <c r="F17" s="516">
        <f>+Compesaciones!G3</f>
        <v>0</v>
      </c>
      <c r="G17" s="508" t="str">
        <f>IF(A17="","",Compesaciones!P54)</f>
        <v/>
      </c>
      <c r="H17" s="509" t="str">
        <f>IF(F17=0,"",MAX(LOOKUP(D17,Espesor!C$8:C$41,Espesor!O$8:O$41),LOOKUP(F17,Espesor!C$8:C$41,Espesor!O$8:O$41)))</f>
        <v/>
      </c>
      <c r="I17" s="510" t="str">
        <f>IF(G17="","",IF(G17&lt;=0,"",0.848-SQRT(0.719-G17/(0.53*100*(H17-Espesor!L$4)^2*Espesor!E$4))))</f>
        <v/>
      </c>
      <c r="J17" s="510" t="str">
        <f>IF(G17="","",IF(G17&lt;=0,"",IF(I17*Espesor!E$4/Espesor!H$4&lt;0.002,0.002,I17*Espesor!E$4/Espesor!H$4)))</f>
        <v/>
      </c>
      <c r="K17" s="517" t="str">
        <f>IF(G17="","",IF(G17&lt;=0,"------",ROUND(J17*(H17-Espesor!L$4)*100,2)))</f>
        <v/>
      </c>
      <c r="L17" s="508">
        <f>IF(A17="",0,LOOKUP(D17,'M+'!$A$4:$A$71,'M+'!$N$4:$N$71))</f>
        <v>0</v>
      </c>
      <c r="M17" s="508">
        <f>IF(A17="",0,LOOKUP(F17,'M+'!$A$4:$A$71,'M+'!$N$4:$N$71))</f>
        <v>0</v>
      </c>
      <c r="N17" s="517" t="str">
        <f t="shared" ref="N17:N26" si="14">IF(G17="","",IF(G17=0,"",IF(P17&gt;=K17,"------",IF(O17=Q17,"3/8   a",IF(O17=R17,"1/2   a",IF(O17=S17,"3/4   a","1   a"))))))</f>
        <v/>
      </c>
      <c r="O17" s="512" t="str">
        <f t="shared" ref="O17:O26" si="15">IF(G17="","",IF(G17=0,"    ",IF(K17=P17,"------",IF(Q17&lt;0.1,IF(R17&lt;0.1,IF(S17&lt;0.1,T17,S17),R17),Q17))))</f>
        <v/>
      </c>
      <c r="P17" s="501">
        <f t="shared" ref="P17:P64" si="16">IF(G17=0,0,IF(L17="------","",IF((L17+M17)/2&lt;0,0,(L17+M17)/2)))</f>
        <v>0</v>
      </c>
      <c r="Q17" s="234" t="e">
        <f t="shared" ref="Q17:Q64" si="17">IF(G17&lt;=0,"",IF(P17="","",IF(ROUNDDOWN(0.71/(K17-P17),2)&lt;0,"------",IF(ROUNDDOWN(0.71/(K17-P17),2)&gt;1,1,ROUNDDOWN(0.71/(K17-P17),2)))))</f>
        <v>#VALUE!</v>
      </c>
      <c r="R17" s="234" t="e">
        <f t="shared" ref="R17:R64" si="18">IF(G17&lt;=0,"",IF(P17="","",IF(ROUNDDOWN(1.27/(K17-P17),2)&lt;0,"------",ROUNDDOWN(1.27/(K17-P17),2))))</f>
        <v>#VALUE!</v>
      </c>
      <c r="S17" s="234" t="e">
        <f t="shared" ref="S17:S64" si="19">IF(G17&lt;=0,"",IF(P17="","",IF(ROUNDDOWN(2.85/(K17-P17),2)&lt;0,"------",ROUNDDOWN(2.85/(K17-P17),2))))</f>
        <v>#VALUE!</v>
      </c>
      <c r="T17" s="235" t="e">
        <f t="shared" ref="T17:T64" si="20">IF(G17&lt;=0,"",IF(P17="","",IF(ROUNDDOWN(5.07/(K17-P17),2)&lt;0,"------",ROUNDDOWN(5.07/(K17-P17),2))))</f>
        <v>#VALUE!</v>
      </c>
    </row>
    <row r="18" spans="1:20" ht="18" hidden="1" customHeight="1">
      <c r="A18" s="504" t="str">
        <f>IF(F18=0,"",IF(A17="",IF(V$2&gt;=MAX(A$5:A17)+1,MAX(A$5:A17)+1,""),A17+1))</f>
        <v/>
      </c>
      <c r="B18" s="505" t="str">
        <f t="shared" si="13"/>
        <v/>
      </c>
      <c r="C18" s="515" t="str">
        <f>IF(A18="","",IF(Espesor!$J$3="Techo","Lt-","Le-"))</f>
        <v/>
      </c>
      <c r="D18" s="516">
        <f>+Compesaciones!G3</f>
        <v>0</v>
      </c>
      <c r="E18" s="515" t="str">
        <f>IF(A18="","",IF(Espesor!$J$3="Techo","Lt-","Le-"))</f>
        <v/>
      </c>
      <c r="F18" s="516">
        <f>+Compesaciones!H3</f>
        <v>0</v>
      </c>
      <c r="G18" s="508" t="str">
        <f>IF(A18="","",Compesaciones!S54)</f>
        <v/>
      </c>
      <c r="H18" s="509" t="str">
        <f>IF(F18=0,"",MAX(LOOKUP(D18,Espesor!C$8:C$41,Espesor!O$8:O$41),LOOKUP(F18,Espesor!C$8:C$41,Espesor!O$8:O$41)))</f>
        <v/>
      </c>
      <c r="I18" s="510" t="str">
        <f>IF(G18="","",IF(G18&lt;=0,"",0.848-SQRT(0.719-G18/(0.53*100*(H18-Espesor!L$4)^2*Espesor!E$4))))</f>
        <v/>
      </c>
      <c r="J18" s="510" t="str">
        <f>IF(G18="","",IF(G18&lt;=0,"",IF(I18*Espesor!E$4/Espesor!H$4&lt;0.002,0.002,I18*Espesor!E$4/Espesor!H$4)))</f>
        <v/>
      </c>
      <c r="K18" s="517" t="str">
        <f>IF(G18="","",IF(G18&lt;=0,"------",ROUND(J18*(H18-Espesor!L$4)*100,2)))</f>
        <v/>
      </c>
      <c r="L18" s="508">
        <f>IF(A18="",0,LOOKUP(D18,'M+'!$A$4:$A$71,'M+'!$N$4:$N$71))</f>
        <v>0</v>
      </c>
      <c r="M18" s="508">
        <f>IF(A18="",0,LOOKUP(F18,'M+'!$A$4:$A$71,'M+'!$N$4:$N$71))</f>
        <v>0</v>
      </c>
      <c r="N18" s="517" t="str">
        <f t="shared" si="14"/>
        <v/>
      </c>
      <c r="O18" s="512" t="str">
        <f t="shared" si="15"/>
        <v/>
      </c>
      <c r="P18" s="501">
        <f t="shared" si="16"/>
        <v>0</v>
      </c>
      <c r="Q18" s="234" t="e">
        <f t="shared" si="17"/>
        <v>#VALUE!</v>
      </c>
      <c r="R18" s="234" t="e">
        <f t="shared" si="18"/>
        <v>#VALUE!</v>
      </c>
      <c r="S18" s="234" t="e">
        <f t="shared" si="19"/>
        <v>#VALUE!</v>
      </c>
      <c r="T18" s="235" t="e">
        <f t="shared" si="20"/>
        <v>#VALUE!</v>
      </c>
    </row>
    <row r="19" spans="1:20" ht="18" hidden="1" customHeight="1">
      <c r="A19" s="504" t="str">
        <f>IF(F19=0,"",IF(A18="",IF(V$2&gt;=MAX(A$5:A18)+1,MAX(A$5:A18)+1,""),A18+1))</f>
        <v/>
      </c>
      <c r="B19" s="505" t="str">
        <f t="shared" si="13"/>
        <v/>
      </c>
      <c r="C19" s="515" t="str">
        <f>IF(A19="","",IF(Espesor!$J$3="Techo","Lt-","Le-"))</f>
        <v/>
      </c>
      <c r="D19" s="516">
        <f>+Compesaciones!H3</f>
        <v>0</v>
      </c>
      <c r="E19" s="515" t="str">
        <f>IF(A19="","",IF(Espesor!$J$3="Techo","Lt-","Le-"))</f>
        <v/>
      </c>
      <c r="F19" s="516">
        <f>+Compesaciones!I3</f>
        <v>0</v>
      </c>
      <c r="G19" s="508" t="str">
        <f>IF(A19="","",Compesaciones!V54)</f>
        <v/>
      </c>
      <c r="H19" s="509" t="str">
        <f>IF(F19=0,"",MAX(LOOKUP(D19,Espesor!C$8:C$41,Espesor!O$8:O$41),LOOKUP(F19,Espesor!C$8:C$41,Espesor!O$8:O$41)))</f>
        <v/>
      </c>
      <c r="I19" s="510" t="str">
        <f>IF(G19="","",IF(G19&lt;=0,"",0.848-SQRT(0.719-G19/(0.53*100*(H19-Espesor!L$4)^2*Espesor!E$4))))</f>
        <v/>
      </c>
      <c r="J19" s="510" t="str">
        <f>IF(G19="","",IF(G19&lt;=0,"",IF(I19*Espesor!E$4/Espesor!H$4&lt;0.002,0.002,I19*Espesor!E$4/Espesor!H$4)))</f>
        <v/>
      </c>
      <c r="K19" s="517" t="str">
        <f>IF(G19="","",IF(G19&lt;=0,"------",ROUND(J19*(H19-Espesor!L$4)*100,2)))</f>
        <v/>
      </c>
      <c r="L19" s="508">
        <f>IF(A19="",0,LOOKUP(D19,'M+'!$A$4:$A$71,'M+'!$N$4:$N$71))</f>
        <v>0</v>
      </c>
      <c r="M19" s="508">
        <f>IF(A19="",0,LOOKUP(F19,'M+'!$A$4:$A$71,'M+'!$N$4:$N$71))</f>
        <v>0</v>
      </c>
      <c r="N19" s="517" t="str">
        <f t="shared" si="14"/>
        <v/>
      </c>
      <c r="O19" s="512" t="str">
        <f t="shared" si="15"/>
        <v/>
      </c>
      <c r="P19" s="501">
        <f t="shared" si="16"/>
        <v>0</v>
      </c>
      <c r="Q19" s="234" t="e">
        <f t="shared" si="17"/>
        <v>#VALUE!</v>
      </c>
      <c r="R19" s="234" t="e">
        <f t="shared" si="18"/>
        <v>#VALUE!</v>
      </c>
      <c r="S19" s="234" t="e">
        <f t="shared" si="19"/>
        <v>#VALUE!</v>
      </c>
      <c r="T19" s="235" t="e">
        <f t="shared" si="20"/>
        <v>#VALUE!</v>
      </c>
    </row>
    <row r="20" spans="1:20" ht="18" hidden="1" customHeight="1">
      <c r="A20" s="504" t="str">
        <f>IF(F20=0,"",IF(A19="",IF(V$2&gt;=MAX(A$5:A19)+1,MAX(A$5:A19)+1,""),A19+1))</f>
        <v/>
      </c>
      <c r="B20" s="505" t="str">
        <f t="shared" si="13"/>
        <v/>
      </c>
      <c r="C20" s="515" t="str">
        <f>IF(A20="","",IF(Espesor!$J$3="Techo","Lt-","Le-"))</f>
        <v/>
      </c>
      <c r="D20" s="516">
        <f>+Compesaciones!I3</f>
        <v>0</v>
      </c>
      <c r="E20" s="515" t="str">
        <f>IF(A20="","",IF(Espesor!$J$3="Techo","Lt-","Le-"))</f>
        <v/>
      </c>
      <c r="F20" s="516">
        <f>+Compesaciones!J3</f>
        <v>0</v>
      </c>
      <c r="G20" s="508" t="str">
        <f>IF(A20="","",Compesaciones!Y54)</f>
        <v/>
      </c>
      <c r="H20" s="509" t="str">
        <f>IF(F20=0,"",MAX(LOOKUP(D20,Espesor!C$8:C$41,Espesor!O$8:O$41),LOOKUP(F20,Espesor!C$8:C$41,Espesor!O$8:O$41)))</f>
        <v/>
      </c>
      <c r="I20" s="510" t="str">
        <f>IF(G20="","",IF(G20&lt;=0,"",0.848-SQRT(0.719-G20/(0.53*100*(H20-Espesor!L$4)^2*Espesor!E$4))))</f>
        <v/>
      </c>
      <c r="J20" s="510" t="str">
        <f>IF(G20="","",IF(G20&lt;=0,"",IF(I20*Espesor!E$4/Espesor!H$4&lt;0.002,0.002,I20*Espesor!E$4/Espesor!H$4)))</f>
        <v/>
      </c>
      <c r="K20" s="517" t="str">
        <f>IF(G20="","",IF(G20&lt;=0,"------",ROUND(J20*(H20-Espesor!L$4)*100,2)))</f>
        <v/>
      </c>
      <c r="L20" s="508">
        <f>IF(A20="",0,LOOKUP(D20,'M+'!$A$4:$A$71,'M+'!$N$4:$N$71))</f>
        <v>0</v>
      </c>
      <c r="M20" s="508">
        <f>IF(A20="",0,LOOKUP(F20,'M+'!$A$4:$A$71,'M+'!$N$4:$N$71))</f>
        <v>0</v>
      </c>
      <c r="N20" s="517" t="str">
        <f t="shared" si="14"/>
        <v/>
      </c>
      <c r="O20" s="512" t="str">
        <f t="shared" si="15"/>
        <v/>
      </c>
      <c r="P20" s="501">
        <f t="shared" si="16"/>
        <v>0</v>
      </c>
      <c r="Q20" s="234" t="e">
        <f t="shared" si="17"/>
        <v>#VALUE!</v>
      </c>
      <c r="R20" s="234" t="e">
        <f t="shared" si="18"/>
        <v>#VALUE!</v>
      </c>
      <c r="S20" s="234" t="e">
        <f t="shared" si="19"/>
        <v>#VALUE!</v>
      </c>
      <c r="T20" s="235" t="e">
        <f t="shared" si="20"/>
        <v>#VALUE!</v>
      </c>
    </row>
    <row r="21" spans="1:20" ht="18" hidden="1" customHeight="1">
      <c r="A21" s="504" t="str">
        <f>IF(F21=0,"",IF(A20="",IF(V$2&gt;=MAX(A$5:A20)+1,MAX(A$5:A20)+1,""),A20+1))</f>
        <v/>
      </c>
      <c r="B21" s="505" t="str">
        <f t="shared" si="13"/>
        <v/>
      </c>
      <c r="C21" s="515" t="str">
        <f>IF(A21="","",IF(Espesor!$J$3="Techo","Lt-","Le-"))</f>
        <v/>
      </c>
      <c r="D21" s="516">
        <f>+Compesaciones!B4</f>
        <v>0</v>
      </c>
      <c r="E21" s="515" t="str">
        <f>IF(A21="","",IF(Espesor!$J$3="Techo","Lt-","Le-"))</f>
        <v/>
      </c>
      <c r="F21" s="516">
        <f>+Compesaciones!C4</f>
        <v>0</v>
      </c>
      <c r="G21" s="508" t="str">
        <f>IF(A21="","",Compesaciones!D71)</f>
        <v/>
      </c>
      <c r="H21" s="509" t="str">
        <f>IF(F21=0,"",MAX(LOOKUP(D21,Espesor!C$8:C$41,Espesor!O$8:O$41),LOOKUP(F21,Espesor!C$8:C$41,Espesor!O$8:O$41)))</f>
        <v/>
      </c>
      <c r="I21" s="510" t="str">
        <f>IF(G21="","",IF(G21&lt;=0,"",0.848-SQRT(0.719-G21/(0.53*100*(H21-Espesor!L$4)^2*Espesor!E$4))))</f>
        <v/>
      </c>
      <c r="J21" s="510" t="str">
        <f>IF(G21="","",IF(G21&lt;=0,"",IF(I21*Espesor!E$4/Espesor!H$4&lt;0.002,0.002,I21*Espesor!E$4/Espesor!H$4)))</f>
        <v/>
      </c>
      <c r="K21" s="517" t="str">
        <f>IF(G21="","",IF(G21&lt;=0,"------",ROUND(J21*(H21-Espesor!L$4)*100,2)))</f>
        <v/>
      </c>
      <c r="L21" s="508">
        <f>IF(A21="",0,LOOKUP(D21,'M+'!$A$4:$A$71,'M+'!$N$4:$N$71))</f>
        <v>0</v>
      </c>
      <c r="M21" s="508">
        <f>IF(A21="",0,LOOKUP(F21,'M+'!$A$4:$A$71,'M+'!$N$4:$N$71))</f>
        <v>0</v>
      </c>
      <c r="N21" s="517" t="str">
        <f t="shared" si="14"/>
        <v/>
      </c>
      <c r="O21" s="512" t="str">
        <f t="shared" si="15"/>
        <v/>
      </c>
      <c r="P21" s="501">
        <f t="shared" si="16"/>
        <v>0</v>
      </c>
      <c r="Q21" s="234" t="e">
        <f t="shared" si="17"/>
        <v>#VALUE!</v>
      </c>
      <c r="R21" s="234" t="e">
        <f t="shared" si="18"/>
        <v>#VALUE!</v>
      </c>
      <c r="S21" s="234" t="e">
        <f t="shared" si="19"/>
        <v>#VALUE!</v>
      </c>
      <c r="T21" s="235" t="e">
        <f t="shared" si="20"/>
        <v>#VALUE!</v>
      </c>
    </row>
    <row r="22" spans="1:20" ht="18" hidden="1" customHeight="1">
      <c r="A22" s="504" t="str">
        <f>IF(F22=0,"",IF(A21="",IF(V$2&gt;=MAX(A$5:A21)+1,MAX(A$5:A21)+1,""),A21+1))</f>
        <v/>
      </c>
      <c r="B22" s="505" t="str">
        <f t="shared" si="13"/>
        <v/>
      </c>
      <c r="C22" s="515" t="str">
        <f>IF(A22="","",IF(Espesor!$J$3="Techo","Lt-","Le-"))</f>
        <v/>
      </c>
      <c r="D22" s="516">
        <f>+Compesaciones!C4</f>
        <v>0</v>
      </c>
      <c r="E22" s="515" t="str">
        <f>IF(A22="","",IF(Espesor!$J$3="Techo","Lt-","Le-"))</f>
        <v/>
      </c>
      <c r="F22" s="516">
        <f>+Compesaciones!D4</f>
        <v>0</v>
      </c>
      <c r="G22" s="508" t="str">
        <f>IF(A22="","",Compesaciones!G71)</f>
        <v/>
      </c>
      <c r="H22" s="509" t="str">
        <f>IF(F22=0,"",MAX(LOOKUP(D22,Espesor!C$8:C$41,Espesor!O$8:O$41),LOOKUP(F22,Espesor!C$8:C$41,Espesor!O$8:O$41)))</f>
        <v/>
      </c>
      <c r="I22" s="510" t="str">
        <f>IF(G22="","",IF(G22&lt;=0,"",0.848-SQRT(0.719-G22/(0.53*100*(H22-Espesor!L$4)^2*Espesor!E$4))))</f>
        <v/>
      </c>
      <c r="J22" s="510" t="str">
        <f>IF(G22="","",IF(G22&lt;=0,"",IF(I22*Espesor!E$4/Espesor!H$4&lt;0.002,0.002,I22*Espesor!E$4/Espesor!H$4)))</f>
        <v/>
      </c>
      <c r="K22" s="517" t="str">
        <f>IF(G22="","",IF(G22&lt;=0,"------",ROUND(J22*(H22-Espesor!L$4)*100,2)))</f>
        <v/>
      </c>
      <c r="L22" s="508">
        <f>IF(A22="",0,LOOKUP(D22,'M+'!$A$4:$A$71,'M+'!$N$4:$N$71))</f>
        <v>0</v>
      </c>
      <c r="M22" s="508">
        <f>IF(A22="",0,LOOKUP(F22,'M+'!$A$4:$A$71,'M+'!$N$4:$N$71))</f>
        <v>0</v>
      </c>
      <c r="N22" s="517" t="str">
        <f t="shared" si="14"/>
        <v/>
      </c>
      <c r="O22" s="512" t="str">
        <f t="shared" si="15"/>
        <v/>
      </c>
      <c r="P22" s="501">
        <f t="shared" si="16"/>
        <v>0</v>
      </c>
      <c r="Q22" s="234" t="e">
        <f t="shared" si="17"/>
        <v>#VALUE!</v>
      </c>
      <c r="R22" s="234" t="e">
        <f t="shared" si="18"/>
        <v>#VALUE!</v>
      </c>
      <c r="S22" s="234" t="e">
        <f t="shared" si="19"/>
        <v>#VALUE!</v>
      </c>
      <c r="T22" s="235" t="e">
        <f t="shared" si="20"/>
        <v>#VALUE!</v>
      </c>
    </row>
    <row r="23" spans="1:20" ht="18" hidden="1" customHeight="1">
      <c r="A23" s="504" t="str">
        <f>IF(F23=0,"",IF(A22="",IF(V$2&gt;=MAX(A$5:A22)+1,MAX(A$5:A22)+1,""),A22+1))</f>
        <v/>
      </c>
      <c r="B23" s="505" t="str">
        <f t="shared" ref="B23:B64" si="21">+IF(A23="","","x")</f>
        <v/>
      </c>
      <c r="C23" s="515" t="str">
        <f>IF(A23="","",IF(Espesor!$J$3="Techo","Lt-","Le-"))</f>
        <v/>
      </c>
      <c r="D23" s="516">
        <f>+Compesaciones!D4</f>
        <v>0</v>
      </c>
      <c r="E23" s="515" t="str">
        <f>IF(A23="","",IF(Espesor!$J$3="Techo","Lt-","Le-"))</f>
        <v/>
      </c>
      <c r="F23" s="516">
        <f>+Compesaciones!E4</f>
        <v>0</v>
      </c>
      <c r="G23" s="508" t="str">
        <f>IF(A23="","",Compesaciones!J71)</f>
        <v/>
      </c>
      <c r="H23" s="509" t="str">
        <f>IF(F23=0,"",MAX(LOOKUP(D23,Espesor!C$8:C$41,Espesor!O$8:O$41),LOOKUP(F23,Espesor!C$8:C$41,Espesor!O$8:O$41)))</f>
        <v/>
      </c>
      <c r="I23" s="510" t="str">
        <f>IF(G23="","",IF(G23&lt;=0,"",0.848-SQRT(0.719-G23/(0.53*100*(H23-Espesor!L$4)^2*Espesor!E$4))))</f>
        <v/>
      </c>
      <c r="J23" s="510" t="str">
        <f>IF(G23="","",IF(G23&lt;=0,"",IF(I23*Espesor!E$4/Espesor!H$4&lt;0.002,0.002,I23*Espesor!E$4/Espesor!H$4)))</f>
        <v/>
      </c>
      <c r="K23" s="517" t="str">
        <f>IF(G23="","",IF(G23&lt;=0,"------",ROUND(J23*(H23-Espesor!L$4)*100,2)))</f>
        <v/>
      </c>
      <c r="L23" s="508">
        <f>IF(A23="",0,LOOKUP(D23,'M+'!$A$4:$A$71,'M+'!$N$4:$N$71))</f>
        <v>0</v>
      </c>
      <c r="M23" s="508">
        <f>IF(A23="",0,LOOKUP(F23,'M+'!$A$4:$A$71,'M+'!$N$4:$N$71))</f>
        <v>0</v>
      </c>
      <c r="N23" s="517" t="str">
        <f t="shared" si="14"/>
        <v/>
      </c>
      <c r="O23" s="512" t="str">
        <f t="shared" si="15"/>
        <v/>
      </c>
      <c r="P23" s="501">
        <f t="shared" si="16"/>
        <v>0</v>
      </c>
      <c r="Q23" s="234" t="e">
        <f t="shared" si="17"/>
        <v>#VALUE!</v>
      </c>
      <c r="R23" s="234" t="e">
        <f t="shared" si="18"/>
        <v>#VALUE!</v>
      </c>
      <c r="S23" s="234" t="e">
        <f t="shared" si="19"/>
        <v>#VALUE!</v>
      </c>
      <c r="T23" s="235" t="e">
        <f t="shared" si="20"/>
        <v>#VALUE!</v>
      </c>
    </row>
    <row r="24" spans="1:20" ht="18" hidden="1" customHeight="1">
      <c r="A24" s="504" t="str">
        <f>IF(F24=0,"",IF(A23="",IF(V$2&gt;=MAX(A$5:A23)+1,MAX(A$5:A23)+1,""),A23+1))</f>
        <v/>
      </c>
      <c r="B24" s="505" t="str">
        <f t="shared" si="21"/>
        <v/>
      </c>
      <c r="C24" s="515" t="str">
        <f>IF(A24="","",IF(Espesor!$J$3="Techo","Lt-","Le-"))</f>
        <v/>
      </c>
      <c r="D24" s="516">
        <f>+Compesaciones!E4</f>
        <v>0</v>
      </c>
      <c r="E24" s="515" t="str">
        <f>IF(A24="","",IF(Espesor!$J$3="Techo","Lt-","Le-"))</f>
        <v/>
      </c>
      <c r="F24" s="516">
        <f>+Compesaciones!F4</f>
        <v>0</v>
      </c>
      <c r="G24" s="508" t="str">
        <f>IF(A24="","",Compesaciones!M71)</f>
        <v/>
      </c>
      <c r="H24" s="509" t="str">
        <f>IF(F24=0,"",MAX(LOOKUP(D24,Espesor!C$8:C$41,Espesor!O$8:O$41),LOOKUP(F24,Espesor!C$8:C$41,Espesor!O$8:O$41)))</f>
        <v/>
      </c>
      <c r="I24" s="510" t="str">
        <f>IF(G24="","",IF(G24&lt;=0,"",0.848-SQRT(0.719-G24/(0.53*100*(H24-Espesor!L$4)^2*Espesor!E$4))))</f>
        <v/>
      </c>
      <c r="J24" s="510" t="str">
        <f>IF(G24="","",IF(G24&lt;=0,"",IF(I24*Espesor!E$4/Espesor!H$4&lt;0.002,0.002,I24*Espesor!E$4/Espesor!H$4)))</f>
        <v/>
      </c>
      <c r="K24" s="517" t="str">
        <f>IF(G24="","",IF(G24&lt;=0,"------",ROUND(J24*(H24-Espesor!L$4)*100,2)))</f>
        <v/>
      </c>
      <c r="L24" s="508">
        <f>IF(A24="",0,LOOKUP(D24,'M+'!$A$4:$A$71,'M+'!$N$4:$N$71))</f>
        <v>0</v>
      </c>
      <c r="M24" s="508">
        <f>IF(A24="",0,LOOKUP(F24,'M+'!$A$4:$A$71,'M+'!$N$4:$N$71))</f>
        <v>0</v>
      </c>
      <c r="N24" s="517" t="str">
        <f t="shared" si="14"/>
        <v/>
      </c>
      <c r="O24" s="512" t="str">
        <f t="shared" si="15"/>
        <v/>
      </c>
      <c r="P24" s="501">
        <f t="shared" si="16"/>
        <v>0</v>
      </c>
      <c r="Q24" s="234" t="e">
        <f t="shared" si="17"/>
        <v>#VALUE!</v>
      </c>
      <c r="R24" s="234" t="e">
        <f t="shared" si="18"/>
        <v>#VALUE!</v>
      </c>
      <c r="S24" s="234" t="e">
        <f t="shared" si="19"/>
        <v>#VALUE!</v>
      </c>
      <c r="T24" s="235" t="e">
        <f t="shared" si="20"/>
        <v>#VALUE!</v>
      </c>
    </row>
    <row r="25" spans="1:20" ht="18" hidden="1" customHeight="1">
      <c r="A25" s="504" t="str">
        <f>IF(F25=0,"",IF(A24="",IF(V$2&gt;=MAX(A$5:A24)+1,MAX(A$5:A24)+1,""),A24+1))</f>
        <v/>
      </c>
      <c r="B25" s="505" t="str">
        <f t="shared" ref="B25:B44" si="22">+IF(A25="","","x")</f>
        <v/>
      </c>
      <c r="C25" s="515" t="str">
        <f>IF(A25="","",IF(Espesor!$J$3="Techo","Lt-","Le-"))</f>
        <v/>
      </c>
      <c r="D25" s="516">
        <f>+Compesaciones!F4</f>
        <v>0</v>
      </c>
      <c r="E25" s="515" t="str">
        <f>IF(A25="","",IF(Espesor!$J$3="Techo","Lt-","Le-"))</f>
        <v/>
      </c>
      <c r="F25" s="516">
        <f>+Compesaciones!G4</f>
        <v>0</v>
      </c>
      <c r="G25" s="508" t="str">
        <f>IF(A25="","",Compesaciones!P71)</f>
        <v/>
      </c>
      <c r="H25" s="509" t="str">
        <f>IF(F25=0,"",MAX(LOOKUP(D25,Espesor!C$8:C$41,Espesor!O$8:O$41),LOOKUP(F25,Espesor!C$8:C$41,Espesor!O$8:O$41)))</f>
        <v/>
      </c>
      <c r="I25" s="510" t="str">
        <f>IF(G25="","",IF(G25&lt;=0,"",0.848-SQRT(0.719-G25/(0.53*100*(H25-Espesor!L$4)^2*Espesor!E$4))))</f>
        <v/>
      </c>
      <c r="J25" s="510" t="str">
        <f>IF(G25="","",IF(G25&lt;=0,"",IF(I25*Espesor!E$4/Espesor!H$4&lt;0.002,0.002,I25*Espesor!E$4/Espesor!H$4)))</f>
        <v/>
      </c>
      <c r="K25" s="517" t="str">
        <f>IF(G25="","",IF(G25&lt;=0,"------",ROUND(J25*(H25-Espesor!L$4)*100,2)))</f>
        <v/>
      </c>
      <c r="L25" s="508">
        <f>IF(A25="",0,LOOKUP(D25,'M+'!$A$4:$A$71,'M+'!$N$4:$N$71))</f>
        <v>0</v>
      </c>
      <c r="M25" s="508">
        <f>IF(A25="",0,LOOKUP(F25,'M+'!$A$4:$A$71,'M+'!$N$4:$N$71))</f>
        <v>0</v>
      </c>
      <c r="N25" s="517" t="str">
        <f t="shared" si="14"/>
        <v/>
      </c>
      <c r="O25" s="512" t="str">
        <f t="shared" si="15"/>
        <v/>
      </c>
      <c r="P25" s="501">
        <f t="shared" ref="P25:P44" si="23">IF(G25=0,0,IF(L25="------","",IF((L25+M25)/2&lt;0,0,(L25+M25)/2)))</f>
        <v>0</v>
      </c>
      <c r="Q25" s="234" t="e">
        <f t="shared" ref="Q25:Q44" si="24">IF(G25&lt;=0,"",IF(P25="","",IF(ROUNDDOWN(0.71/(K25-P25),2)&lt;0,"------",IF(ROUNDDOWN(0.71/(K25-P25),2)&gt;1,1,ROUNDDOWN(0.71/(K25-P25),2)))))</f>
        <v>#VALUE!</v>
      </c>
      <c r="R25" s="234" t="e">
        <f t="shared" ref="R25:R44" si="25">IF(G25&lt;=0,"",IF(P25="","",IF(ROUNDDOWN(1.27/(K25-P25),2)&lt;0,"------",ROUNDDOWN(1.27/(K25-P25),2))))</f>
        <v>#VALUE!</v>
      </c>
      <c r="S25" s="234" t="e">
        <f t="shared" ref="S25:S44" si="26">IF(G25&lt;=0,"",IF(P25="","",IF(ROUNDDOWN(2.85/(K25-P25),2)&lt;0,"------",ROUNDDOWN(2.85/(K25-P25),2))))</f>
        <v>#VALUE!</v>
      </c>
      <c r="T25" s="235" t="e">
        <f t="shared" ref="T25:T44" si="27">IF(G25&lt;=0,"",IF(P25="","",IF(ROUNDDOWN(5.07/(K25-P25),2)&lt;0,"------",ROUNDDOWN(5.07/(K25-P25),2))))</f>
        <v>#VALUE!</v>
      </c>
    </row>
    <row r="26" spans="1:20" ht="18" hidden="1" customHeight="1">
      <c r="A26" s="504" t="str">
        <f>IF(F26=0,"",IF(A25="",IF(V$2&gt;=MAX(A$5:A25)+1,MAX(A$5:A25)+1,""),A25+1))</f>
        <v/>
      </c>
      <c r="B26" s="505" t="str">
        <f t="shared" si="22"/>
        <v/>
      </c>
      <c r="C26" s="515" t="str">
        <f>IF(A26="","",IF(Espesor!$J$3="Techo","Lt-","Le-"))</f>
        <v/>
      </c>
      <c r="D26" s="516">
        <f>+Compesaciones!G4</f>
        <v>0</v>
      </c>
      <c r="E26" s="515" t="str">
        <f>IF(A26="","",IF(Espesor!$J$3="Techo","Lt-","Le-"))</f>
        <v/>
      </c>
      <c r="F26" s="516">
        <f>+Compesaciones!H4</f>
        <v>0</v>
      </c>
      <c r="G26" s="508" t="str">
        <f>IF(A26="","",Compesaciones!S71)</f>
        <v/>
      </c>
      <c r="H26" s="509" t="str">
        <f>IF(F26=0,"",MAX(LOOKUP(D26,Espesor!C$8:C$41,Espesor!O$8:O$41),LOOKUP(F26,Espesor!C$8:C$41,Espesor!O$8:O$41)))</f>
        <v/>
      </c>
      <c r="I26" s="510" t="str">
        <f>IF(G26="","",IF(G26&lt;=0,"",0.848-SQRT(0.719-G26/(0.53*100*(H26-Espesor!L$4)^2*Espesor!E$4))))</f>
        <v/>
      </c>
      <c r="J26" s="510" t="str">
        <f>IF(G26="","",IF(G26&lt;=0,"",IF(I26*Espesor!E$4/Espesor!H$4&lt;0.002,0.002,I26*Espesor!E$4/Espesor!H$4)))</f>
        <v/>
      </c>
      <c r="K26" s="517" t="str">
        <f>IF(G26="","",IF(G26&lt;=0,"------",ROUND(J26*(H26-Espesor!L$4)*100,2)))</f>
        <v/>
      </c>
      <c r="L26" s="508">
        <f>IF(A26="",0,LOOKUP(D26,'M+'!$A$4:$A$71,'M+'!$N$4:$N$71))</f>
        <v>0</v>
      </c>
      <c r="M26" s="508">
        <f>IF(A26="",0,LOOKUP(F26,'M+'!$A$4:$A$71,'M+'!$N$4:$N$71))</f>
        <v>0</v>
      </c>
      <c r="N26" s="517" t="str">
        <f t="shared" si="14"/>
        <v/>
      </c>
      <c r="O26" s="512" t="str">
        <f t="shared" si="15"/>
        <v/>
      </c>
      <c r="P26" s="501">
        <f t="shared" si="23"/>
        <v>0</v>
      </c>
      <c r="Q26" s="234" t="e">
        <f t="shared" si="24"/>
        <v>#VALUE!</v>
      </c>
      <c r="R26" s="234" t="e">
        <f t="shared" si="25"/>
        <v>#VALUE!</v>
      </c>
      <c r="S26" s="234" t="e">
        <f t="shared" si="26"/>
        <v>#VALUE!</v>
      </c>
      <c r="T26" s="235" t="e">
        <f t="shared" si="27"/>
        <v>#VALUE!</v>
      </c>
    </row>
    <row r="27" spans="1:20" ht="18" hidden="1" customHeight="1">
      <c r="A27" s="504" t="str">
        <f>IF(F27=0,"",IF(A26="",IF(V$2&gt;=MAX(A$5:A26)+1,MAX(A$5:A26)+1,""),A26+1))</f>
        <v/>
      </c>
      <c r="B27" s="505" t="str">
        <f t="shared" si="22"/>
        <v/>
      </c>
      <c r="C27" s="515" t="str">
        <f>IF(A27="","",IF(Espesor!$J$3="Techo","Lt-","Le-"))</f>
        <v/>
      </c>
      <c r="D27" s="516">
        <f>+Compesaciones!H4</f>
        <v>0</v>
      </c>
      <c r="E27" s="515" t="str">
        <f>IF(A27="","",IF(Espesor!$J$3="Techo","Lt-","Le-"))</f>
        <v/>
      </c>
      <c r="F27" s="516">
        <f>+Compesaciones!I4</f>
        <v>0</v>
      </c>
      <c r="G27" s="508" t="str">
        <f>IF(A27="","",Compesaciones!V71)</f>
        <v/>
      </c>
      <c r="H27" s="509" t="str">
        <f>IF(F27=0,"",MAX(LOOKUP(D27,Espesor!C$8:C$41,Espesor!O$8:O$41),LOOKUP(F27,Espesor!C$8:C$41,Espesor!O$8:O$41)))</f>
        <v/>
      </c>
      <c r="I27" s="510" t="str">
        <f>IF(G27="","",IF(G27&lt;=0,"",0.848-SQRT(0.719-G27/(0.53*100*(H27-Espesor!L$4)^2*Espesor!E$4))))</f>
        <v/>
      </c>
      <c r="J27" s="510" t="str">
        <f>IF(G27="","",IF(G27&lt;=0,"",IF(I27*Espesor!E$4/Espesor!H$4&lt;0.002,0.002,I27*Espesor!E$4/Espesor!H$4)))</f>
        <v/>
      </c>
      <c r="K27" s="517" t="str">
        <f>IF(G27="","",IF(G27&lt;=0,"------",ROUND(J27*(H27-Espesor!L$4)*100,2)))</f>
        <v/>
      </c>
      <c r="L27" s="508">
        <f>IF(A27="",0,LOOKUP(D27,'M+'!$A$4:$A$71,'M+'!$N$4:$N$71))</f>
        <v>0</v>
      </c>
      <c r="M27" s="508">
        <f>IF(A27="",0,LOOKUP(F27,'M+'!$A$4:$A$71,'M+'!$N$4:$N$71))</f>
        <v>0</v>
      </c>
      <c r="N27" s="517" t="str">
        <f>IF(G27="","",IF(G27=0,"",IF(P27&gt;=K27,"------",IF(O27=Q27,"3/8   a",IF(O27=R27,"1/2   a",IF(O27=S27,"3/4   a","1   a"))))))</f>
        <v/>
      </c>
      <c r="O27" s="512" t="str">
        <f>IF(G27="","",IF(G27=0,"    ",IF(K27=P27,"------",IF(Q27&lt;0.1,IF(R27&lt;0.1,IF(S27&lt;0.1,T27,S27),R27),Q27))))</f>
        <v/>
      </c>
      <c r="P27" s="501">
        <f t="shared" si="23"/>
        <v>0</v>
      </c>
      <c r="Q27" s="234" t="e">
        <f t="shared" si="24"/>
        <v>#VALUE!</v>
      </c>
      <c r="R27" s="234" t="e">
        <f t="shared" si="25"/>
        <v>#VALUE!</v>
      </c>
      <c r="S27" s="234" t="e">
        <f t="shared" si="26"/>
        <v>#VALUE!</v>
      </c>
      <c r="T27" s="235" t="e">
        <f t="shared" si="27"/>
        <v>#VALUE!</v>
      </c>
    </row>
    <row r="28" spans="1:20" ht="18" hidden="1" customHeight="1">
      <c r="A28" s="504" t="str">
        <f>IF(F28=0,"",IF(A27="",IF(V$2&gt;=MAX(A$5:A27)+1,MAX(A$5:A27)+1,""),A27+1))</f>
        <v/>
      </c>
      <c r="B28" s="505" t="str">
        <f t="shared" si="22"/>
        <v/>
      </c>
      <c r="C28" s="515" t="str">
        <f>IF(A28="","",IF(Espesor!$J$3="Techo","Lt-","Le-"))</f>
        <v/>
      </c>
      <c r="D28" s="516">
        <f>+Compesaciones!I4</f>
        <v>0</v>
      </c>
      <c r="E28" s="515" t="str">
        <f>IF(A28="","",IF(Espesor!$J$3="Techo","Lt-","Le-"))</f>
        <v/>
      </c>
      <c r="F28" s="516">
        <f>+Compesaciones!J4</f>
        <v>0</v>
      </c>
      <c r="G28" s="508" t="str">
        <f>IF(A28="","",Compesaciones!Y71)</f>
        <v/>
      </c>
      <c r="H28" s="509" t="str">
        <f>IF(F28=0,"",MAX(LOOKUP(D28,Espesor!C$8:C$41,Espesor!O$8:O$41),LOOKUP(F28,Espesor!C$8:C$41,Espesor!O$8:O$41)))</f>
        <v/>
      </c>
      <c r="I28" s="510" t="str">
        <f>IF(G28="","",IF(G28&lt;=0,"",0.848-SQRT(0.719-G28/(0.53*100*(H28-Espesor!L$4)^2*Espesor!E$4))))</f>
        <v/>
      </c>
      <c r="J28" s="510" t="str">
        <f>IF(G28="","",IF(G28&lt;=0,"",IF(I28*Espesor!E$4/Espesor!H$4&lt;0.002,0.002,I28*Espesor!E$4/Espesor!H$4)))</f>
        <v/>
      </c>
      <c r="K28" s="517" t="str">
        <f>IF(G28="","",IF(G28&lt;=0,"------",ROUND(J28*(H28-Espesor!L$4)*100,2)))</f>
        <v/>
      </c>
      <c r="L28" s="508">
        <f>IF(A28="",0,LOOKUP(D28,'M+'!$A$4:$A$71,'M+'!$N$4:$N$71))</f>
        <v>0</v>
      </c>
      <c r="M28" s="508">
        <f>IF(A28="",0,LOOKUP(F28,'M+'!$A$4:$A$71,'M+'!$N$4:$N$71))</f>
        <v>0</v>
      </c>
      <c r="N28" s="517" t="str">
        <f t="shared" ref="N28:N36" si="28">IF(G28="","",IF(G28=0,"",IF(P28&gt;=K28,"------",IF(O28=Q28,"3/8   a",IF(O28=R28,"1/2   a",IF(O28=S28,"3/4   a","1   a"))))))</f>
        <v/>
      </c>
      <c r="O28" s="512" t="str">
        <f t="shared" ref="O28:O36" si="29">IF(G28="","",IF(G28=0,"    ",IF(K28=P28,"------",IF(Q28&lt;0.1,IF(R28&lt;0.1,IF(S28&lt;0.1,T28,S28),R28),Q28))))</f>
        <v/>
      </c>
      <c r="P28" s="501">
        <f t="shared" si="23"/>
        <v>0</v>
      </c>
      <c r="Q28" s="234" t="e">
        <f t="shared" si="24"/>
        <v>#VALUE!</v>
      </c>
      <c r="R28" s="234" t="e">
        <f t="shared" si="25"/>
        <v>#VALUE!</v>
      </c>
      <c r="S28" s="234" t="e">
        <f t="shared" si="26"/>
        <v>#VALUE!</v>
      </c>
      <c r="T28" s="235" t="e">
        <f t="shared" si="27"/>
        <v>#VALUE!</v>
      </c>
    </row>
    <row r="29" spans="1:20" ht="18" hidden="1" customHeight="1">
      <c r="A29" s="504" t="str">
        <f>IF(F29=0,"",IF(A28="",IF(V$2&gt;=MAX(A$5:A28)+1,MAX(A$5:A28)+1,""),A28+1))</f>
        <v/>
      </c>
      <c r="B29" s="505" t="str">
        <f t="shared" si="22"/>
        <v/>
      </c>
      <c r="C29" s="515" t="str">
        <f>IF(A29="","",IF(Espesor!$J$3="Techo","Lt-","Le-"))</f>
        <v/>
      </c>
      <c r="D29" s="516">
        <f>+Compesaciones!B5</f>
        <v>0</v>
      </c>
      <c r="E29" s="515" t="str">
        <f>IF(A29="","",IF(Espesor!$J$3="Techo","Lt-","Le-"))</f>
        <v/>
      </c>
      <c r="F29" s="516">
        <f>+Compesaciones!C5</f>
        <v>0</v>
      </c>
      <c r="G29" s="508" t="str">
        <f>IF(A29="","",Compesaciones!D88)</f>
        <v/>
      </c>
      <c r="H29" s="509" t="str">
        <f>IF(F29=0,"",MAX(LOOKUP(D29,Espesor!C$8:C$41,Espesor!O$8:O$41),LOOKUP(F29,Espesor!C$8:C$41,Espesor!O$8:O$41)))</f>
        <v/>
      </c>
      <c r="I29" s="510" t="str">
        <f>IF(G29="","",IF(G29&lt;=0,"",0.848-SQRT(0.719-G29/(0.53*100*(H29-Espesor!L$4)^2*Espesor!E$4))))</f>
        <v/>
      </c>
      <c r="J29" s="510" t="str">
        <f>IF(G29="","",IF(G29&lt;=0,"",IF(I29*Espesor!E$4/Espesor!H$4&lt;0.002,0.002,I29*Espesor!E$4/Espesor!H$4)))</f>
        <v/>
      </c>
      <c r="K29" s="517" t="str">
        <f>IF(G29="","",IF(G29&lt;=0,"------",ROUND(J29*(H29-Espesor!L$4)*100,2)))</f>
        <v/>
      </c>
      <c r="L29" s="508">
        <f>IF(A29="",0,LOOKUP(D29,'M+'!$A$4:$A$71,'M+'!$N$4:$N$71))</f>
        <v>0</v>
      </c>
      <c r="M29" s="508">
        <f>IF(A29="",0,LOOKUP(F29,'M+'!$A$4:$A$71,'M+'!$N$4:$N$71))</f>
        <v>0</v>
      </c>
      <c r="N29" s="517" t="str">
        <f t="shared" si="28"/>
        <v/>
      </c>
      <c r="O29" s="512" t="str">
        <f t="shared" si="29"/>
        <v/>
      </c>
      <c r="P29" s="501">
        <f t="shared" si="23"/>
        <v>0</v>
      </c>
      <c r="Q29" s="234" t="e">
        <f t="shared" si="24"/>
        <v>#VALUE!</v>
      </c>
      <c r="R29" s="234" t="e">
        <f t="shared" si="25"/>
        <v>#VALUE!</v>
      </c>
      <c r="S29" s="234" t="e">
        <f t="shared" si="26"/>
        <v>#VALUE!</v>
      </c>
      <c r="T29" s="235" t="e">
        <f t="shared" si="27"/>
        <v>#VALUE!</v>
      </c>
    </row>
    <row r="30" spans="1:20" ht="18" hidden="1" customHeight="1">
      <c r="A30" s="504" t="str">
        <f>IF(F30=0,"",IF(A29="",IF(V$2&gt;=MAX(A$5:A29)+1,MAX(A$5:A29)+1,""),A29+1))</f>
        <v/>
      </c>
      <c r="B30" s="505" t="str">
        <f t="shared" si="22"/>
        <v/>
      </c>
      <c r="C30" s="515" t="str">
        <f>IF(A30="","",IF(Espesor!$J$3="Techo","Lt-","Le-"))</f>
        <v/>
      </c>
      <c r="D30" s="516">
        <f>+Compesaciones!C5</f>
        <v>0</v>
      </c>
      <c r="E30" s="515" t="str">
        <f>IF(A30="","",IF(Espesor!$J$3="Techo","Lt-","Le-"))</f>
        <v/>
      </c>
      <c r="F30" s="516">
        <f>+Compesaciones!D5</f>
        <v>0</v>
      </c>
      <c r="G30" s="508" t="str">
        <f>IF(A30="","",Compesaciones!G88)</f>
        <v/>
      </c>
      <c r="H30" s="509" t="str">
        <f>IF(F30=0,"",MAX(LOOKUP(D30,Espesor!C$8:C$41,Espesor!O$8:O$41),LOOKUP(F30,Espesor!C$8:C$41,Espesor!O$8:O$41)))</f>
        <v/>
      </c>
      <c r="I30" s="510" t="str">
        <f>IF(G30="","",IF(G30&lt;=0,"",0.848-SQRT(0.719-G30/(0.53*100*(H30-Espesor!L$4)^2*Espesor!E$4))))</f>
        <v/>
      </c>
      <c r="J30" s="510" t="str">
        <f>IF(G30="","",IF(G30&lt;=0,"",IF(I30*Espesor!E$4/Espesor!H$4&lt;0.002,0.002,I30*Espesor!E$4/Espesor!H$4)))</f>
        <v/>
      </c>
      <c r="K30" s="517" t="str">
        <f>IF(G30="","",IF(G30&lt;=0,"------",ROUND(J30*(H30-Espesor!L$4)*100,2)))</f>
        <v/>
      </c>
      <c r="L30" s="508">
        <f>IF(A30="",0,LOOKUP(D30,'M+'!$A$4:$A$71,'M+'!$N$4:$N$71))</f>
        <v>0</v>
      </c>
      <c r="M30" s="508">
        <f>IF(A30="",0,LOOKUP(F30,'M+'!$A$4:$A$71,'M+'!$N$4:$N$71))</f>
        <v>0</v>
      </c>
      <c r="N30" s="517" t="str">
        <f t="shared" si="28"/>
        <v/>
      </c>
      <c r="O30" s="512" t="str">
        <f t="shared" si="29"/>
        <v/>
      </c>
      <c r="P30" s="501">
        <f t="shared" si="23"/>
        <v>0</v>
      </c>
      <c r="Q30" s="234" t="e">
        <f t="shared" si="24"/>
        <v>#VALUE!</v>
      </c>
      <c r="R30" s="234" t="e">
        <f t="shared" si="25"/>
        <v>#VALUE!</v>
      </c>
      <c r="S30" s="234" t="e">
        <f t="shared" si="26"/>
        <v>#VALUE!</v>
      </c>
      <c r="T30" s="235" t="e">
        <f t="shared" si="27"/>
        <v>#VALUE!</v>
      </c>
    </row>
    <row r="31" spans="1:20" ht="18" hidden="1" customHeight="1">
      <c r="A31" s="504" t="str">
        <f>IF(F31=0,"",IF(A30="",IF(V$2&gt;=MAX(A$5:A30)+1,MAX(A$5:A30)+1,""),A30+1))</f>
        <v/>
      </c>
      <c r="B31" s="505" t="str">
        <f t="shared" si="22"/>
        <v/>
      </c>
      <c r="C31" s="515" t="str">
        <f>IF(A31="","",IF(Espesor!$J$3="Techo","Lt-","Le-"))</f>
        <v/>
      </c>
      <c r="D31" s="516">
        <f>+Compesaciones!D5</f>
        <v>0</v>
      </c>
      <c r="E31" s="515" t="str">
        <f>IF(A31="","",IF(Espesor!$J$3="Techo","Lt-","Le-"))</f>
        <v/>
      </c>
      <c r="F31" s="516">
        <f>+Compesaciones!E5</f>
        <v>0</v>
      </c>
      <c r="G31" s="508" t="str">
        <f>IF(A31="","",Compesaciones!J88)</f>
        <v/>
      </c>
      <c r="H31" s="509" t="str">
        <f>IF(F31=0,"",MAX(LOOKUP(D31,Espesor!C$8:C$41,Espesor!O$8:O$41),LOOKUP(F31,Espesor!C$8:C$41,Espesor!O$8:O$41)))</f>
        <v/>
      </c>
      <c r="I31" s="510" t="str">
        <f>IF(G31="","",IF(G31&lt;=0,"",0.848-SQRT(0.719-G31/(0.53*100*(H31-Espesor!L$4)^2*Espesor!E$4))))</f>
        <v/>
      </c>
      <c r="J31" s="510" t="str">
        <f>IF(G31="","",IF(G31&lt;=0,"",IF(I31*Espesor!E$4/Espesor!H$4&lt;0.002,0.002,I31*Espesor!E$4/Espesor!H$4)))</f>
        <v/>
      </c>
      <c r="K31" s="517" t="str">
        <f>IF(G31="","",IF(G31&lt;=0,"------",ROUND(J31*(H31-Espesor!L$4)*100,2)))</f>
        <v/>
      </c>
      <c r="L31" s="508">
        <f>IF(A31="",0,LOOKUP(D31,'M+'!$A$4:$A$71,'M+'!$N$4:$N$71))</f>
        <v>0</v>
      </c>
      <c r="M31" s="508">
        <f>IF(A31="",0,LOOKUP(F31,'M+'!$A$4:$A$71,'M+'!$N$4:$N$71))</f>
        <v>0</v>
      </c>
      <c r="N31" s="517" t="str">
        <f t="shared" si="28"/>
        <v/>
      </c>
      <c r="O31" s="512" t="str">
        <f t="shared" si="29"/>
        <v/>
      </c>
      <c r="P31" s="501">
        <f t="shared" si="23"/>
        <v>0</v>
      </c>
      <c r="Q31" s="234" t="e">
        <f t="shared" si="24"/>
        <v>#VALUE!</v>
      </c>
      <c r="R31" s="234" t="e">
        <f t="shared" si="25"/>
        <v>#VALUE!</v>
      </c>
      <c r="S31" s="234" t="e">
        <f t="shared" si="26"/>
        <v>#VALUE!</v>
      </c>
      <c r="T31" s="235" t="e">
        <f t="shared" si="27"/>
        <v>#VALUE!</v>
      </c>
    </row>
    <row r="32" spans="1:20" ht="18" hidden="1" customHeight="1">
      <c r="A32" s="504" t="str">
        <f>IF(F32=0,"",IF(A31="",IF(V$2&gt;=MAX(A$5:A31)+1,MAX(A$5:A31)+1,""),A31+1))</f>
        <v/>
      </c>
      <c r="B32" s="505" t="str">
        <f t="shared" si="22"/>
        <v/>
      </c>
      <c r="C32" s="515" t="str">
        <f>IF(A32="","",IF(Espesor!$J$3="Techo","Lt-","Le-"))</f>
        <v/>
      </c>
      <c r="D32" s="516">
        <f>+Compesaciones!E5</f>
        <v>0</v>
      </c>
      <c r="E32" s="515" t="str">
        <f>IF(A32="","",IF(Espesor!$J$3="Techo","Lt-","Le-"))</f>
        <v/>
      </c>
      <c r="F32" s="516">
        <f>+Compesaciones!F5</f>
        <v>0</v>
      </c>
      <c r="G32" s="508" t="str">
        <f>IF(A32="","",Compesaciones!M88)</f>
        <v/>
      </c>
      <c r="H32" s="509" t="str">
        <f>IF(F32=0,"",MAX(LOOKUP(D32,Espesor!C$8:C$41,Espesor!O$8:O$41),LOOKUP(F32,Espesor!C$8:C$41,Espesor!O$8:O$41)))</f>
        <v/>
      </c>
      <c r="I32" s="510" t="str">
        <f>IF(G32="","",IF(G32&lt;=0,"",0.848-SQRT(0.719-G32/(0.53*100*(H32-Espesor!L$4)^2*Espesor!E$4))))</f>
        <v/>
      </c>
      <c r="J32" s="510" t="str">
        <f>IF(G32="","",IF(G32&lt;=0,"",IF(I32*Espesor!E$4/Espesor!H$4&lt;0.002,0.002,I32*Espesor!E$4/Espesor!H$4)))</f>
        <v/>
      </c>
      <c r="K32" s="517" t="str">
        <f>IF(G32="","",IF(G32&lt;=0,"------",ROUND(J32*(H32-Espesor!L$4)*100,2)))</f>
        <v/>
      </c>
      <c r="L32" s="508">
        <f>IF(A32="",0,LOOKUP(D32,'M+'!$A$4:$A$71,'M+'!$N$4:$N$71))</f>
        <v>0</v>
      </c>
      <c r="M32" s="508">
        <f>IF(A32="",0,LOOKUP(F32,'M+'!$A$4:$A$71,'M+'!$N$4:$N$71))</f>
        <v>0</v>
      </c>
      <c r="N32" s="517" t="str">
        <f t="shared" si="28"/>
        <v/>
      </c>
      <c r="O32" s="512" t="str">
        <f t="shared" si="29"/>
        <v/>
      </c>
      <c r="P32" s="501">
        <f t="shared" si="23"/>
        <v>0</v>
      </c>
      <c r="Q32" s="234" t="e">
        <f t="shared" si="24"/>
        <v>#VALUE!</v>
      </c>
      <c r="R32" s="234" t="e">
        <f t="shared" si="25"/>
        <v>#VALUE!</v>
      </c>
      <c r="S32" s="234" t="e">
        <f t="shared" si="26"/>
        <v>#VALUE!</v>
      </c>
      <c r="T32" s="235" t="e">
        <f t="shared" si="27"/>
        <v>#VALUE!</v>
      </c>
    </row>
    <row r="33" spans="1:20" ht="18" hidden="1" customHeight="1">
      <c r="A33" s="504" t="str">
        <f>IF(F33=0,"",IF(A32="",IF(V$2&gt;=MAX(A$5:A32)+1,MAX(A$5:A32)+1,""),A32+1))</f>
        <v/>
      </c>
      <c r="B33" s="505" t="str">
        <f t="shared" si="22"/>
        <v/>
      </c>
      <c r="C33" s="515" t="str">
        <f>IF(A33="","",IF(Espesor!$J$3="Techo","Lt-","Le-"))</f>
        <v/>
      </c>
      <c r="D33" s="516">
        <f>+Compesaciones!F5</f>
        <v>0</v>
      </c>
      <c r="E33" s="515" t="str">
        <f>IF(A33="","",IF(Espesor!$J$3="Techo","Lt-","Le-"))</f>
        <v/>
      </c>
      <c r="F33" s="516">
        <f>+Compesaciones!G5</f>
        <v>0</v>
      </c>
      <c r="G33" s="508" t="str">
        <f>IF(A33="","",Compesaciones!P88)</f>
        <v/>
      </c>
      <c r="H33" s="509" t="str">
        <f>IF(F33=0,"",MAX(LOOKUP(D33,Espesor!C$8:C$41,Espesor!O$8:O$41),LOOKUP(F33,Espesor!C$8:C$41,Espesor!O$8:O$41)))</f>
        <v/>
      </c>
      <c r="I33" s="510" t="str">
        <f>IF(G33="","",IF(G33&lt;=0,"",0.848-SQRT(0.719-G33/(0.53*100*(H33-Espesor!L$4)^2*Espesor!E$4))))</f>
        <v/>
      </c>
      <c r="J33" s="510" t="str">
        <f>IF(G33="","",IF(G33&lt;=0,"",IF(I33*Espesor!E$4/Espesor!H$4&lt;0.002,0.002,I33*Espesor!E$4/Espesor!H$4)))</f>
        <v/>
      </c>
      <c r="K33" s="517" t="str">
        <f>IF(G33="","",IF(G33&lt;=0,"------",ROUND(J33*(H33-Espesor!L$4)*100,2)))</f>
        <v/>
      </c>
      <c r="L33" s="508">
        <f>IF(A33="",0,LOOKUP(D33,'M+'!$A$4:$A$71,'M+'!$N$4:$N$71))</f>
        <v>0</v>
      </c>
      <c r="M33" s="508">
        <f>IF(A33="",0,LOOKUP(F33,'M+'!$A$4:$A$71,'M+'!$N$4:$N$71))</f>
        <v>0</v>
      </c>
      <c r="N33" s="517" t="str">
        <f t="shared" si="28"/>
        <v/>
      </c>
      <c r="O33" s="512" t="str">
        <f t="shared" si="29"/>
        <v/>
      </c>
      <c r="P33" s="501">
        <f t="shared" si="23"/>
        <v>0</v>
      </c>
      <c r="Q33" s="234" t="e">
        <f t="shared" si="24"/>
        <v>#VALUE!</v>
      </c>
      <c r="R33" s="234" t="e">
        <f t="shared" si="25"/>
        <v>#VALUE!</v>
      </c>
      <c r="S33" s="234" t="e">
        <f t="shared" si="26"/>
        <v>#VALUE!</v>
      </c>
      <c r="T33" s="235" t="e">
        <f t="shared" si="27"/>
        <v>#VALUE!</v>
      </c>
    </row>
    <row r="34" spans="1:20" ht="18" hidden="1" customHeight="1">
      <c r="A34" s="504" t="str">
        <f>IF(F34=0,"",IF(A33="",IF(V$2&gt;=MAX(A$5:A33)+1,MAX(A$5:A33)+1,""),A33+1))</f>
        <v/>
      </c>
      <c r="B34" s="505" t="str">
        <f t="shared" si="22"/>
        <v/>
      </c>
      <c r="C34" s="515" t="str">
        <f>IF(A34="","",IF(Espesor!$J$3="Techo","Lt-","Le-"))</f>
        <v/>
      </c>
      <c r="D34" s="516">
        <f>+Compesaciones!G5</f>
        <v>0</v>
      </c>
      <c r="E34" s="515" t="str">
        <f>IF(A34="","",IF(Espesor!$J$3="Techo","Lt-","Le-"))</f>
        <v/>
      </c>
      <c r="F34" s="516">
        <f>+Compesaciones!H5</f>
        <v>0</v>
      </c>
      <c r="G34" s="508" t="str">
        <f>IF(A34="","",Compesaciones!S88)</f>
        <v/>
      </c>
      <c r="H34" s="509" t="str">
        <f>IF(F34=0,"",MAX(LOOKUP(D34,Espesor!C$8:C$41,Espesor!O$8:O$41),LOOKUP(F34,Espesor!C$8:C$41,Espesor!O$8:O$41)))</f>
        <v/>
      </c>
      <c r="I34" s="510" t="str">
        <f>IF(G34="","",IF(G34&lt;=0,"",0.848-SQRT(0.719-G34/(0.53*100*(H34-Espesor!L$4)^2*Espesor!E$4))))</f>
        <v/>
      </c>
      <c r="J34" s="510" t="str">
        <f>IF(G34="","",IF(G34&lt;=0,"",IF(I34*Espesor!E$4/Espesor!H$4&lt;0.002,0.002,I34*Espesor!E$4/Espesor!H$4)))</f>
        <v/>
      </c>
      <c r="K34" s="517" t="str">
        <f>IF(G34="","",IF(G34&lt;=0,"------",ROUND(J34*(H34-Espesor!L$4)*100,2)))</f>
        <v/>
      </c>
      <c r="L34" s="508">
        <f>IF(A34="",0,LOOKUP(D34,'M+'!$A$4:$A$71,'M+'!$N$4:$N$71))</f>
        <v>0</v>
      </c>
      <c r="M34" s="508">
        <f>IF(A34="",0,LOOKUP(F34,'M+'!$A$4:$A$71,'M+'!$N$4:$N$71))</f>
        <v>0</v>
      </c>
      <c r="N34" s="517" t="str">
        <f t="shared" si="28"/>
        <v/>
      </c>
      <c r="O34" s="512" t="str">
        <f t="shared" si="29"/>
        <v/>
      </c>
      <c r="P34" s="501">
        <f t="shared" si="23"/>
        <v>0</v>
      </c>
      <c r="Q34" s="234" t="e">
        <f t="shared" si="24"/>
        <v>#VALUE!</v>
      </c>
      <c r="R34" s="234" t="e">
        <f t="shared" si="25"/>
        <v>#VALUE!</v>
      </c>
      <c r="S34" s="234" t="e">
        <f t="shared" si="26"/>
        <v>#VALUE!</v>
      </c>
      <c r="T34" s="235" t="e">
        <f t="shared" si="27"/>
        <v>#VALUE!</v>
      </c>
    </row>
    <row r="35" spans="1:20" ht="18" hidden="1" customHeight="1">
      <c r="A35" s="504" t="str">
        <f>IF(F35=0,"",IF(A34="",IF(V$2&gt;=MAX(A$5:A34)+1,MAX(A$5:A34)+1,""),A34+1))</f>
        <v/>
      </c>
      <c r="B35" s="505" t="str">
        <f t="shared" si="22"/>
        <v/>
      </c>
      <c r="C35" s="515" t="str">
        <f>IF(A35="","",IF(Espesor!$J$3="Techo","Lt-","Le-"))</f>
        <v/>
      </c>
      <c r="D35" s="516">
        <f>+Compesaciones!H5</f>
        <v>0</v>
      </c>
      <c r="E35" s="515" t="str">
        <f>IF(A35="","",IF(Espesor!$J$3="Techo","Lt-","Le-"))</f>
        <v/>
      </c>
      <c r="F35" s="516">
        <f>+Compesaciones!I5</f>
        <v>0</v>
      </c>
      <c r="G35" s="508" t="str">
        <f>IF(A35="","",Compesaciones!V88)</f>
        <v/>
      </c>
      <c r="H35" s="509" t="str">
        <f>IF(F35=0,"",MAX(LOOKUP(D35,Espesor!C$8:C$41,Espesor!O$8:O$41),LOOKUP(F35,Espesor!C$8:C$41,Espesor!O$8:O$41)))</f>
        <v/>
      </c>
      <c r="I35" s="510" t="str">
        <f>IF(G35="","",IF(G35&lt;=0,"",0.848-SQRT(0.719-G35/(0.53*100*(H35-Espesor!L$4)^2*Espesor!E$4))))</f>
        <v/>
      </c>
      <c r="J35" s="510" t="str">
        <f>IF(G35="","",IF(G35&lt;=0,"",IF(I35*Espesor!E$4/Espesor!H$4&lt;0.002,0.002,I35*Espesor!E$4/Espesor!H$4)))</f>
        <v/>
      </c>
      <c r="K35" s="517" t="str">
        <f>IF(G35="","",IF(G35&lt;=0,"------",ROUND(J35*(H35-Espesor!L$4)*100,2)))</f>
        <v/>
      </c>
      <c r="L35" s="508">
        <f>IF(A35="",0,LOOKUP(D35,'M+'!$A$4:$A$71,'M+'!$N$4:$N$71))</f>
        <v>0</v>
      </c>
      <c r="M35" s="508">
        <f>IF(A35="",0,LOOKUP(F35,'M+'!$A$4:$A$71,'M+'!$N$4:$N$71))</f>
        <v>0</v>
      </c>
      <c r="N35" s="517" t="str">
        <f t="shared" si="28"/>
        <v/>
      </c>
      <c r="O35" s="512" t="str">
        <f t="shared" si="29"/>
        <v/>
      </c>
      <c r="P35" s="501">
        <f t="shared" si="23"/>
        <v>0</v>
      </c>
      <c r="Q35" s="234" t="e">
        <f t="shared" si="24"/>
        <v>#VALUE!</v>
      </c>
      <c r="R35" s="234" t="e">
        <f t="shared" si="25"/>
        <v>#VALUE!</v>
      </c>
      <c r="S35" s="234" t="e">
        <f t="shared" si="26"/>
        <v>#VALUE!</v>
      </c>
      <c r="T35" s="235" t="e">
        <f t="shared" si="27"/>
        <v>#VALUE!</v>
      </c>
    </row>
    <row r="36" spans="1:20" ht="18" hidden="1" customHeight="1">
      <c r="A36" s="504" t="str">
        <f>IF(F36=0,"",IF(A35="",IF(V$2&gt;=MAX(A$5:A35)+1,MAX(A$5:A35)+1,""),A35+1))</f>
        <v/>
      </c>
      <c r="B36" s="505" t="str">
        <f t="shared" si="22"/>
        <v/>
      </c>
      <c r="C36" s="515" t="str">
        <f>IF(A36="","",IF(Espesor!$J$3="Techo","Lt-","Le-"))</f>
        <v/>
      </c>
      <c r="D36" s="516">
        <f>+Compesaciones!I5</f>
        <v>0</v>
      </c>
      <c r="E36" s="515" t="str">
        <f>IF(A36="","",IF(Espesor!$J$3="Techo","Lt-","Le-"))</f>
        <v/>
      </c>
      <c r="F36" s="516">
        <f>+Compesaciones!J5</f>
        <v>0</v>
      </c>
      <c r="G36" s="508" t="str">
        <f>IF(A36="","",Compesaciones!Y88)</f>
        <v/>
      </c>
      <c r="H36" s="509" t="str">
        <f>IF(F36=0,"",MAX(LOOKUP(D36,Espesor!C$8:C$41,Espesor!O$8:O$41),LOOKUP(F36,Espesor!C$8:C$41,Espesor!O$8:O$41)))</f>
        <v/>
      </c>
      <c r="I36" s="510" t="str">
        <f>IF(G36="","",IF(G36&lt;=0,"",0.848-SQRT(0.719-G36/(0.53*100*(H36-Espesor!L$4)^2*Espesor!E$4))))</f>
        <v/>
      </c>
      <c r="J36" s="510" t="str">
        <f>IF(G36="","",IF(G36&lt;=0,"",IF(I36*Espesor!E$4/Espesor!H$4&lt;0.002,0.002,I36*Espesor!E$4/Espesor!H$4)))</f>
        <v/>
      </c>
      <c r="K36" s="517" t="str">
        <f>IF(G36="","",IF(G36&lt;=0,"------",ROUND(J36*(H36-Espesor!L$4)*100,2)))</f>
        <v/>
      </c>
      <c r="L36" s="508">
        <f>IF(A36="",0,LOOKUP(D36,'M+'!$A$4:$A$71,'M+'!$N$4:$N$71))</f>
        <v>0</v>
      </c>
      <c r="M36" s="508">
        <f>IF(A36="",0,LOOKUP(F36,'M+'!$A$4:$A$71,'M+'!$N$4:$N$71))</f>
        <v>0</v>
      </c>
      <c r="N36" s="517" t="str">
        <f t="shared" si="28"/>
        <v/>
      </c>
      <c r="O36" s="512" t="str">
        <f t="shared" si="29"/>
        <v/>
      </c>
      <c r="P36" s="501">
        <f t="shared" si="23"/>
        <v>0</v>
      </c>
      <c r="Q36" s="234" t="e">
        <f t="shared" si="24"/>
        <v>#VALUE!</v>
      </c>
      <c r="R36" s="234" t="e">
        <f t="shared" si="25"/>
        <v>#VALUE!</v>
      </c>
      <c r="S36" s="234" t="e">
        <f t="shared" si="26"/>
        <v>#VALUE!</v>
      </c>
      <c r="T36" s="235" t="e">
        <f t="shared" si="27"/>
        <v>#VALUE!</v>
      </c>
    </row>
    <row r="37" spans="1:20" ht="18" hidden="1" customHeight="1">
      <c r="A37" s="504" t="str">
        <f>IF(F37=0,"",IF(A36="",IF(V$2&gt;=MAX(A$5:A36)+1,MAX(A$5:A36)+1,""),A36+1))</f>
        <v/>
      </c>
      <c r="B37" s="505" t="str">
        <f t="shared" si="22"/>
        <v/>
      </c>
      <c r="C37" s="515" t="str">
        <f>IF(A37="","",IF(Espesor!$J$3="Techo","Lt-","Le-"))</f>
        <v/>
      </c>
      <c r="D37" s="516">
        <f>+Compesaciones!B6</f>
        <v>0</v>
      </c>
      <c r="E37" s="515" t="str">
        <f>IF(A37="","",IF(Espesor!$J$3="Techo","Lt-","Le-"))</f>
        <v/>
      </c>
      <c r="F37" s="516">
        <f>+Compesaciones!C6</f>
        <v>0</v>
      </c>
      <c r="G37" s="508" t="str">
        <f>IF(A37="","",Compesaciones!D106)</f>
        <v/>
      </c>
      <c r="H37" s="509" t="str">
        <f>IF(F37=0,"",MAX(LOOKUP(D37,Espesor!C$8:C$41,Espesor!O$8:O$41),LOOKUP(F37,Espesor!C$8:C$41,Espesor!O$8:O$41)))</f>
        <v/>
      </c>
      <c r="I37" s="510" t="str">
        <f>IF(G37="","",IF(G37&lt;=0,"",0.848-SQRT(0.719-G37/(0.53*100*(H37-Espesor!L$4)^2*Espesor!E$4))))</f>
        <v/>
      </c>
      <c r="J37" s="510" t="str">
        <f>IF(G37="","",IF(G37&lt;=0,"",IF(I37*Espesor!E$4/Espesor!H$4&lt;0.002,0.002,I37*Espesor!E$4/Espesor!H$4)))</f>
        <v/>
      </c>
      <c r="K37" s="517" t="str">
        <f>IF(G37="","",IF(G37&lt;=0,"------",ROUND(J37*(H37-Espesor!L$4)*100,2)))</f>
        <v/>
      </c>
      <c r="L37" s="508">
        <f>IF(A37="",0,LOOKUP(D37,'M+'!$A$4:$A$71,'M+'!$N$4:$N$71))</f>
        <v>0</v>
      </c>
      <c r="M37" s="508">
        <f>IF(A37="",0,LOOKUP(F37,'M+'!$A$4:$A$71,'M+'!$N$4:$N$71))</f>
        <v>0</v>
      </c>
      <c r="N37" s="517" t="str">
        <f>IF(G37="","",IF(G37=0,"",IF(P37&gt;=K37,"------",IF(O37=Q37,"3/8   a",IF(O37=R37,"1/2   a",IF(O37=S37,"3/4   a","1   a"))))))</f>
        <v/>
      </c>
      <c r="O37" s="512" t="str">
        <f>IF(G37="","",IF(G37=0,"    ",IF(K37=P37,"------",IF(Q37&lt;0.1,IF(R37&lt;0.1,IF(S37&lt;0.1,T37,S37),R37),Q37))))</f>
        <v/>
      </c>
      <c r="P37" s="501">
        <f t="shared" si="23"/>
        <v>0</v>
      </c>
      <c r="Q37" s="234" t="e">
        <f t="shared" si="24"/>
        <v>#VALUE!</v>
      </c>
      <c r="R37" s="234" t="e">
        <f t="shared" si="25"/>
        <v>#VALUE!</v>
      </c>
      <c r="S37" s="234" t="e">
        <f t="shared" si="26"/>
        <v>#VALUE!</v>
      </c>
      <c r="T37" s="235" t="e">
        <f t="shared" si="27"/>
        <v>#VALUE!</v>
      </c>
    </row>
    <row r="38" spans="1:20" ht="18" hidden="1" customHeight="1">
      <c r="A38" s="504" t="str">
        <f>IF(F38=0,"",IF(A37="",IF(V$2&gt;=MAX(A$5:A37)+1,MAX(A$5:A37)+1,""),A37+1))</f>
        <v/>
      </c>
      <c r="B38" s="505" t="str">
        <f t="shared" si="22"/>
        <v/>
      </c>
      <c r="C38" s="515" t="str">
        <f>IF(A38="","",IF(Espesor!$J$3="Techo","Lt-","Le-"))</f>
        <v/>
      </c>
      <c r="D38" s="516">
        <f>+Compesaciones!C6</f>
        <v>0</v>
      </c>
      <c r="E38" s="515" t="str">
        <f>IF(A38="","",IF(Espesor!$J$3="Techo","Lt-","Le-"))</f>
        <v/>
      </c>
      <c r="F38" s="516">
        <f>+Compesaciones!D6</f>
        <v>0</v>
      </c>
      <c r="G38" s="508" t="str">
        <f>IF(A38="","",Compesaciones!G106)</f>
        <v/>
      </c>
      <c r="H38" s="509" t="str">
        <f>IF(F38=0,"",MAX(LOOKUP(D38,Espesor!C$8:C$41,Espesor!O$8:O$41),LOOKUP(F38,Espesor!C$8:C$41,Espesor!O$8:O$41)))</f>
        <v/>
      </c>
      <c r="I38" s="510" t="str">
        <f>IF(G38="","",IF(G38&lt;=0,"",0.848-SQRT(0.719-G38/(0.53*100*(H38-Espesor!L$4)^2*Espesor!E$4))))</f>
        <v/>
      </c>
      <c r="J38" s="510" t="str">
        <f>IF(G38="","",IF(G38&lt;=0,"",IF(I38*Espesor!E$4/Espesor!H$4&lt;0.002,0.002,I38*Espesor!E$4/Espesor!H$4)))</f>
        <v/>
      </c>
      <c r="K38" s="517" t="str">
        <f>IF(G38="","",IF(G38&lt;=0,"------",ROUND(J38*(H38-Espesor!L$4)*100,2)))</f>
        <v/>
      </c>
      <c r="L38" s="508">
        <f>IF(A38="",0,LOOKUP(D38,'M+'!$A$4:$A$71,'M+'!$N$4:$N$71))</f>
        <v>0</v>
      </c>
      <c r="M38" s="508">
        <f>IF(A38="",0,LOOKUP(F38,'M+'!$A$4:$A$71,'M+'!$N$4:$N$71))</f>
        <v>0</v>
      </c>
      <c r="N38" s="517" t="str">
        <f t="shared" ref="N38:N46" si="30">IF(G38="","",IF(G38=0,"",IF(P38&gt;=K38,"------",IF(O38=Q38,"3/8   a",IF(O38=R38,"1/2   a",IF(O38=S38,"3/4   a","1   a"))))))</f>
        <v/>
      </c>
      <c r="O38" s="512" t="str">
        <f t="shared" ref="O38:O46" si="31">IF(G38="","",IF(G38=0,"    ",IF(K38=P38,"------",IF(Q38&lt;0.1,IF(R38&lt;0.1,IF(S38&lt;0.1,T38,S38),R38),Q38))))</f>
        <v/>
      </c>
      <c r="P38" s="501">
        <f t="shared" si="23"/>
        <v>0</v>
      </c>
      <c r="Q38" s="234" t="e">
        <f t="shared" si="24"/>
        <v>#VALUE!</v>
      </c>
      <c r="R38" s="234" t="e">
        <f t="shared" si="25"/>
        <v>#VALUE!</v>
      </c>
      <c r="S38" s="234" t="e">
        <f t="shared" si="26"/>
        <v>#VALUE!</v>
      </c>
      <c r="T38" s="235" t="e">
        <f t="shared" si="27"/>
        <v>#VALUE!</v>
      </c>
    </row>
    <row r="39" spans="1:20" ht="18" hidden="1" customHeight="1">
      <c r="A39" s="504" t="str">
        <f>IF(F39=0,"",IF(A38="",IF(V$2&gt;=MAX(A$5:A38)+1,MAX(A$5:A38)+1,""),A38+1))</f>
        <v/>
      </c>
      <c r="B39" s="505" t="str">
        <f t="shared" si="22"/>
        <v/>
      </c>
      <c r="C39" s="515" t="str">
        <f>IF(A39="","",IF(Espesor!$J$3="Techo","Lt-","Le-"))</f>
        <v/>
      </c>
      <c r="D39" s="516">
        <f>+Compesaciones!D6</f>
        <v>0</v>
      </c>
      <c r="E39" s="515" t="str">
        <f>IF(A39="","",IF(Espesor!$J$3="Techo","Lt-","Le-"))</f>
        <v/>
      </c>
      <c r="F39" s="516">
        <f>+Compesaciones!E6</f>
        <v>0</v>
      </c>
      <c r="G39" s="508" t="str">
        <f>IF(A39="","",Compesaciones!J106)</f>
        <v/>
      </c>
      <c r="H39" s="509" t="str">
        <f>IF(F39=0,"",MAX(LOOKUP(D39,Espesor!C$8:C$41,Espesor!O$8:O$41),LOOKUP(F39,Espesor!C$8:C$41,Espesor!O$8:O$41)))</f>
        <v/>
      </c>
      <c r="I39" s="510" t="str">
        <f>IF(G39="","",IF(G39&lt;=0,"",0.848-SQRT(0.719-G39/(0.53*100*(H39-Espesor!L$4)^2*Espesor!E$4))))</f>
        <v/>
      </c>
      <c r="J39" s="510" t="str">
        <f>IF(G39="","",IF(G39&lt;=0,"",IF(I39*Espesor!E$4/Espesor!H$4&lt;0.002,0.002,I39*Espesor!E$4/Espesor!H$4)))</f>
        <v/>
      </c>
      <c r="K39" s="517" t="str">
        <f>IF(G39="","",IF(G39&lt;=0,"------",ROUND(J39*(H39-Espesor!L$4)*100,2)))</f>
        <v/>
      </c>
      <c r="L39" s="508">
        <f>IF(A39="",0,LOOKUP(D39,'M+'!$A$4:$A$71,'M+'!$N$4:$N$71))</f>
        <v>0</v>
      </c>
      <c r="M39" s="508">
        <f>IF(A39="",0,LOOKUP(F39,'M+'!$A$4:$A$71,'M+'!$N$4:$N$71))</f>
        <v>0</v>
      </c>
      <c r="N39" s="517" t="str">
        <f t="shared" si="30"/>
        <v/>
      </c>
      <c r="O39" s="512" t="str">
        <f t="shared" si="31"/>
        <v/>
      </c>
      <c r="P39" s="501">
        <f t="shared" si="23"/>
        <v>0</v>
      </c>
      <c r="Q39" s="234" t="e">
        <f t="shared" si="24"/>
        <v>#VALUE!</v>
      </c>
      <c r="R39" s="234" t="e">
        <f t="shared" si="25"/>
        <v>#VALUE!</v>
      </c>
      <c r="S39" s="234" t="e">
        <f t="shared" si="26"/>
        <v>#VALUE!</v>
      </c>
      <c r="T39" s="235" t="e">
        <f t="shared" si="27"/>
        <v>#VALUE!</v>
      </c>
    </row>
    <row r="40" spans="1:20" ht="18" hidden="1" customHeight="1">
      <c r="A40" s="504" t="str">
        <f>IF(F40=0,"",IF(A39="",IF(V$2&gt;=MAX(A$5:A39)+1,MAX(A$5:A39)+1,""),A39+1))</f>
        <v/>
      </c>
      <c r="B40" s="505" t="str">
        <f t="shared" si="22"/>
        <v/>
      </c>
      <c r="C40" s="515" t="str">
        <f>IF(A40="","",IF(Espesor!$J$3="Techo","Lt-","Le-"))</f>
        <v/>
      </c>
      <c r="D40" s="516">
        <f>+Compesaciones!E6</f>
        <v>0</v>
      </c>
      <c r="E40" s="515" t="str">
        <f>IF(A40="","",IF(Espesor!$J$3="Techo","Lt-","Le-"))</f>
        <v/>
      </c>
      <c r="F40" s="516">
        <f>+Compesaciones!F6</f>
        <v>0</v>
      </c>
      <c r="G40" s="508" t="str">
        <f>IF(A40="","",Compesaciones!M106)</f>
        <v/>
      </c>
      <c r="H40" s="509" t="str">
        <f>IF(F40=0,"",MAX(LOOKUP(D40,Espesor!C$8:C$41,Espesor!O$8:O$41),LOOKUP(F40,Espesor!C$8:C$41,Espesor!O$8:O$41)))</f>
        <v/>
      </c>
      <c r="I40" s="510" t="str">
        <f>IF(G40="","",IF(G40&lt;=0,"",0.848-SQRT(0.719-G40/(0.53*100*(H40-Espesor!L$4)^2*Espesor!E$4))))</f>
        <v/>
      </c>
      <c r="J40" s="510" t="str">
        <f>IF(G40="","",IF(G40&lt;=0,"",IF(I40*Espesor!E$4/Espesor!H$4&lt;0.002,0.002,I40*Espesor!E$4/Espesor!H$4)))</f>
        <v/>
      </c>
      <c r="K40" s="517" t="str">
        <f>IF(G40="","",IF(G40&lt;=0,"------",ROUND(J40*(H40-Espesor!L$4)*100,2)))</f>
        <v/>
      </c>
      <c r="L40" s="508">
        <f>IF(A40="",0,LOOKUP(D40,'M+'!$A$4:$A$71,'M+'!$N$4:$N$71))</f>
        <v>0</v>
      </c>
      <c r="M40" s="508">
        <f>IF(A40="",0,LOOKUP(F40,'M+'!$A$4:$A$71,'M+'!$N$4:$N$71))</f>
        <v>0</v>
      </c>
      <c r="N40" s="517" t="str">
        <f t="shared" si="30"/>
        <v/>
      </c>
      <c r="O40" s="512" t="str">
        <f t="shared" si="31"/>
        <v/>
      </c>
      <c r="P40" s="501">
        <f t="shared" si="23"/>
        <v>0</v>
      </c>
      <c r="Q40" s="234" t="e">
        <f t="shared" si="24"/>
        <v>#VALUE!</v>
      </c>
      <c r="R40" s="234" t="e">
        <f t="shared" si="25"/>
        <v>#VALUE!</v>
      </c>
      <c r="S40" s="234" t="e">
        <f t="shared" si="26"/>
        <v>#VALUE!</v>
      </c>
      <c r="T40" s="235" t="e">
        <f t="shared" si="27"/>
        <v>#VALUE!</v>
      </c>
    </row>
    <row r="41" spans="1:20" ht="18" hidden="1" customHeight="1">
      <c r="A41" s="504" t="str">
        <f>IF(F41=0,"",IF(A40="",IF(V$2&gt;=MAX(A$5:A40)+1,MAX(A$5:A40)+1,""),A40+1))</f>
        <v/>
      </c>
      <c r="B41" s="505" t="str">
        <f t="shared" si="22"/>
        <v/>
      </c>
      <c r="C41" s="515" t="str">
        <f>IF(A41="","",IF(Espesor!$J$3="Techo","Lt-","Le-"))</f>
        <v/>
      </c>
      <c r="D41" s="516">
        <f>+Compesaciones!F6</f>
        <v>0</v>
      </c>
      <c r="E41" s="515" t="str">
        <f>IF(A41="","",IF(Espesor!$J$3="Techo","Lt-","Le-"))</f>
        <v/>
      </c>
      <c r="F41" s="516">
        <f>+Compesaciones!G6</f>
        <v>0</v>
      </c>
      <c r="G41" s="508" t="str">
        <f>IF(A41="","",Compesaciones!P106)</f>
        <v/>
      </c>
      <c r="H41" s="509" t="str">
        <f>IF(F41=0,"",MAX(LOOKUP(D41,Espesor!C$8:C$41,Espesor!O$8:O$41),LOOKUP(F41,Espesor!C$8:C$41,Espesor!O$8:O$41)))</f>
        <v/>
      </c>
      <c r="I41" s="510" t="str">
        <f>IF(G41="","",IF(G41&lt;=0,"",0.848-SQRT(0.719-G41/(0.53*100*(H41-Espesor!L$4)^2*Espesor!E$4))))</f>
        <v/>
      </c>
      <c r="J41" s="510" t="str">
        <f>IF(G41="","",IF(G41&lt;=0,"",IF(I41*Espesor!E$4/Espesor!H$4&lt;0.002,0.002,I41*Espesor!E$4/Espesor!H$4)))</f>
        <v/>
      </c>
      <c r="K41" s="517" t="str">
        <f>IF(G41="","",IF(G41&lt;=0,"------",ROUND(J41*(H41-Espesor!L$4)*100,2)))</f>
        <v/>
      </c>
      <c r="L41" s="508">
        <f>IF(A41="",0,LOOKUP(D41,'M+'!$A$4:$A$71,'M+'!$N$4:$N$71))</f>
        <v>0</v>
      </c>
      <c r="M41" s="508">
        <f>IF(A41="",0,LOOKUP(F41,'M+'!$A$4:$A$71,'M+'!$N$4:$N$71))</f>
        <v>0</v>
      </c>
      <c r="N41" s="517" t="str">
        <f t="shared" si="30"/>
        <v/>
      </c>
      <c r="O41" s="512" t="str">
        <f t="shared" si="31"/>
        <v/>
      </c>
      <c r="P41" s="501">
        <f t="shared" si="23"/>
        <v>0</v>
      </c>
      <c r="Q41" s="234" t="e">
        <f t="shared" si="24"/>
        <v>#VALUE!</v>
      </c>
      <c r="R41" s="234" t="e">
        <f t="shared" si="25"/>
        <v>#VALUE!</v>
      </c>
      <c r="S41" s="234" t="e">
        <f t="shared" si="26"/>
        <v>#VALUE!</v>
      </c>
      <c r="T41" s="235" t="e">
        <f t="shared" si="27"/>
        <v>#VALUE!</v>
      </c>
    </row>
    <row r="42" spans="1:20" ht="18" hidden="1" customHeight="1">
      <c r="A42" s="504" t="str">
        <f>IF(F42=0,"",IF(A41="",IF(V$2&gt;=MAX(A$5:A41)+1,MAX(A$5:A41)+1,""),A41+1))</f>
        <v/>
      </c>
      <c r="B42" s="505" t="str">
        <f t="shared" si="22"/>
        <v/>
      </c>
      <c r="C42" s="515" t="str">
        <f>IF(A42="","",IF(Espesor!$J$3="Techo","Lt-","Le-"))</f>
        <v/>
      </c>
      <c r="D42" s="516">
        <f>+Compesaciones!G6</f>
        <v>0</v>
      </c>
      <c r="E42" s="515" t="str">
        <f>IF(A42="","",IF(Espesor!$J$3="Techo","Lt-","Le-"))</f>
        <v/>
      </c>
      <c r="F42" s="516">
        <f>+Compesaciones!H6</f>
        <v>0</v>
      </c>
      <c r="G42" s="508" t="str">
        <f>IF(A42="","",Compesaciones!S106)</f>
        <v/>
      </c>
      <c r="H42" s="509" t="str">
        <f>IF(F42=0,"",MAX(LOOKUP(D42,Espesor!C$8:C$41,Espesor!O$8:O$41),LOOKUP(F42,Espesor!C$8:C$41,Espesor!O$8:O$41)))</f>
        <v/>
      </c>
      <c r="I42" s="510" t="str">
        <f>IF(G42="","",IF(G42&lt;=0,"",0.848-SQRT(0.719-G42/(0.53*100*(H42-Espesor!L$4)^2*Espesor!E$4))))</f>
        <v/>
      </c>
      <c r="J42" s="510" t="str">
        <f>IF(G42="","",IF(G42&lt;=0,"",IF(I42*Espesor!E$4/Espesor!H$4&lt;0.002,0.002,I42*Espesor!E$4/Espesor!H$4)))</f>
        <v/>
      </c>
      <c r="K42" s="517" t="str">
        <f>IF(G42="","",IF(G42&lt;=0,"------",ROUND(J42*(H42-Espesor!L$4)*100,2)))</f>
        <v/>
      </c>
      <c r="L42" s="508">
        <f>IF(A42="",0,LOOKUP(D42,'M+'!$A$4:$A$71,'M+'!$N$4:$N$71))</f>
        <v>0</v>
      </c>
      <c r="M42" s="508">
        <f>IF(A42="",0,LOOKUP(F42,'M+'!$A$4:$A$71,'M+'!$N$4:$N$71))</f>
        <v>0</v>
      </c>
      <c r="N42" s="517" t="str">
        <f t="shared" si="30"/>
        <v/>
      </c>
      <c r="O42" s="512" t="str">
        <f t="shared" si="31"/>
        <v/>
      </c>
      <c r="P42" s="501">
        <f t="shared" si="23"/>
        <v>0</v>
      </c>
      <c r="Q42" s="234" t="e">
        <f t="shared" si="24"/>
        <v>#VALUE!</v>
      </c>
      <c r="R42" s="234" t="e">
        <f t="shared" si="25"/>
        <v>#VALUE!</v>
      </c>
      <c r="S42" s="234" t="e">
        <f t="shared" si="26"/>
        <v>#VALUE!</v>
      </c>
      <c r="T42" s="235" t="e">
        <f t="shared" si="27"/>
        <v>#VALUE!</v>
      </c>
    </row>
    <row r="43" spans="1:20" ht="18" hidden="1" customHeight="1">
      <c r="A43" s="504" t="str">
        <f>IF(F43=0,"",IF(A42="",IF(V$2&gt;=MAX(A$5:A42)+1,MAX(A$5:A42)+1,""),A42+1))</f>
        <v/>
      </c>
      <c r="B43" s="505" t="str">
        <f t="shared" si="22"/>
        <v/>
      </c>
      <c r="C43" s="515" t="str">
        <f>IF(A43="","",IF(Espesor!$J$3="Techo","Lt-","Le-"))</f>
        <v/>
      </c>
      <c r="D43" s="516">
        <f>+Compesaciones!H6</f>
        <v>0</v>
      </c>
      <c r="E43" s="515" t="str">
        <f>IF(A43="","",IF(Espesor!$J$3="Techo","Lt-","Le-"))</f>
        <v/>
      </c>
      <c r="F43" s="516">
        <f>+Compesaciones!I6</f>
        <v>0</v>
      </c>
      <c r="G43" s="508" t="str">
        <f>IF(A43="","",Compesaciones!V106)</f>
        <v/>
      </c>
      <c r="H43" s="509" t="str">
        <f>IF(F43=0,"",MAX(LOOKUP(D43,Espesor!C$8:C$41,Espesor!O$8:O$41),LOOKUP(F43,Espesor!C$8:C$41,Espesor!O$8:O$41)))</f>
        <v/>
      </c>
      <c r="I43" s="510" t="str">
        <f>IF(G43="","",IF(G43&lt;=0,"",0.848-SQRT(0.719-G43/(0.53*100*(H43-Espesor!L$4)^2*Espesor!E$4))))</f>
        <v/>
      </c>
      <c r="J43" s="510" t="str">
        <f>IF(G43="","",IF(G43&lt;=0,"",IF(I43*Espesor!E$4/Espesor!H$4&lt;0.002,0.002,I43*Espesor!E$4/Espesor!H$4)))</f>
        <v/>
      </c>
      <c r="K43" s="517" t="str">
        <f>IF(G43="","",IF(G43&lt;=0,"------",ROUND(J43*(H43-Espesor!L$4)*100,2)))</f>
        <v/>
      </c>
      <c r="L43" s="508">
        <f>IF(A43="",0,LOOKUP(D43,'M+'!$A$4:$A$71,'M+'!$N$4:$N$71))</f>
        <v>0</v>
      </c>
      <c r="M43" s="508">
        <f>IF(A43="",0,LOOKUP(F43,'M+'!$A$4:$A$71,'M+'!$N$4:$N$71))</f>
        <v>0</v>
      </c>
      <c r="N43" s="517" t="str">
        <f t="shared" si="30"/>
        <v/>
      </c>
      <c r="O43" s="512" t="str">
        <f t="shared" si="31"/>
        <v/>
      </c>
      <c r="P43" s="501">
        <f t="shared" si="23"/>
        <v>0</v>
      </c>
      <c r="Q43" s="234" t="e">
        <f t="shared" si="24"/>
        <v>#VALUE!</v>
      </c>
      <c r="R43" s="234" t="e">
        <f t="shared" si="25"/>
        <v>#VALUE!</v>
      </c>
      <c r="S43" s="234" t="e">
        <f t="shared" si="26"/>
        <v>#VALUE!</v>
      </c>
      <c r="T43" s="235" t="e">
        <f t="shared" si="27"/>
        <v>#VALUE!</v>
      </c>
    </row>
    <row r="44" spans="1:20" ht="18" hidden="1" customHeight="1">
      <c r="A44" s="504" t="str">
        <f>IF(F44=0,"",IF(A43="",IF(V$2&gt;=MAX(A$5:A43)+1,MAX(A$5:A43)+1,""),A43+1))</f>
        <v/>
      </c>
      <c r="B44" s="505" t="str">
        <f t="shared" si="22"/>
        <v/>
      </c>
      <c r="C44" s="515" t="str">
        <f>IF(A44="","",IF(Espesor!$J$3="Techo","Lt-","Le-"))</f>
        <v/>
      </c>
      <c r="D44" s="516">
        <f>+Compesaciones!I6</f>
        <v>0</v>
      </c>
      <c r="E44" s="515" t="str">
        <f>IF(A44="","",IF(Espesor!$J$3="Techo","Lt-","Le-"))</f>
        <v/>
      </c>
      <c r="F44" s="516">
        <f>+Compesaciones!J6</f>
        <v>0</v>
      </c>
      <c r="G44" s="508" t="str">
        <f>IF(A44="","",Compesaciones!Y106)</f>
        <v/>
      </c>
      <c r="H44" s="509" t="str">
        <f>IF(F44=0,"",MAX(LOOKUP(D44,Espesor!C$8:C$41,Espesor!O$8:O$41),LOOKUP(F44,Espesor!C$8:C$41,Espesor!O$8:O$41)))</f>
        <v/>
      </c>
      <c r="I44" s="510" t="str">
        <f>IF(G44="","",IF(G44&lt;=0,"",0.848-SQRT(0.719-G44/(0.53*100*(H44-Espesor!L$4)^2*Espesor!E$4))))</f>
        <v/>
      </c>
      <c r="J44" s="510" t="str">
        <f>IF(G44="","",IF(G44&lt;=0,"",IF(I44*Espesor!E$4/Espesor!H$4&lt;0.002,0.002,I44*Espesor!E$4/Espesor!H$4)))</f>
        <v/>
      </c>
      <c r="K44" s="517" t="str">
        <f>IF(G44="","",IF(G44&lt;=0,"------",ROUND(J44*(H44-Espesor!L$4)*100,2)))</f>
        <v/>
      </c>
      <c r="L44" s="508">
        <f>IF(A44="",0,LOOKUP(D44,'M+'!$A$4:$A$71,'M+'!$N$4:$N$71))</f>
        <v>0</v>
      </c>
      <c r="M44" s="508">
        <f>IF(A44="",0,LOOKUP(F44,'M+'!$A$4:$A$71,'M+'!$N$4:$N$71))</f>
        <v>0</v>
      </c>
      <c r="N44" s="517" t="str">
        <f t="shared" si="30"/>
        <v/>
      </c>
      <c r="O44" s="512" t="str">
        <f t="shared" si="31"/>
        <v/>
      </c>
      <c r="P44" s="501">
        <f t="shared" si="23"/>
        <v>0</v>
      </c>
      <c r="Q44" s="234" t="e">
        <f t="shared" si="24"/>
        <v>#VALUE!</v>
      </c>
      <c r="R44" s="234" t="e">
        <f t="shared" si="25"/>
        <v>#VALUE!</v>
      </c>
      <c r="S44" s="234" t="e">
        <f t="shared" si="26"/>
        <v>#VALUE!</v>
      </c>
      <c r="T44" s="235" t="e">
        <f t="shared" si="27"/>
        <v>#VALUE!</v>
      </c>
    </row>
    <row r="45" spans="1:20" ht="18" hidden="1" customHeight="1">
      <c r="A45" s="504" t="str">
        <f>IF(F45=0,"",IF(A44="",IF(V$2&gt;=MAX(A$5:A44)+1,MAX(A$5:A44)+1,""),A44+1))</f>
        <v/>
      </c>
      <c r="B45" s="505" t="str">
        <f t="shared" si="21"/>
        <v/>
      </c>
      <c r="C45" s="515" t="str">
        <f>IF(A45="","",IF(Espesor!$J$3="Techo","Lt-","Le-"))</f>
        <v/>
      </c>
      <c r="D45" s="516">
        <f>+Compesaciones!B7</f>
        <v>0</v>
      </c>
      <c r="E45" s="515" t="str">
        <f>IF(A45="","",IF(Espesor!$J$3="Techo","Lt-","Le-"))</f>
        <v/>
      </c>
      <c r="F45" s="516">
        <f>+Compesaciones!C7</f>
        <v>0</v>
      </c>
      <c r="G45" s="508" t="str">
        <f>IF(A45="","",Compesaciones!D123)</f>
        <v/>
      </c>
      <c r="H45" s="509" t="str">
        <f>IF(F45=0,"",MAX(LOOKUP(D45,Espesor!C$8:C$41,Espesor!O$8:O$41),LOOKUP(F45,Espesor!C$8:C$41,Espesor!O$8:O$41)))</f>
        <v/>
      </c>
      <c r="I45" s="510" t="str">
        <f>IF(G45="","",IF(G45&lt;=0,"",0.848-SQRT(0.719-G45/(0.53*100*(H45-Espesor!L$4)^2*Espesor!E$4))))</f>
        <v/>
      </c>
      <c r="J45" s="510" t="str">
        <f>IF(G45="","",IF(G45&lt;=0,"",IF(I45*Espesor!E$4/Espesor!H$4&lt;0.002,0.002,I45*Espesor!E$4/Espesor!H$4)))</f>
        <v/>
      </c>
      <c r="K45" s="517" t="str">
        <f>IF(G45="","",IF(G45&lt;=0,"------",ROUND(J45*(H45-Espesor!L$4)*100,2)))</f>
        <v/>
      </c>
      <c r="L45" s="508">
        <f>IF(A45="",0,LOOKUP(D45,'M+'!$A$4:$A$71,'M+'!$N$4:$N$71))</f>
        <v>0</v>
      </c>
      <c r="M45" s="508">
        <f>IF(A45="",0,LOOKUP(F45,'M+'!$A$4:$A$71,'M+'!$N$4:$N$71))</f>
        <v>0</v>
      </c>
      <c r="N45" s="517" t="str">
        <f t="shared" si="30"/>
        <v/>
      </c>
      <c r="O45" s="512" t="str">
        <f t="shared" si="31"/>
        <v/>
      </c>
      <c r="P45" s="501">
        <f t="shared" si="16"/>
        <v>0</v>
      </c>
      <c r="Q45" s="234" t="e">
        <f t="shared" si="17"/>
        <v>#VALUE!</v>
      </c>
      <c r="R45" s="234" t="e">
        <f t="shared" si="18"/>
        <v>#VALUE!</v>
      </c>
      <c r="S45" s="234" t="e">
        <f t="shared" si="19"/>
        <v>#VALUE!</v>
      </c>
      <c r="T45" s="235" t="e">
        <f t="shared" si="20"/>
        <v>#VALUE!</v>
      </c>
    </row>
    <row r="46" spans="1:20" ht="18" hidden="1" customHeight="1">
      <c r="A46" s="504" t="str">
        <f>IF(F46=0,"",IF(A45="",IF(V$2&gt;=MAX(A$5:A45)+1,MAX(A$5:A45)+1,""),A45+1))</f>
        <v/>
      </c>
      <c r="B46" s="505" t="str">
        <f t="shared" si="21"/>
        <v/>
      </c>
      <c r="C46" s="515" t="str">
        <f>IF(A46="","",IF(Espesor!$J$3="Techo","Lt-","Le-"))</f>
        <v/>
      </c>
      <c r="D46" s="516">
        <f>+Compesaciones!C7</f>
        <v>0</v>
      </c>
      <c r="E46" s="515" t="str">
        <f>IF(A46="","",IF(Espesor!$J$3="Techo","Lt-","Le-"))</f>
        <v/>
      </c>
      <c r="F46" s="516">
        <f>+Compesaciones!D7</f>
        <v>0</v>
      </c>
      <c r="G46" s="508" t="str">
        <f>IF(A46="","",Compesaciones!G123)</f>
        <v/>
      </c>
      <c r="H46" s="509" t="str">
        <f>IF(F46=0,"",MAX(LOOKUP(D46,Espesor!C$8:C$41,Espesor!O$8:O$41),LOOKUP(F46,Espesor!C$8:C$41,Espesor!O$8:O$41)))</f>
        <v/>
      </c>
      <c r="I46" s="510" t="str">
        <f>IF(G46="","",IF(G46&lt;=0,"",0.848-SQRT(0.719-G46/(0.53*100*(H46-Espesor!L$4)^2*Espesor!E$4))))</f>
        <v/>
      </c>
      <c r="J46" s="510" t="str">
        <f>IF(G46="","",IF(G46&lt;=0,"",IF(I46*Espesor!E$4/Espesor!H$4&lt;0.002,0.002,I46*Espesor!E$4/Espesor!H$4)))</f>
        <v/>
      </c>
      <c r="K46" s="517" t="str">
        <f>IF(G46="","",IF(G46&lt;=0,"------",ROUND(J46*(H46-Espesor!L$4)*100,2)))</f>
        <v/>
      </c>
      <c r="L46" s="508">
        <f>IF(A46="",0,LOOKUP(D46,'M+'!$A$4:$A$71,'M+'!$N$4:$N$71))</f>
        <v>0</v>
      </c>
      <c r="M46" s="508">
        <f>IF(A46="",0,LOOKUP(F46,'M+'!$A$4:$A$71,'M+'!$N$4:$N$71))</f>
        <v>0</v>
      </c>
      <c r="N46" s="517" t="str">
        <f t="shared" si="30"/>
        <v/>
      </c>
      <c r="O46" s="512" t="str">
        <f t="shared" si="31"/>
        <v/>
      </c>
      <c r="P46" s="501">
        <f t="shared" si="16"/>
        <v>0</v>
      </c>
      <c r="Q46" s="234" t="e">
        <f t="shared" si="17"/>
        <v>#VALUE!</v>
      </c>
      <c r="R46" s="234" t="e">
        <f t="shared" si="18"/>
        <v>#VALUE!</v>
      </c>
      <c r="S46" s="234" t="e">
        <f t="shared" si="19"/>
        <v>#VALUE!</v>
      </c>
      <c r="T46" s="235" t="e">
        <f t="shared" si="20"/>
        <v>#VALUE!</v>
      </c>
    </row>
    <row r="47" spans="1:20" ht="18" hidden="1" customHeight="1">
      <c r="A47" s="504" t="str">
        <f>IF(F47=0,"",IF(A46="",IF(V$2&gt;=MAX(A$5:A46)+1,MAX(A$5:A46)+1,""),A46+1))</f>
        <v/>
      </c>
      <c r="B47" s="505" t="str">
        <f t="shared" si="21"/>
        <v/>
      </c>
      <c r="C47" s="515" t="str">
        <f>IF(A47="","",IF(Espesor!$J$3="Techo","Lt-","Le-"))</f>
        <v/>
      </c>
      <c r="D47" s="516">
        <f>+Compesaciones!D7</f>
        <v>0</v>
      </c>
      <c r="E47" s="515" t="str">
        <f>IF(A47="","",IF(Espesor!$J$3="Techo","Lt-","Le-"))</f>
        <v/>
      </c>
      <c r="F47" s="516">
        <f>+Compesaciones!E7</f>
        <v>0</v>
      </c>
      <c r="G47" s="508" t="str">
        <f>IF(A47="","",Compesaciones!J123)</f>
        <v/>
      </c>
      <c r="H47" s="509" t="str">
        <f>IF(F47=0,"",MAX(LOOKUP(D47,Espesor!C$8:C$41,Espesor!O$8:O$41),LOOKUP(F47,Espesor!C$8:C$41,Espesor!O$8:O$41)))</f>
        <v/>
      </c>
      <c r="I47" s="510" t="str">
        <f>IF(G47="","",IF(G47&lt;=0,"",0.848-SQRT(0.719-G47/(0.53*100*(H47-Espesor!L$4)^2*Espesor!E$4))))</f>
        <v/>
      </c>
      <c r="J47" s="510" t="str">
        <f>IF(G47="","",IF(G47&lt;=0,"",IF(I47*Espesor!E$4/Espesor!H$4&lt;0.002,0.002,I47*Espesor!E$4/Espesor!H$4)))</f>
        <v/>
      </c>
      <c r="K47" s="517" t="str">
        <f>IF(G47="","",IF(G47&lt;=0,"------",ROUND(J47*(H47-Espesor!L$4)*100,2)))</f>
        <v/>
      </c>
      <c r="L47" s="508">
        <f>IF(A47="",0,LOOKUP(D47,'M+'!$A$4:$A$71,'M+'!$N$4:$N$71))</f>
        <v>0</v>
      </c>
      <c r="M47" s="508">
        <f>IF(A47="",0,LOOKUP(F47,'M+'!$A$4:$A$71,'M+'!$N$4:$N$71))</f>
        <v>0</v>
      </c>
      <c r="N47" s="517" t="str">
        <f>IF(G47="","",IF(G47=0,"",IF(P47&gt;=K47,"------",IF(O47=Q47,"3/8   a",IF(O47=R47,"1/2   a",IF(O47=S47,"3/4   a","1   a"))))))</f>
        <v/>
      </c>
      <c r="O47" s="512" t="str">
        <f>IF(G47="","",IF(G47=0,"    ",IF(K47=P47,"------",IF(Q47&lt;0.1,IF(R47&lt;0.1,IF(S47&lt;0.1,T47,S47),R47),Q47))))</f>
        <v/>
      </c>
      <c r="P47" s="501">
        <f t="shared" si="16"/>
        <v>0</v>
      </c>
      <c r="Q47" s="234" t="e">
        <f t="shared" si="17"/>
        <v>#VALUE!</v>
      </c>
      <c r="R47" s="234" t="e">
        <f t="shared" si="18"/>
        <v>#VALUE!</v>
      </c>
      <c r="S47" s="234" t="e">
        <f t="shared" si="19"/>
        <v>#VALUE!</v>
      </c>
      <c r="T47" s="235" t="e">
        <f t="shared" si="20"/>
        <v>#VALUE!</v>
      </c>
    </row>
    <row r="48" spans="1:20" ht="18" hidden="1" customHeight="1">
      <c r="A48" s="504" t="str">
        <f>IF(F48=0,"",IF(A47="",IF(V$2&gt;=MAX(A$5:A47)+1,MAX(A$5:A47)+1,""),A47+1))</f>
        <v/>
      </c>
      <c r="B48" s="505" t="str">
        <f t="shared" si="21"/>
        <v/>
      </c>
      <c r="C48" s="515" t="str">
        <f>IF(A48="","",IF(Espesor!$J$3="Techo","Lt-","Le-"))</f>
        <v/>
      </c>
      <c r="D48" s="516">
        <f>+Compesaciones!E7</f>
        <v>0</v>
      </c>
      <c r="E48" s="515" t="str">
        <f>IF(A48="","",IF(Espesor!$J$3="Techo","Lt-","Le-"))</f>
        <v/>
      </c>
      <c r="F48" s="516">
        <f>+Compesaciones!F7</f>
        <v>0</v>
      </c>
      <c r="G48" s="508" t="str">
        <f>IF(A48="","",Compesaciones!M123)</f>
        <v/>
      </c>
      <c r="H48" s="509" t="str">
        <f>IF(F48=0,"",MAX(LOOKUP(D48,Espesor!C$8:C$41,Espesor!O$8:O$41),LOOKUP(F48,Espesor!C$8:C$41,Espesor!O$8:O$41)))</f>
        <v/>
      </c>
      <c r="I48" s="510" t="str">
        <f>IF(G48="","",IF(G48&lt;=0,"",0.848-SQRT(0.719-G48/(0.53*100*(H48-Espesor!L$4)^2*Espesor!E$4))))</f>
        <v/>
      </c>
      <c r="J48" s="510" t="str">
        <f>IF(G48="","",IF(G48&lt;=0,"",IF(I48*Espesor!E$4/Espesor!H$4&lt;0.002,0.002,I48*Espesor!E$4/Espesor!H$4)))</f>
        <v/>
      </c>
      <c r="K48" s="517" t="str">
        <f>IF(G48="","",IF(G48&lt;=0,"------",ROUND(J48*(H48-Espesor!L$4)*100,2)))</f>
        <v/>
      </c>
      <c r="L48" s="508">
        <f>IF(A48="",0,LOOKUP(D48,'M+'!$A$4:$A$71,'M+'!$N$4:$N$71))</f>
        <v>0</v>
      </c>
      <c r="M48" s="508">
        <f>IF(A48="",0,LOOKUP(F48,'M+'!$A$4:$A$71,'M+'!$N$4:$N$71))</f>
        <v>0</v>
      </c>
      <c r="N48" s="517" t="str">
        <f t="shared" ref="N48:N57" si="32">IF(G48="","",IF(G48=0,"",IF(P48&gt;=K48,"------",IF(O48=Q48,"3/8   a",IF(O48=R48,"1/2   a",IF(O48=S48,"3/4   a","1   a"))))))</f>
        <v/>
      </c>
      <c r="O48" s="512" t="str">
        <f t="shared" ref="O48:O57" si="33">IF(G48="","",IF(G48=0,"    ",IF(K48=P48,"------",IF(Q48&lt;0.1,IF(R48&lt;0.1,IF(S48&lt;0.1,T48,S48),R48),Q48))))</f>
        <v/>
      </c>
      <c r="P48" s="501">
        <f t="shared" si="16"/>
        <v>0</v>
      </c>
      <c r="Q48" s="234" t="e">
        <f t="shared" si="17"/>
        <v>#VALUE!</v>
      </c>
      <c r="R48" s="234" t="e">
        <f t="shared" si="18"/>
        <v>#VALUE!</v>
      </c>
      <c r="S48" s="234" t="e">
        <f t="shared" si="19"/>
        <v>#VALUE!</v>
      </c>
      <c r="T48" s="235" t="e">
        <f t="shared" si="20"/>
        <v>#VALUE!</v>
      </c>
    </row>
    <row r="49" spans="1:20" ht="18" hidden="1" customHeight="1">
      <c r="A49" s="504" t="str">
        <f>IF(F49=0,"",IF(A48="",IF(V$2&gt;=MAX(A$5:A48)+1,MAX(A$5:A48)+1,""),A48+1))</f>
        <v/>
      </c>
      <c r="B49" s="505" t="str">
        <f t="shared" si="21"/>
        <v/>
      </c>
      <c r="C49" s="515" t="str">
        <f>IF(A49="","",IF(Espesor!$J$3="Techo","Lt-","Le-"))</f>
        <v/>
      </c>
      <c r="D49" s="516">
        <f>+Compesaciones!F7</f>
        <v>0</v>
      </c>
      <c r="E49" s="515" t="str">
        <f>IF(A49="","",IF(Espesor!$J$3="Techo","Lt-","Le-"))</f>
        <v/>
      </c>
      <c r="F49" s="516">
        <f>+Compesaciones!G7</f>
        <v>0</v>
      </c>
      <c r="G49" s="508" t="str">
        <f>IF(A49="","",Compesaciones!P123)</f>
        <v/>
      </c>
      <c r="H49" s="509" t="str">
        <f>IF(F49=0,"",MAX(LOOKUP(D49,Espesor!C$8:C$41,Espesor!O$8:O$41),LOOKUP(F49,Espesor!C$8:C$41,Espesor!O$8:O$41)))</f>
        <v/>
      </c>
      <c r="I49" s="510" t="str">
        <f>IF(G49="","",IF(G49&lt;=0,"",0.848-SQRT(0.719-G49/(0.53*100*(H49-Espesor!L$4)^2*Espesor!E$4))))</f>
        <v/>
      </c>
      <c r="J49" s="510" t="str">
        <f>IF(G49="","",IF(G49&lt;=0,"",IF(I49*Espesor!E$4/Espesor!H$4&lt;0.002,0.002,I49*Espesor!E$4/Espesor!H$4)))</f>
        <v/>
      </c>
      <c r="K49" s="517" t="str">
        <f>IF(G49="","",IF(G49&lt;=0,"------",ROUND(J49*(H49-Espesor!L$4)*100,2)))</f>
        <v/>
      </c>
      <c r="L49" s="508">
        <f>IF(A49="",0,LOOKUP(D49,'M+'!$A$4:$A$71,'M+'!$N$4:$N$71))</f>
        <v>0</v>
      </c>
      <c r="M49" s="508">
        <f>IF(A49="",0,LOOKUP(F49,'M+'!$A$4:$A$71,'M+'!$N$4:$N$71))</f>
        <v>0</v>
      </c>
      <c r="N49" s="517" t="str">
        <f t="shared" si="32"/>
        <v/>
      </c>
      <c r="O49" s="512" t="str">
        <f t="shared" si="33"/>
        <v/>
      </c>
      <c r="P49" s="501">
        <f t="shared" si="16"/>
        <v>0</v>
      </c>
      <c r="Q49" s="234" t="e">
        <f t="shared" si="17"/>
        <v>#VALUE!</v>
      </c>
      <c r="R49" s="234" t="e">
        <f t="shared" si="18"/>
        <v>#VALUE!</v>
      </c>
      <c r="S49" s="234" t="e">
        <f t="shared" si="19"/>
        <v>#VALUE!</v>
      </c>
      <c r="T49" s="235" t="e">
        <f t="shared" si="20"/>
        <v>#VALUE!</v>
      </c>
    </row>
    <row r="50" spans="1:20" ht="18" hidden="1" customHeight="1">
      <c r="A50" s="504" t="str">
        <f>IF(F50=0,"",IF(A49="",IF(V$2&gt;=MAX(A$5:A49)+1,MAX(A$5:A49)+1,""),A49+1))</f>
        <v/>
      </c>
      <c r="B50" s="505" t="str">
        <f t="shared" si="21"/>
        <v/>
      </c>
      <c r="C50" s="515" t="str">
        <f>IF(A50="","",IF(Espesor!$J$3="Techo","Lt-","Le-"))</f>
        <v/>
      </c>
      <c r="D50" s="516">
        <f>+Compesaciones!G7</f>
        <v>0</v>
      </c>
      <c r="E50" s="515" t="str">
        <f>IF(A50="","",IF(Espesor!$J$3="Techo","Lt-","Le-"))</f>
        <v/>
      </c>
      <c r="F50" s="516">
        <f>+Compesaciones!H7</f>
        <v>0</v>
      </c>
      <c r="G50" s="508" t="str">
        <f>IF(A50="","",Compesaciones!S123)</f>
        <v/>
      </c>
      <c r="H50" s="509" t="str">
        <f>IF(F50=0,"",MAX(LOOKUP(D50,Espesor!C$8:C$41,Espesor!O$8:O$41),LOOKUP(F50,Espesor!C$8:C$41,Espesor!O$8:O$41)))</f>
        <v/>
      </c>
      <c r="I50" s="510" t="str">
        <f>IF(G50="","",IF(G50&lt;=0,"",0.848-SQRT(0.719-G50/(0.53*100*(H50-Espesor!L$4)^2*Espesor!E$4))))</f>
        <v/>
      </c>
      <c r="J50" s="510" t="str">
        <f>IF(G50="","",IF(G50&lt;=0,"",IF(I50*Espesor!E$4/Espesor!H$4&lt;0.002,0.002,I50*Espesor!E$4/Espesor!H$4)))</f>
        <v/>
      </c>
      <c r="K50" s="517" t="str">
        <f>IF(G50="","",IF(G50&lt;=0,"------",ROUND(J50*(H50-Espesor!L$4)*100,2)))</f>
        <v/>
      </c>
      <c r="L50" s="508">
        <f>IF(A50="",0,LOOKUP(D50,'M+'!$A$4:$A$71,'M+'!$N$4:$N$71))</f>
        <v>0</v>
      </c>
      <c r="M50" s="508">
        <f>IF(A50="",0,LOOKUP(F50,'M+'!$A$4:$A$71,'M+'!$N$4:$N$71))</f>
        <v>0</v>
      </c>
      <c r="N50" s="517" t="str">
        <f t="shared" si="32"/>
        <v/>
      </c>
      <c r="O50" s="512" t="str">
        <f t="shared" si="33"/>
        <v/>
      </c>
      <c r="P50" s="501">
        <f t="shared" si="16"/>
        <v>0</v>
      </c>
      <c r="Q50" s="234" t="e">
        <f t="shared" si="17"/>
        <v>#VALUE!</v>
      </c>
      <c r="R50" s="234" t="e">
        <f t="shared" si="18"/>
        <v>#VALUE!</v>
      </c>
      <c r="S50" s="234" t="e">
        <f t="shared" si="19"/>
        <v>#VALUE!</v>
      </c>
      <c r="T50" s="235" t="e">
        <f t="shared" si="20"/>
        <v>#VALUE!</v>
      </c>
    </row>
    <row r="51" spans="1:20" ht="18" hidden="1" customHeight="1">
      <c r="A51" s="504" t="str">
        <f>IF(F51=0,"",IF(A50="",IF(V$2&gt;=MAX(A$5:A50)+1,MAX(A$5:A50)+1,""),A50+1))</f>
        <v/>
      </c>
      <c r="B51" s="505" t="str">
        <f t="shared" si="21"/>
        <v/>
      </c>
      <c r="C51" s="515" t="str">
        <f>IF(A51="","",IF(Espesor!$J$3="Techo","Lt-","Le-"))</f>
        <v/>
      </c>
      <c r="D51" s="516">
        <f>+Compesaciones!H7</f>
        <v>0</v>
      </c>
      <c r="E51" s="515" t="str">
        <f>IF(A51="","",IF(Espesor!$J$3="Techo","Lt-","Le-"))</f>
        <v/>
      </c>
      <c r="F51" s="516">
        <f>+Compesaciones!I7</f>
        <v>0</v>
      </c>
      <c r="G51" s="508" t="str">
        <f>IF(A51="","",Compesaciones!V123)</f>
        <v/>
      </c>
      <c r="H51" s="509" t="str">
        <f>IF(F51=0,"",MAX(LOOKUP(D51,Espesor!C$8:C$41,Espesor!O$8:O$41),LOOKUP(F51,Espesor!C$8:C$41,Espesor!O$8:O$41)))</f>
        <v/>
      </c>
      <c r="I51" s="510" t="str">
        <f>IF(G51="","",IF(G51&lt;=0,"",0.848-SQRT(0.719-G51/(0.53*100*(H51-Espesor!L$4)^2*Espesor!E$4))))</f>
        <v/>
      </c>
      <c r="J51" s="510" t="str">
        <f>IF(G51="","",IF(G51&lt;=0,"",IF(I51*Espesor!E$4/Espesor!H$4&lt;0.002,0.002,I51*Espesor!E$4/Espesor!H$4)))</f>
        <v/>
      </c>
      <c r="K51" s="517" t="str">
        <f>IF(G51="","",IF(G51&lt;=0,"------",ROUND(J51*(H51-Espesor!L$4)*100,2)))</f>
        <v/>
      </c>
      <c r="L51" s="508">
        <f>IF(A51="",0,LOOKUP(D51,'M+'!$A$4:$A$71,'M+'!$N$4:$N$71))</f>
        <v>0</v>
      </c>
      <c r="M51" s="508">
        <f>IF(A51="",0,LOOKUP(F51,'M+'!$A$4:$A$71,'M+'!$N$4:$N$71))</f>
        <v>0</v>
      </c>
      <c r="N51" s="517" t="str">
        <f t="shared" si="32"/>
        <v/>
      </c>
      <c r="O51" s="512" t="str">
        <f t="shared" si="33"/>
        <v/>
      </c>
      <c r="P51" s="501">
        <f t="shared" si="16"/>
        <v>0</v>
      </c>
      <c r="Q51" s="234" t="e">
        <f t="shared" si="17"/>
        <v>#VALUE!</v>
      </c>
      <c r="R51" s="234" t="e">
        <f t="shared" si="18"/>
        <v>#VALUE!</v>
      </c>
      <c r="S51" s="234" t="e">
        <f t="shared" si="19"/>
        <v>#VALUE!</v>
      </c>
      <c r="T51" s="235" t="e">
        <f t="shared" si="20"/>
        <v>#VALUE!</v>
      </c>
    </row>
    <row r="52" spans="1:20" ht="18" hidden="1" customHeight="1">
      <c r="A52" s="504" t="str">
        <f>IF(F52=0,"",IF(A51="",IF(V$2&gt;=MAX(A$5:A51)+1,MAX(A$5:A51)+1,""),A51+1))</f>
        <v/>
      </c>
      <c r="B52" s="505" t="str">
        <f t="shared" si="21"/>
        <v/>
      </c>
      <c r="C52" s="515" t="str">
        <f>IF(A52="","",IF(Espesor!$J$3="Techo","Lt-","Le-"))</f>
        <v/>
      </c>
      <c r="D52" s="516">
        <f>+Compesaciones!I7</f>
        <v>0</v>
      </c>
      <c r="E52" s="515" t="str">
        <f>IF(A52="","",IF(Espesor!$J$3="Techo","Lt-","Le-"))</f>
        <v/>
      </c>
      <c r="F52" s="516">
        <f>+Compesaciones!J7</f>
        <v>0</v>
      </c>
      <c r="G52" s="508" t="str">
        <f>IF(A52="","",Compesaciones!Y123)</f>
        <v/>
      </c>
      <c r="H52" s="509" t="str">
        <f>IF(F52=0,"",MAX(LOOKUP(D52,Espesor!C$8:C$41,Espesor!O$8:O$41),LOOKUP(F52,Espesor!C$8:C$41,Espesor!O$8:O$41)))</f>
        <v/>
      </c>
      <c r="I52" s="510" t="str">
        <f>IF(G52="","",IF(G52&lt;=0,"",0.848-SQRT(0.719-G52/(0.53*100*(H52-Espesor!L$4)^2*Espesor!E$4))))</f>
        <v/>
      </c>
      <c r="J52" s="510" t="str">
        <f>IF(G52="","",IF(G52&lt;=0,"",IF(I52*Espesor!E$4/Espesor!H$4&lt;0.002,0.002,I52*Espesor!E$4/Espesor!H$4)))</f>
        <v/>
      </c>
      <c r="K52" s="517" t="str">
        <f>IF(G52="","",IF(G52&lt;=0,"------",ROUND(J52*(H52-Espesor!L$4)*100,2)))</f>
        <v/>
      </c>
      <c r="L52" s="508">
        <f>IF(A52="",0,LOOKUP(D52,'M+'!$A$4:$A$71,'M+'!$N$4:$N$71))</f>
        <v>0</v>
      </c>
      <c r="M52" s="508">
        <f>IF(A52="",0,LOOKUP(F52,'M+'!$A$4:$A$71,'M+'!$N$4:$N$71))</f>
        <v>0</v>
      </c>
      <c r="N52" s="517" t="str">
        <f t="shared" si="32"/>
        <v/>
      </c>
      <c r="O52" s="512" t="str">
        <f t="shared" si="33"/>
        <v/>
      </c>
      <c r="P52" s="501">
        <f t="shared" si="16"/>
        <v>0</v>
      </c>
      <c r="Q52" s="234" t="e">
        <f t="shared" si="17"/>
        <v>#VALUE!</v>
      </c>
      <c r="R52" s="234" t="e">
        <f t="shared" si="18"/>
        <v>#VALUE!</v>
      </c>
      <c r="S52" s="234" t="e">
        <f t="shared" si="19"/>
        <v>#VALUE!</v>
      </c>
      <c r="T52" s="235" t="e">
        <f t="shared" si="20"/>
        <v>#VALUE!</v>
      </c>
    </row>
    <row r="53" spans="1:20" ht="18" hidden="1" customHeight="1">
      <c r="A53" s="504" t="str">
        <f>IF(F53=0,"",IF(A52="",IF(V$2&gt;=MAX(A$5:A52)+1,MAX(A$5:A52)+1,""),A52+1))</f>
        <v/>
      </c>
      <c r="B53" s="505" t="str">
        <f t="shared" si="21"/>
        <v/>
      </c>
      <c r="C53" s="515" t="str">
        <f>IF(A53="","",IF(Espesor!$J$3="Techo","Lt-","Le-"))</f>
        <v/>
      </c>
      <c r="D53" s="516">
        <f>+Compesaciones!B8</f>
        <v>0</v>
      </c>
      <c r="E53" s="515" t="str">
        <f>IF(A53="","",IF(Espesor!$J$3="Techo","Lt-","Le-"))</f>
        <v/>
      </c>
      <c r="F53" s="516">
        <f>+Compesaciones!C8</f>
        <v>0</v>
      </c>
      <c r="G53" s="508" t="str">
        <f>IF(A53="","",Compesaciones!D141)</f>
        <v/>
      </c>
      <c r="H53" s="509" t="str">
        <f>IF(F53=0,"",MAX(LOOKUP(D53,Espesor!C$8:C$41,Espesor!O$8:O$41),LOOKUP(F53,Espesor!C$8:C$41,Espesor!O$8:O$41)))</f>
        <v/>
      </c>
      <c r="I53" s="510" t="str">
        <f>IF(G53="","",IF(G53&lt;=0,"",0.848-SQRT(0.719-G53/(0.53*100*(H53-Espesor!L$4)^2*Espesor!E$4))))</f>
        <v/>
      </c>
      <c r="J53" s="510" t="str">
        <f>IF(G53="","",IF(G53&lt;=0,"",IF(I53*Espesor!E$4/Espesor!H$4&lt;0.002,0.002,I53*Espesor!E$4/Espesor!H$4)))</f>
        <v/>
      </c>
      <c r="K53" s="517" t="str">
        <f>IF(G53="","",IF(G53&lt;=0,"------",ROUND(J53*(H53-Espesor!L$4)*100,2)))</f>
        <v/>
      </c>
      <c r="L53" s="508">
        <f>IF(A53="",0,LOOKUP(D53,'M+'!$A$4:$A$71,'M+'!$N$4:$N$71))</f>
        <v>0</v>
      </c>
      <c r="M53" s="508">
        <f>IF(A53="",0,LOOKUP(F53,'M+'!$A$4:$A$71,'M+'!$N$4:$N$71))</f>
        <v>0</v>
      </c>
      <c r="N53" s="517" t="str">
        <f t="shared" si="32"/>
        <v/>
      </c>
      <c r="O53" s="512" t="str">
        <f t="shared" si="33"/>
        <v/>
      </c>
      <c r="P53" s="501">
        <f t="shared" si="16"/>
        <v>0</v>
      </c>
      <c r="Q53" s="234" t="e">
        <f t="shared" si="17"/>
        <v>#VALUE!</v>
      </c>
      <c r="R53" s="234" t="e">
        <f t="shared" si="18"/>
        <v>#VALUE!</v>
      </c>
      <c r="S53" s="234" t="e">
        <f t="shared" si="19"/>
        <v>#VALUE!</v>
      </c>
      <c r="T53" s="235" t="e">
        <f t="shared" si="20"/>
        <v>#VALUE!</v>
      </c>
    </row>
    <row r="54" spans="1:20" ht="18" hidden="1" customHeight="1">
      <c r="A54" s="504" t="str">
        <f>IF(F54=0,"",IF(A53="",IF(V$2&gt;=MAX(A$5:A53)+1,MAX(A$5:A53)+1,""),A53+1))</f>
        <v/>
      </c>
      <c r="B54" s="505" t="str">
        <f t="shared" si="21"/>
        <v/>
      </c>
      <c r="C54" s="515" t="str">
        <f>IF(A54="","",IF(Espesor!$J$3="Techo","Lt-","Le-"))</f>
        <v/>
      </c>
      <c r="D54" s="516">
        <f>+Compesaciones!C8</f>
        <v>0</v>
      </c>
      <c r="E54" s="515" t="str">
        <f>IF(A54="","",IF(Espesor!$J$3="Techo","Lt-","Le-"))</f>
        <v/>
      </c>
      <c r="F54" s="516">
        <f>+Compesaciones!D8</f>
        <v>0</v>
      </c>
      <c r="G54" s="508" t="str">
        <f>IF(A54="","",Compesaciones!G141)</f>
        <v/>
      </c>
      <c r="H54" s="509" t="str">
        <f>IF(F54=0,"",MAX(LOOKUP(D54,Espesor!C$8:C$41,Espesor!O$8:O$41),LOOKUP(F54,Espesor!C$8:C$41,Espesor!O$8:O$41)))</f>
        <v/>
      </c>
      <c r="I54" s="510" t="str">
        <f>IF(G54="","",IF(G54&lt;=0,"",0.848-SQRT(0.719-G54/(0.53*100*(H54-Espesor!L$4)^2*Espesor!E$4))))</f>
        <v/>
      </c>
      <c r="J54" s="510" t="str">
        <f>IF(G54="","",IF(G54&lt;=0,"",IF(I54*Espesor!E$4/Espesor!H$4&lt;0.002,0.002,I54*Espesor!E$4/Espesor!H$4)))</f>
        <v/>
      </c>
      <c r="K54" s="517" t="str">
        <f>IF(G54="","",IF(G54&lt;=0,"------",ROUND(J54*(H54-Espesor!L$4)*100,2)))</f>
        <v/>
      </c>
      <c r="L54" s="508">
        <f>IF(A54="",0,LOOKUP(D54,'M+'!$A$4:$A$71,'M+'!$N$4:$N$71))</f>
        <v>0</v>
      </c>
      <c r="M54" s="508">
        <f>IF(A54="",0,LOOKUP(F54,'M+'!$A$4:$A$71,'M+'!$N$4:$N$71))</f>
        <v>0</v>
      </c>
      <c r="N54" s="517" t="str">
        <f t="shared" si="32"/>
        <v/>
      </c>
      <c r="O54" s="512" t="str">
        <f t="shared" si="33"/>
        <v/>
      </c>
      <c r="P54" s="501">
        <f t="shared" si="16"/>
        <v>0</v>
      </c>
      <c r="Q54" s="234" t="e">
        <f t="shared" si="17"/>
        <v>#VALUE!</v>
      </c>
      <c r="R54" s="234" t="e">
        <f t="shared" si="18"/>
        <v>#VALUE!</v>
      </c>
      <c r="S54" s="234" t="e">
        <f t="shared" si="19"/>
        <v>#VALUE!</v>
      </c>
      <c r="T54" s="235" t="e">
        <f t="shared" si="20"/>
        <v>#VALUE!</v>
      </c>
    </row>
    <row r="55" spans="1:20" ht="18" hidden="1" customHeight="1">
      <c r="A55" s="504" t="str">
        <f>IF(F55=0,"",IF(A54="",IF(V$2&gt;=MAX(A$5:A54)+1,MAX(A$5:A54)+1,""),A54+1))</f>
        <v/>
      </c>
      <c r="B55" s="505" t="str">
        <f t="shared" si="21"/>
        <v/>
      </c>
      <c r="C55" s="515" t="str">
        <f>IF(A55="","",IF(Espesor!$J$3="Techo","Lt-","Le-"))</f>
        <v/>
      </c>
      <c r="D55" s="516">
        <f>+Compesaciones!D8</f>
        <v>0</v>
      </c>
      <c r="E55" s="515" t="str">
        <f>IF(A55="","",IF(Espesor!$J$3="Techo","Lt-","Le-"))</f>
        <v/>
      </c>
      <c r="F55" s="516">
        <f>+Compesaciones!E8</f>
        <v>0</v>
      </c>
      <c r="G55" s="508" t="str">
        <f>IF(A55="","",Compesaciones!J141)</f>
        <v/>
      </c>
      <c r="H55" s="509" t="str">
        <f>IF(F55=0,"",MAX(LOOKUP(D55,Espesor!C$8:C$41,Espesor!O$8:O$41),LOOKUP(F55,Espesor!C$8:C$41,Espesor!O$8:O$41)))</f>
        <v/>
      </c>
      <c r="I55" s="510" t="str">
        <f>IF(G55="","",IF(G55&lt;=0,"",0.848-SQRT(0.719-G55/(0.53*100*(H55-Espesor!L$4)^2*Espesor!E$4))))</f>
        <v/>
      </c>
      <c r="J55" s="510" t="str">
        <f>IF(G55="","",IF(G55&lt;=0,"",IF(I55*Espesor!E$4/Espesor!H$4&lt;0.002,0.002,I55*Espesor!E$4/Espesor!H$4)))</f>
        <v/>
      </c>
      <c r="K55" s="517" t="str">
        <f>IF(G55="","",IF(G55&lt;=0,"------",ROUND(J55*(H55-Espesor!L$4)*100,2)))</f>
        <v/>
      </c>
      <c r="L55" s="508">
        <f>IF(A55="",0,LOOKUP(D55,'M+'!$A$4:$A$71,'M+'!$N$4:$N$71))</f>
        <v>0</v>
      </c>
      <c r="M55" s="508">
        <f>IF(A55="",0,LOOKUP(F55,'M+'!$A$4:$A$71,'M+'!$N$4:$N$71))</f>
        <v>0</v>
      </c>
      <c r="N55" s="517" t="str">
        <f t="shared" si="32"/>
        <v/>
      </c>
      <c r="O55" s="512" t="str">
        <f t="shared" si="33"/>
        <v/>
      </c>
      <c r="P55" s="501">
        <f t="shared" si="16"/>
        <v>0</v>
      </c>
      <c r="Q55" s="234" t="e">
        <f t="shared" si="17"/>
        <v>#VALUE!</v>
      </c>
      <c r="R55" s="234" t="e">
        <f t="shared" si="18"/>
        <v>#VALUE!</v>
      </c>
      <c r="S55" s="234" t="e">
        <f t="shared" si="19"/>
        <v>#VALUE!</v>
      </c>
      <c r="T55" s="235" t="e">
        <f t="shared" si="20"/>
        <v>#VALUE!</v>
      </c>
    </row>
    <row r="56" spans="1:20" ht="18" hidden="1" customHeight="1">
      <c r="A56" s="504" t="str">
        <f>IF(F56=0,"",IF(A55="",IF(V$2&gt;=MAX(A$5:A55)+1,MAX(A$5:A55)+1,""),A55+1))</f>
        <v/>
      </c>
      <c r="B56" s="505" t="str">
        <f t="shared" si="21"/>
        <v/>
      </c>
      <c r="C56" s="515" t="str">
        <f>IF(A56="","",IF(Espesor!$J$3="Techo","Lt-","Le-"))</f>
        <v/>
      </c>
      <c r="D56" s="516">
        <f>+Compesaciones!E8</f>
        <v>0</v>
      </c>
      <c r="E56" s="515" t="str">
        <f>IF(A56="","",IF(Espesor!$J$3="Techo","Lt-","Le-"))</f>
        <v/>
      </c>
      <c r="F56" s="516">
        <f>+Compesaciones!F8</f>
        <v>0</v>
      </c>
      <c r="G56" s="508" t="str">
        <f>IF(A56="","",Compesaciones!M141)</f>
        <v/>
      </c>
      <c r="H56" s="509" t="str">
        <f>IF(F56=0,"",MAX(LOOKUP(D56,Espesor!C$8:C$41,Espesor!O$8:O$41),LOOKUP(F56,Espesor!C$8:C$41,Espesor!O$8:O$41)))</f>
        <v/>
      </c>
      <c r="I56" s="510" t="str">
        <f>IF(G56="","",IF(G56&lt;=0,"",0.848-SQRT(0.719-G56/(0.53*100*(H56-Espesor!L$4)^2*Espesor!E$4))))</f>
        <v/>
      </c>
      <c r="J56" s="510" t="str">
        <f>IF(G56="","",IF(G56&lt;=0,"",IF(I56*Espesor!E$4/Espesor!H$4&lt;0.002,0.002,I56*Espesor!E$4/Espesor!H$4)))</f>
        <v/>
      </c>
      <c r="K56" s="517" t="str">
        <f>IF(G56="","",IF(G56&lt;=0,"------",ROUND(J56*(H56-Espesor!L$4)*100,2)))</f>
        <v/>
      </c>
      <c r="L56" s="508">
        <f>IF(A56="",0,LOOKUP(D56,'M+'!$A$4:$A$71,'M+'!$N$4:$N$71))</f>
        <v>0</v>
      </c>
      <c r="M56" s="508">
        <f>IF(A56="",0,LOOKUP(F56,'M+'!$A$4:$A$71,'M+'!$N$4:$N$71))</f>
        <v>0</v>
      </c>
      <c r="N56" s="517" t="str">
        <f t="shared" si="32"/>
        <v/>
      </c>
      <c r="O56" s="512" t="str">
        <f t="shared" si="33"/>
        <v/>
      </c>
      <c r="P56" s="501">
        <f t="shared" si="16"/>
        <v>0</v>
      </c>
      <c r="Q56" s="234" t="e">
        <f t="shared" si="17"/>
        <v>#VALUE!</v>
      </c>
      <c r="R56" s="234" t="e">
        <f t="shared" si="18"/>
        <v>#VALUE!</v>
      </c>
      <c r="S56" s="234" t="e">
        <f t="shared" si="19"/>
        <v>#VALUE!</v>
      </c>
      <c r="T56" s="235" t="e">
        <f t="shared" si="20"/>
        <v>#VALUE!</v>
      </c>
    </row>
    <row r="57" spans="1:20" ht="18" hidden="1" customHeight="1">
      <c r="A57" s="504" t="str">
        <f>IF(F57=0,"",IF(A56="",IF(V$2&gt;=MAX(A$5:A56)+1,MAX(A$5:A56)+1,""),A56+1))</f>
        <v/>
      </c>
      <c r="B57" s="505" t="str">
        <f t="shared" si="21"/>
        <v/>
      </c>
      <c r="C57" s="515" t="str">
        <f>IF(A57="","",IF(Espesor!$J$3="Techo","Lt-","Le-"))</f>
        <v/>
      </c>
      <c r="D57" s="516">
        <f>+Compesaciones!F8</f>
        <v>0</v>
      </c>
      <c r="E57" s="515" t="str">
        <f>IF(A57="","",IF(Espesor!$J$3="Techo","Lt-","Le-"))</f>
        <v/>
      </c>
      <c r="F57" s="516">
        <f>+Compesaciones!G8</f>
        <v>0</v>
      </c>
      <c r="G57" s="508" t="str">
        <f>IF(A57="","",Compesaciones!P141)</f>
        <v/>
      </c>
      <c r="H57" s="509" t="str">
        <f>IF(F57=0,"",MAX(LOOKUP(D57,Espesor!C$8:C$41,Espesor!O$8:O$41),LOOKUP(F57,Espesor!C$8:C$41,Espesor!O$8:O$41)))</f>
        <v/>
      </c>
      <c r="I57" s="510" t="str">
        <f>IF(G57="","",IF(G57&lt;=0,"",0.848-SQRT(0.719-G57/(0.53*100*(H57-Espesor!L$4)^2*Espesor!E$4))))</f>
        <v/>
      </c>
      <c r="J57" s="510" t="str">
        <f>IF(G57="","",IF(G57&lt;=0,"",IF(I57*Espesor!E$4/Espesor!H$4&lt;0.002,0.002,I57*Espesor!E$4/Espesor!H$4)))</f>
        <v/>
      </c>
      <c r="K57" s="517" t="str">
        <f>IF(G57="","",IF(G57&lt;=0,"------",ROUND(J57*(H57-Espesor!L$4)*100,2)))</f>
        <v/>
      </c>
      <c r="L57" s="508">
        <f>IF(A57="",0,LOOKUP(D57,'M+'!$A$4:$A$71,'M+'!$N$4:$N$71))</f>
        <v>0</v>
      </c>
      <c r="M57" s="508">
        <f>IF(A57="",0,LOOKUP(F57,'M+'!$A$4:$A$71,'M+'!$N$4:$N$71))</f>
        <v>0</v>
      </c>
      <c r="N57" s="517" t="str">
        <f t="shared" si="32"/>
        <v/>
      </c>
      <c r="O57" s="512" t="str">
        <f t="shared" si="33"/>
        <v/>
      </c>
      <c r="P57" s="501">
        <f t="shared" si="16"/>
        <v>0</v>
      </c>
      <c r="Q57" s="234" t="e">
        <f t="shared" si="17"/>
        <v>#VALUE!</v>
      </c>
      <c r="R57" s="234" t="e">
        <f t="shared" si="18"/>
        <v>#VALUE!</v>
      </c>
      <c r="S57" s="234" t="e">
        <f t="shared" si="19"/>
        <v>#VALUE!</v>
      </c>
      <c r="T57" s="235" t="e">
        <f t="shared" si="20"/>
        <v>#VALUE!</v>
      </c>
    </row>
    <row r="58" spans="1:20" ht="18" hidden="1" customHeight="1">
      <c r="A58" s="504" t="str">
        <f>IF(F58=0,"",IF(A57="",IF(V$2&gt;=MAX(A$5:A57)+1,MAX(A$5:A57)+1,""),A57+1))</f>
        <v/>
      </c>
      <c r="B58" s="505" t="str">
        <f t="shared" si="21"/>
        <v/>
      </c>
      <c r="C58" s="515" t="str">
        <f>IF(A58="","",IF(Espesor!$J$3="Techo","Lt-","Le-"))</f>
        <v/>
      </c>
      <c r="D58" s="516">
        <f>+Compesaciones!G8</f>
        <v>0</v>
      </c>
      <c r="E58" s="515" t="str">
        <f>IF(A58="","",IF(Espesor!$J$3="Techo","Lt-","Le-"))</f>
        <v/>
      </c>
      <c r="F58" s="516">
        <f>+Compesaciones!H8</f>
        <v>0</v>
      </c>
      <c r="G58" s="508" t="str">
        <f>IF(A58="","",Compesaciones!S141)</f>
        <v/>
      </c>
      <c r="H58" s="509" t="str">
        <f>IF(F58=0,"",MAX(LOOKUP(D58,Espesor!C$8:C$41,Espesor!O$8:O$41),LOOKUP(F58,Espesor!C$8:C$41,Espesor!O$8:O$41)))</f>
        <v/>
      </c>
      <c r="I58" s="510" t="str">
        <f>IF(G58="","",IF(G58&lt;=0,"",0.848-SQRT(0.719-G58/(0.53*100*(H58-Espesor!L$4)^2*Espesor!E$4))))</f>
        <v/>
      </c>
      <c r="J58" s="510" t="str">
        <f>IF(G58="","",IF(G58&lt;=0,"",IF(I58*Espesor!E$4/Espesor!H$4&lt;0.002,0.002,I58*Espesor!E$4/Espesor!H$4)))</f>
        <v/>
      </c>
      <c r="K58" s="517" t="str">
        <f>IF(G58="","",IF(G58&lt;=0,"------",ROUND(J58*(H58-Espesor!L$4)*100,2)))</f>
        <v/>
      </c>
      <c r="L58" s="508">
        <f>IF(A58="",0,LOOKUP(D58,'M+'!$A$4:$A$71,'M+'!$N$4:$N$71))</f>
        <v>0</v>
      </c>
      <c r="M58" s="508">
        <f>IF(A58="",0,LOOKUP(F58,'M+'!$A$4:$A$71,'M+'!$N$4:$N$71))</f>
        <v>0</v>
      </c>
      <c r="N58" s="517" t="str">
        <f>IF(G58="","",IF(G58=0,"",IF(P58&gt;=K58,"------",IF(O58=Q58,"3/8   a",IF(O58=R58,"1/2   a",IF(O58=S58,"3/4   a","1   a"))))))</f>
        <v/>
      </c>
      <c r="O58" s="512" t="str">
        <f>IF(G58="","",IF(G58=0,"    ",IF(K58=P58,"------",IF(Q58&lt;0.1,IF(R58&lt;0.1,IF(S58&lt;0.1,T58,S58),R58),Q58))))</f>
        <v/>
      </c>
      <c r="P58" s="501">
        <f t="shared" si="16"/>
        <v>0</v>
      </c>
      <c r="Q58" s="234" t="e">
        <f t="shared" si="17"/>
        <v>#VALUE!</v>
      </c>
      <c r="R58" s="234" t="e">
        <f t="shared" si="18"/>
        <v>#VALUE!</v>
      </c>
      <c r="S58" s="234" t="e">
        <f t="shared" si="19"/>
        <v>#VALUE!</v>
      </c>
      <c r="T58" s="235" t="e">
        <f t="shared" si="20"/>
        <v>#VALUE!</v>
      </c>
    </row>
    <row r="59" spans="1:20" ht="18" hidden="1" customHeight="1">
      <c r="A59" s="504" t="str">
        <f>IF(F59=0,"",IF(A58="",IF(V$2&gt;=MAX(A$5:A58)+1,MAX(A$5:A58)+1,""),A58+1))</f>
        <v/>
      </c>
      <c r="B59" s="505" t="str">
        <f t="shared" si="21"/>
        <v/>
      </c>
      <c r="C59" s="515" t="str">
        <f>IF(A59="","",IF(Espesor!$J$3="Techo","Lt-","Le-"))</f>
        <v/>
      </c>
      <c r="D59" s="516">
        <f>+Compesaciones!H8</f>
        <v>0</v>
      </c>
      <c r="E59" s="515" t="str">
        <f>IF(A59="","",IF(Espesor!$J$3="Techo","Lt-","Le-"))</f>
        <v/>
      </c>
      <c r="F59" s="516">
        <f>+Compesaciones!I8</f>
        <v>0</v>
      </c>
      <c r="G59" s="508" t="str">
        <f>IF(A59="","",Compesaciones!V141)</f>
        <v/>
      </c>
      <c r="H59" s="509" t="str">
        <f>IF(F59=0,"",MAX(LOOKUP(D59,Espesor!C$8:C$41,Espesor!O$8:O$41),LOOKUP(F59,Espesor!C$8:C$41,Espesor!O$8:O$41)))</f>
        <v/>
      </c>
      <c r="I59" s="510" t="str">
        <f>IF(G59="","",IF(G59&lt;=0,"",0.848-SQRT(0.719-G59/(0.53*100*(H59-Espesor!L$4)^2*Espesor!E$4))))</f>
        <v/>
      </c>
      <c r="J59" s="510" t="str">
        <f>IF(G59="","",IF(G59&lt;=0,"",IF(I59*Espesor!E$4/Espesor!H$4&lt;0.002,0.002,I59*Espesor!E$4/Espesor!H$4)))</f>
        <v/>
      </c>
      <c r="K59" s="517" t="str">
        <f>IF(G59="","",IF(G59&lt;=0,"------",ROUND(J59*(H59-Espesor!L$4)*100,2)))</f>
        <v/>
      </c>
      <c r="L59" s="508">
        <f>IF(A59="",0,LOOKUP(D59,'M+'!$A$4:$A$71,'M+'!$N$4:$N$71))</f>
        <v>0</v>
      </c>
      <c r="M59" s="508">
        <f>IF(A59="",0,LOOKUP(F59,'M+'!$A$4:$A$71,'M+'!$N$4:$N$71))</f>
        <v>0</v>
      </c>
      <c r="N59" s="517" t="str">
        <f t="shared" ref="N59:N69" si="34">IF(G59="","",IF(G59=0,"",IF(P59&gt;=K59,"------",IF(O59=Q59,"3/8   a",IF(O59=R59,"1/2   a",IF(O59=S59,"3/4   a","1   a"))))))</f>
        <v/>
      </c>
      <c r="O59" s="512" t="str">
        <f t="shared" ref="O59:O69" si="35">IF(G59="","",IF(G59=0,"    ",IF(K59=P59,"------",IF(Q59&lt;0.1,IF(R59&lt;0.1,IF(S59&lt;0.1,T59,S59),R59),Q59))))</f>
        <v/>
      </c>
      <c r="P59" s="501">
        <f t="shared" si="16"/>
        <v>0</v>
      </c>
      <c r="Q59" s="234" t="e">
        <f t="shared" si="17"/>
        <v>#VALUE!</v>
      </c>
      <c r="R59" s="234" t="e">
        <f t="shared" si="18"/>
        <v>#VALUE!</v>
      </c>
      <c r="S59" s="234" t="e">
        <f t="shared" si="19"/>
        <v>#VALUE!</v>
      </c>
      <c r="T59" s="235" t="e">
        <f t="shared" si="20"/>
        <v>#VALUE!</v>
      </c>
    </row>
    <row r="60" spans="1:20" ht="18" hidden="1" customHeight="1">
      <c r="A60" s="504" t="str">
        <f>IF(F60=0,"",IF(A59="",IF(V$2&gt;=MAX(A$5:A59)+1,MAX(A$5:A59)+1,""),A59+1))</f>
        <v/>
      </c>
      <c r="B60" s="505" t="str">
        <f t="shared" si="21"/>
        <v/>
      </c>
      <c r="C60" s="515" t="str">
        <f>IF(A60="","",IF(Espesor!$J$3="Techo","Lt-","Le-"))</f>
        <v/>
      </c>
      <c r="D60" s="516">
        <f>+Compesaciones!I8</f>
        <v>0</v>
      </c>
      <c r="E60" s="515" t="str">
        <f>IF(A60="","",IF(Espesor!$J$3="Techo","Lt-","Le-"))</f>
        <v/>
      </c>
      <c r="F60" s="516">
        <f>+Compesaciones!J8</f>
        <v>0</v>
      </c>
      <c r="G60" s="508" t="str">
        <f>IF(A60="","",Compesaciones!Y141)</f>
        <v/>
      </c>
      <c r="H60" s="509" t="str">
        <f>IF(F60=0,"",MAX(LOOKUP(D60,Espesor!C$8:C$41,Espesor!O$8:O$41),LOOKUP(F60,Espesor!C$8:C$41,Espesor!O$8:O$41)))</f>
        <v/>
      </c>
      <c r="I60" s="510" t="str">
        <f>IF(G60="","",IF(G60&lt;=0,"",0.848-SQRT(0.719-G60/(0.53*100*(H60-Espesor!L$4)^2*Espesor!E$4))))</f>
        <v/>
      </c>
      <c r="J60" s="510" t="str">
        <f>IF(G60="","",IF(G60&lt;=0,"",IF(I60*Espesor!E$4/Espesor!H$4&lt;0.002,0.002,I60*Espesor!E$4/Espesor!H$4)))</f>
        <v/>
      </c>
      <c r="K60" s="517" t="str">
        <f>IF(G60="","",IF(G60&lt;=0,"------",ROUND(J60*(H60-Espesor!L$4)*100,2)))</f>
        <v/>
      </c>
      <c r="L60" s="508">
        <f>IF(A60="",0,LOOKUP(D60,'M+'!$A$4:$A$71,'M+'!$N$4:$N$71))</f>
        <v>0</v>
      </c>
      <c r="M60" s="508">
        <f>IF(A60="",0,LOOKUP(F60,'M+'!$A$4:$A$71,'M+'!$N$4:$N$71))</f>
        <v>0</v>
      </c>
      <c r="N60" s="517" t="str">
        <f t="shared" si="34"/>
        <v/>
      </c>
      <c r="O60" s="512" t="str">
        <f t="shared" si="35"/>
        <v/>
      </c>
      <c r="P60" s="501">
        <f t="shared" si="16"/>
        <v>0</v>
      </c>
      <c r="Q60" s="234" t="e">
        <f t="shared" si="17"/>
        <v>#VALUE!</v>
      </c>
      <c r="R60" s="234" t="e">
        <f t="shared" si="18"/>
        <v>#VALUE!</v>
      </c>
      <c r="S60" s="234" t="e">
        <f t="shared" si="19"/>
        <v>#VALUE!</v>
      </c>
      <c r="T60" s="235" t="e">
        <f t="shared" si="20"/>
        <v>#VALUE!</v>
      </c>
    </row>
    <row r="61" spans="1:20" ht="18" hidden="1" customHeight="1">
      <c r="A61" s="504" t="str">
        <f>IF(F61=0,"",IF(A60="",IF(V$2&gt;=MAX(A$5:A60)+1,MAX(A$5:A60)+1,""),A60+1))</f>
        <v/>
      </c>
      <c r="B61" s="505" t="str">
        <f t="shared" si="21"/>
        <v/>
      </c>
      <c r="C61" s="515" t="str">
        <f>IF(A61="","",IF(Espesor!$J$3="Techo","Lt-","Le-"))</f>
        <v/>
      </c>
      <c r="D61" s="516">
        <f>+Compesaciones!B9</f>
        <v>0</v>
      </c>
      <c r="E61" s="515" t="str">
        <f>IF(A61="","",IF(Espesor!$J$3="Techo","Lt-","Le-"))</f>
        <v/>
      </c>
      <c r="F61" s="516">
        <f>+Compesaciones!C9</f>
        <v>0</v>
      </c>
      <c r="G61" s="508" t="str">
        <f>IF(A61="","",Compesaciones!D158)</f>
        <v/>
      </c>
      <c r="H61" s="509" t="str">
        <f>IF(F61=0,"",MAX(LOOKUP(D61,Espesor!C$8:C$41,Espesor!O$8:O$41),LOOKUP(F61,Espesor!C$8:C$41,Espesor!O$8:O$41)))</f>
        <v/>
      </c>
      <c r="I61" s="510" t="str">
        <f>IF(G61="","",IF(G61&lt;=0,"",0.848-SQRT(0.719-G61/(0.53*100*(H61-Espesor!L$4)^2*Espesor!E$4))))</f>
        <v/>
      </c>
      <c r="J61" s="510" t="str">
        <f>IF(G61="","",IF(G61&lt;=0,"",IF(I61*Espesor!E$4/Espesor!H$4&lt;0.002,0.002,I61*Espesor!E$4/Espesor!H$4)))</f>
        <v/>
      </c>
      <c r="K61" s="517" t="str">
        <f>IF(G61="","",IF(G61&lt;=0,"------",ROUND(J61*(H61-Espesor!L$4)*100,2)))</f>
        <v/>
      </c>
      <c r="L61" s="508">
        <f>IF(A61="",0,LOOKUP(D61,'M+'!$A$4:$A$71,'M+'!$N$4:$N$71))</f>
        <v>0</v>
      </c>
      <c r="M61" s="508">
        <f>IF(A61="",0,LOOKUP(F61,'M+'!$A$4:$A$71,'M+'!$N$4:$N$71))</f>
        <v>0</v>
      </c>
      <c r="N61" s="517" t="str">
        <f t="shared" si="34"/>
        <v/>
      </c>
      <c r="O61" s="512" t="str">
        <f t="shared" si="35"/>
        <v/>
      </c>
      <c r="P61" s="501">
        <f t="shared" si="16"/>
        <v>0</v>
      </c>
      <c r="Q61" s="234" t="e">
        <f t="shared" si="17"/>
        <v>#VALUE!</v>
      </c>
      <c r="R61" s="234" t="e">
        <f t="shared" si="18"/>
        <v>#VALUE!</v>
      </c>
      <c r="S61" s="234" t="e">
        <f t="shared" si="19"/>
        <v>#VALUE!</v>
      </c>
      <c r="T61" s="235" t="e">
        <f t="shared" si="20"/>
        <v>#VALUE!</v>
      </c>
    </row>
    <row r="62" spans="1:20" ht="18" hidden="1" customHeight="1">
      <c r="A62" s="504" t="str">
        <f>IF(F62=0,"",IF(A61="",IF(V$2&gt;=MAX(A$5:A61)+1,MAX(A$5:A61)+1,""),A61+1))</f>
        <v/>
      </c>
      <c r="B62" s="505" t="str">
        <f t="shared" si="21"/>
        <v/>
      </c>
      <c r="C62" s="515" t="str">
        <f>IF(A62="","",IF(Espesor!$J$3="Techo","Lt-","Le-"))</f>
        <v/>
      </c>
      <c r="D62" s="516">
        <f>+Compesaciones!C9</f>
        <v>0</v>
      </c>
      <c r="E62" s="515" t="str">
        <f>IF(A62="","",IF(Espesor!$J$3="Techo","Lt-","Le-"))</f>
        <v/>
      </c>
      <c r="F62" s="516">
        <f>+Compesaciones!D9</f>
        <v>0</v>
      </c>
      <c r="G62" s="508" t="str">
        <f>IF(A62="","",Compesaciones!G158)</f>
        <v/>
      </c>
      <c r="H62" s="509" t="str">
        <f>IF(F62=0,"",MAX(LOOKUP(D62,Espesor!C$8:C$41,Espesor!O$8:O$41),LOOKUP(F62,Espesor!C$8:C$41,Espesor!O$8:O$41)))</f>
        <v/>
      </c>
      <c r="I62" s="510" t="str">
        <f>IF(G62="","",IF(G62&lt;=0,"",0.848-SQRT(0.719-G62/(0.53*100*(H62-Espesor!L$4)^2*Espesor!E$4))))</f>
        <v/>
      </c>
      <c r="J62" s="510" t="str">
        <f>IF(G62="","",IF(G62&lt;=0,"",IF(I62*Espesor!E$4/Espesor!H$4&lt;0.002,0.002,I62*Espesor!E$4/Espesor!H$4)))</f>
        <v/>
      </c>
      <c r="K62" s="517" t="str">
        <f>IF(G62="","",IF(G62&lt;=0,"------",ROUND(J62*(H62-Espesor!L$4)*100,2)))</f>
        <v/>
      </c>
      <c r="L62" s="508">
        <f>IF(A62="",0,LOOKUP(D62,'M+'!$A$4:$A$71,'M+'!$N$4:$N$71))</f>
        <v>0</v>
      </c>
      <c r="M62" s="508">
        <f>IF(A62="",0,LOOKUP(F62,'M+'!$A$4:$A$71,'M+'!$N$4:$N$71))</f>
        <v>0</v>
      </c>
      <c r="N62" s="517" t="str">
        <f t="shared" si="34"/>
        <v/>
      </c>
      <c r="O62" s="512" t="str">
        <f t="shared" si="35"/>
        <v/>
      </c>
      <c r="P62" s="501">
        <f t="shared" si="16"/>
        <v>0</v>
      </c>
      <c r="Q62" s="234" t="e">
        <f t="shared" si="17"/>
        <v>#VALUE!</v>
      </c>
      <c r="R62" s="234" t="e">
        <f t="shared" si="18"/>
        <v>#VALUE!</v>
      </c>
      <c r="S62" s="234" t="e">
        <f t="shared" si="19"/>
        <v>#VALUE!</v>
      </c>
      <c r="T62" s="235" t="e">
        <f t="shared" si="20"/>
        <v>#VALUE!</v>
      </c>
    </row>
    <row r="63" spans="1:20" ht="18" hidden="1" customHeight="1">
      <c r="A63" s="504" t="str">
        <f>IF(F63=0,"",IF(A62="",IF(V$2&gt;=MAX(A$5:A62)+1,MAX(A$5:A62)+1,""),A62+1))</f>
        <v/>
      </c>
      <c r="B63" s="505" t="str">
        <f t="shared" si="21"/>
        <v/>
      </c>
      <c r="C63" s="515" t="str">
        <f>IF(A63="","",IF(Espesor!$J$3="Techo","Lt-","Le-"))</f>
        <v/>
      </c>
      <c r="D63" s="516">
        <f>+Compesaciones!D9</f>
        <v>0</v>
      </c>
      <c r="E63" s="515" t="str">
        <f>IF(A63="","",IF(Espesor!$J$3="Techo","Lt-","Le-"))</f>
        <v/>
      </c>
      <c r="F63" s="516">
        <f>+Compesaciones!E9</f>
        <v>0</v>
      </c>
      <c r="G63" s="508" t="str">
        <f>IF(A63="","",Compesaciones!J158)</f>
        <v/>
      </c>
      <c r="H63" s="509" t="str">
        <f>IF(F63=0,"",MAX(LOOKUP(D63,Espesor!C$8:C$41,Espesor!O$8:O$41),LOOKUP(F63,Espesor!C$8:C$41,Espesor!O$8:O$41)))</f>
        <v/>
      </c>
      <c r="I63" s="510" t="str">
        <f>IF(G63="","",IF(G63&lt;=0,"",0.848-SQRT(0.719-G63/(0.53*100*(H63-Espesor!L$4)^2*Espesor!E$4))))</f>
        <v/>
      </c>
      <c r="J63" s="510" t="str">
        <f>IF(G63="","",IF(G63&lt;=0,"",IF(I63*Espesor!E$4/Espesor!H$4&lt;0.002,0.002,I63*Espesor!E$4/Espesor!H$4)))</f>
        <v/>
      </c>
      <c r="K63" s="517" t="str">
        <f>IF(G63="","",IF(G63&lt;=0,"------",ROUND(J63*(H63-Espesor!L$4)*100,2)))</f>
        <v/>
      </c>
      <c r="L63" s="508">
        <f>IF(A63="",0,LOOKUP(D63,'M+'!$A$4:$A$71,'M+'!$N$4:$N$71))</f>
        <v>0</v>
      </c>
      <c r="M63" s="508">
        <f>IF(A63="",0,LOOKUP(F63,'M+'!$A$4:$A$71,'M+'!$N$4:$N$71))</f>
        <v>0</v>
      </c>
      <c r="N63" s="517" t="str">
        <f t="shared" si="34"/>
        <v/>
      </c>
      <c r="O63" s="512" t="str">
        <f t="shared" si="35"/>
        <v/>
      </c>
      <c r="P63" s="501">
        <f t="shared" si="16"/>
        <v>0</v>
      </c>
      <c r="Q63" s="234" t="e">
        <f t="shared" si="17"/>
        <v>#VALUE!</v>
      </c>
      <c r="R63" s="234" t="e">
        <f t="shared" si="18"/>
        <v>#VALUE!</v>
      </c>
      <c r="S63" s="234" t="e">
        <f t="shared" si="19"/>
        <v>#VALUE!</v>
      </c>
      <c r="T63" s="235" t="e">
        <f t="shared" si="20"/>
        <v>#VALUE!</v>
      </c>
    </row>
    <row r="64" spans="1:20" ht="18" hidden="1" customHeight="1">
      <c r="A64" s="504" t="str">
        <f>IF(F64=0,"",IF(A63="",IF(V$2&gt;=MAX(A$5:A63)+1,MAX(A$5:A63)+1,""),A63+1))</f>
        <v/>
      </c>
      <c r="B64" s="505" t="str">
        <f t="shared" si="21"/>
        <v/>
      </c>
      <c r="C64" s="515" t="str">
        <f>IF(A64="","",IF(Espesor!$J$3="Techo","Lt-","Le-"))</f>
        <v/>
      </c>
      <c r="D64" s="516">
        <f>+Compesaciones!E9</f>
        <v>0</v>
      </c>
      <c r="E64" s="515" t="str">
        <f>IF(A64="","",IF(Espesor!$J$3="Techo","Lt-","Le-"))</f>
        <v/>
      </c>
      <c r="F64" s="516">
        <f>+Compesaciones!F9</f>
        <v>0</v>
      </c>
      <c r="G64" s="508" t="str">
        <f>IF(A64="","",Compesaciones!M158)</f>
        <v/>
      </c>
      <c r="H64" s="509" t="str">
        <f>IF(F64=0,"",MAX(LOOKUP(D64,Espesor!C$8:C$41,Espesor!O$8:O$41),LOOKUP(F64,Espesor!C$8:C$41,Espesor!O$8:O$41)))</f>
        <v/>
      </c>
      <c r="I64" s="510" t="str">
        <f>IF(G64="","",IF(G64&lt;=0,"",0.848-SQRT(0.719-G64/(0.53*100*(H64-Espesor!L$4)^2*Espesor!E$4))))</f>
        <v/>
      </c>
      <c r="J64" s="510" t="str">
        <f>IF(G64="","",IF(G64&lt;=0,"",IF(I64*Espesor!E$4/Espesor!H$4&lt;0.002,0.002,I64*Espesor!E$4/Espesor!H$4)))</f>
        <v/>
      </c>
      <c r="K64" s="517" t="str">
        <f>IF(G64="","",IF(G64&lt;=0,"------",ROUND(J64*(H64-Espesor!L$4)*100,2)))</f>
        <v/>
      </c>
      <c r="L64" s="508">
        <f>IF(A64="",0,LOOKUP(D64,'M+'!$A$4:$A$71,'M+'!$N$4:$N$71))</f>
        <v>0</v>
      </c>
      <c r="M64" s="508">
        <f>IF(A64="",0,LOOKUP(F64,'M+'!$A$4:$A$71,'M+'!$N$4:$N$71))</f>
        <v>0</v>
      </c>
      <c r="N64" s="517" t="str">
        <f t="shared" si="34"/>
        <v/>
      </c>
      <c r="O64" s="512" t="str">
        <f t="shared" si="35"/>
        <v/>
      </c>
      <c r="P64" s="501">
        <f t="shared" si="16"/>
        <v>0</v>
      </c>
      <c r="Q64" s="234" t="e">
        <f t="shared" si="17"/>
        <v>#VALUE!</v>
      </c>
      <c r="R64" s="234" t="e">
        <f t="shared" si="18"/>
        <v>#VALUE!</v>
      </c>
      <c r="S64" s="234" t="e">
        <f t="shared" si="19"/>
        <v>#VALUE!</v>
      </c>
      <c r="T64" s="235" t="e">
        <f t="shared" si="20"/>
        <v>#VALUE!</v>
      </c>
    </row>
    <row r="65" spans="1:20" ht="18" hidden="1" customHeight="1">
      <c r="A65" s="504" t="str">
        <f>IF(F65=0,"",IF(A64="",IF(V$2&gt;=MAX(A$5:A64)+1,MAX(A$5:A64)+1,""),A64+1))</f>
        <v/>
      </c>
      <c r="B65" s="505" t="str">
        <f t="shared" ref="B65" si="36">+IF(A65="","","x")</f>
        <v/>
      </c>
      <c r="C65" s="515" t="str">
        <f>IF(A65="","",IF(Espesor!$J$3="Techo","Lt-","Le-"))</f>
        <v/>
      </c>
      <c r="D65" s="516">
        <f>+Compesaciones!F9</f>
        <v>0</v>
      </c>
      <c r="E65" s="515" t="str">
        <f>IF(A65="","",IF(Espesor!$J$3="Techo","Lt-","Le-"))</f>
        <v/>
      </c>
      <c r="F65" s="516">
        <f>+Compesaciones!G9</f>
        <v>0</v>
      </c>
      <c r="G65" s="508" t="str">
        <f>IF(A65="","",Compesaciones!P158)</f>
        <v/>
      </c>
      <c r="H65" s="509" t="str">
        <f>IF(F65=0,"",MAX(LOOKUP(D65,Espesor!C$8:C$41,Espesor!O$8:O$41),LOOKUP(F65,Espesor!C$8:C$41,Espesor!O$8:O$41)))</f>
        <v/>
      </c>
      <c r="I65" s="510" t="str">
        <f>IF(G65="","",IF(G65&lt;=0,"",0.848-SQRT(0.719-G65/(0.53*100*(H65-Espesor!L$4)^2*Espesor!E$4))))</f>
        <v/>
      </c>
      <c r="J65" s="510" t="str">
        <f>IF(G65="","",IF(G65&lt;=0,"",IF(I65*Espesor!E$4/Espesor!H$4&lt;0.002,0.002,I65*Espesor!E$4/Espesor!H$4)))</f>
        <v/>
      </c>
      <c r="K65" s="517" t="str">
        <f>IF(G65="","",IF(G65&lt;=0,"------",ROUND(J65*(H65-Espesor!L$4)*100,2)))</f>
        <v/>
      </c>
      <c r="L65" s="508">
        <f>IF(A65="",0,LOOKUP(D65,'M+'!$A$4:$A$71,'M+'!$N$4:$N$71))</f>
        <v>0</v>
      </c>
      <c r="M65" s="508">
        <f>IF(A65="",0,LOOKUP(F65,'M+'!$A$4:$A$71,'M+'!$N$4:$N$71))</f>
        <v>0</v>
      </c>
      <c r="N65" s="517" t="str">
        <f t="shared" si="34"/>
        <v/>
      </c>
      <c r="O65" s="512" t="str">
        <f t="shared" si="35"/>
        <v/>
      </c>
      <c r="P65" s="501">
        <f t="shared" ref="P65" si="37">IF(G65=0,0,IF(L65="------","",IF((L65+M65)/2&lt;0,0,(L65+M65)/2)))</f>
        <v>0</v>
      </c>
      <c r="Q65" s="234" t="e">
        <f t="shared" ref="Q65" si="38">IF(G65&lt;=0,"",IF(P65="","",IF(ROUNDDOWN(0.71/(K65-P65),2)&lt;0,"------",IF(ROUNDDOWN(0.71/(K65-P65),2)&gt;1,1,ROUNDDOWN(0.71/(K65-P65),2)))))</f>
        <v>#VALUE!</v>
      </c>
      <c r="R65" s="234" t="e">
        <f t="shared" ref="R65" si="39">IF(G65&lt;=0,"",IF(P65="","",IF(ROUNDDOWN(1.27/(K65-P65),2)&lt;0,"------",ROUNDDOWN(1.27/(K65-P65),2))))</f>
        <v>#VALUE!</v>
      </c>
      <c r="S65" s="234" t="e">
        <f t="shared" ref="S65" si="40">IF(G65&lt;=0,"",IF(P65="","",IF(ROUNDDOWN(2.85/(K65-P65),2)&lt;0,"------",ROUNDDOWN(2.85/(K65-P65),2))))</f>
        <v>#VALUE!</v>
      </c>
      <c r="T65" s="235" t="e">
        <f t="shared" ref="T65" si="41">IF(G65&lt;=0,"",IF(P65="","",IF(ROUNDDOWN(5.07/(K65-P65),2)&lt;0,"------",ROUNDDOWN(5.07/(K65-P65),2))))</f>
        <v>#VALUE!</v>
      </c>
    </row>
    <row r="66" spans="1:20" ht="18" hidden="1" customHeight="1">
      <c r="A66" s="504" t="str">
        <f>IF(F66=0,"",IF(A65="",IF(V$2&gt;=MAX(A$5:A65)+1,MAX(A$5:A65)+1,""),A65+1))</f>
        <v/>
      </c>
      <c r="B66" s="505" t="str">
        <f t="shared" ref="B66:B70" si="42">+IF(A66="","","x")</f>
        <v/>
      </c>
      <c r="C66" s="515" t="str">
        <f>IF(A66="","",IF(Espesor!$J$3="Techo","Lt-","Le-"))</f>
        <v/>
      </c>
      <c r="D66" s="516">
        <f>+Compesaciones!G9</f>
        <v>0</v>
      </c>
      <c r="E66" s="515" t="str">
        <f>IF(A66="","",IF(Espesor!$J$3="Techo","Lt-","Le-"))</f>
        <v/>
      </c>
      <c r="F66" s="516">
        <f>+Compesaciones!H9</f>
        <v>0</v>
      </c>
      <c r="G66" s="508" t="str">
        <f>IF(A66="","",Compesaciones!S158)</f>
        <v/>
      </c>
      <c r="H66" s="509" t="str">
        <f>IF(F66=0,"",MAX(LOOKUP(D66,Espesor!C$8:C$41,Espesor!O$8:O$41),LOOKUP(F66,Espesor!C$8:C$41,Espesor!O$8:O$41)))</f>
        <v/>
      </c>
      <c r="I66" s="510" t="str">
        <f>IF(G66="","",IF(G66&lt;=0,"",0.848-SQRT(0.719-G66/(0.53*100*(H66-Espesor!L$4)^2*Espesor!E$4))))</f>
        <v/>
      </c>
      <c r="J66" s="510" t="str">
        <f>IF(G66="","",IF(G66&lt;=0,"",IF(I66*Espesor!E$4/Espesor!H$4&lt;0.002,0.002,I66*Espesor!E$4/Espesor!H$4)))</f>
        <v/>
      </c>
      <c r="K66" s="517" t="str">
        <f>IF(G66="","",IF(G66&lt;=0,"------",ROUND(J66*(H66-Espesor!L$4)*100,2)))</f>
        <v/>
      </c>
      <c r="L66" s="508">
        <f>IF(A66="",0,LOOKUP(D66,'M+'!$A$4:$A$71,'M+'!$N$4:$N$71))</f>
        <v>0</v>
      </c>
      <c r="M66" s="508">
        <f>IF(A66="",0,LOOKUP(F66,'M+'!$A$4:$A$71,'M+'!$N$4:$N$71))</f>
        <v>0</v>
      </c>
      <c r="N66" s="517" t="str">
        <f t="shared" si="34"/>
        <v/>
      </c>
      <c r="O66" s="512" t="str">
        <f t="shared" si="35"/>
        <v/>
      </c>
      <c r="P66" s="501">
        <f t="shared" ref="P66:P70" si="43">IF(G66=0,0,IF(L66="------","",IF((L66+M66)/2&lt;0,0,(L66+M66)/2)))</f>
        <v>0</v>
      </c>
      <c r="Q66" s="234" t="e">
        <f t="shared" ref="Q66:Q70" si="44">IF(G66&lt;=0,"",IF(P66="","",IF(ROUNDDOWN(0.71/(K66-P66),2)&lt;0,"------",IF(ROUNDDOWN(0.71/(K66-P66),2)&gt;1,1,ROUNDDOWN(0.71/(K66-P66),2)))))</f>
        <v>#VALUE!</v>
      </c>
      <c r="R66" s="234" t="e">
        <f t="shared" ref="R66:R70" si="45">IF(G66&lt;=0,"",IF(P66="","",IF(ROUNDDOWN(1.27/(K66-P66),2)&lt;0,"------",ROUNDDOWN(1.27/(K66-P66),2))))</f>
        <v>#VALUE!</v>
      </c>
      <c r="S66" s="234" t="e">
        <f t="shared" ref="S66:S70" si="46">IF(G66&lt;=0,"",IF(P66="","",IF(ROUNDDOWN(2.85/(K66-P66),2)&lt;0,"------",ROUNDDOWN(2.85/(K66-P66),2))))</f>
        <v>#VALUE!</v>
      </c>
      <c r="T66" s="235" t="e">
        <f t="shared" ref="T66:T70" si="47">IF(G66&lt;=0,"",IF(P66="","",IF(ROUNDDOWN(5.07/(K66-P66),2)&lt;0,"------",ROUNDDOWN(5.07/(K66-P66),2))))</f>
        <v>#VALUE!</v>
      </c>
    </row>
    <row r="67" spans="1:20" ht="18" hidden="1" customHeight="1">
      <c r="A67" s="504" t="str">
        <f>IF(F67=0,"",IF(A66="",IF(V$2&gt;=MAX(A$5:A66)+1,MAX(A$5:A66)+1,""),A66+1))</f>
        <v/>
      </c>
      <c r="B67" s="505" t="str">
        <f t="shared" si="42"/>
        <v/>
      </c>
      <c r="C67" s="515" t="str">
        <f>IF(A67="","",IF(Espesor!$J$3="Techo","Lt-","Le-"))</f>
        <v/>
      </c>
      <c r="D67" s="516">
        <f>+Compesaciones!H9</f>
        <v>0</v>
      </c>
      <c r="E67" s="515" t="str">
        <f>IF(A67="","",IF(Espesor!$J$3="Techo","Lt-","Le-"))</f>
        <v/>
      </c>
      <c r="F67" s="516">
        <f>+Compesaciones!I9</f>
        <v>0</v>
      </c>
      <c r="G67" s="508" t="str">
        <f>IF(A67="","",Compesaciones!V158)</f>
        <v/>
      </c>
      <c r="H67" s="509" t="str">
        <f>IF(F67=0,"",MAX(LOOKUP(D67,Espesor!C$8:C$41,Espesor!O$8:O$41),LOOKUP(F67,Espesor!C$8:C$41,Espesor!O$8:O$41)))</f>
        <v/>
      </c>
      <c r="I67" s="510" t="str">
        <f>IF(G67="","",IF(G67&lt;=0,"",0.848-SQRT(0.719-G67/(0.53*100*(H67-Espesor!L$4)^2*Espesor!E$4))))</f>
        <v/>
      </c>
      <c r="J67" s="510" t="str">
        <f>IF(G67="","",IF(G67&lt;=0,"",IF(I67*Espesor!E$4/Espesor!H$4&lt;0.002,0.002,I67*Espesor!E$4/Espesor!H$4)))</f>
        <v/>
      </c>
      <c r="K67" s="517" t="str">
        <f>IF(G67="","",IF(G67&lt;=0,"------",ROUND(J67*(H67-Espesor!L$4)*100,2)))</f>
        <v/>
      </c>
      <c r="L67" s="508">
        <f>IF(A67="",0,LOOKUP(D67,'M+'!$A$4:$A$71,'M+'!$N$4:$N$71))</f>
        <v>0</v>
      </c>
      <c r="M67" s="508">
        <f>IF(A67="",0,LOOKUP(F67,'M+'!$A$4:$A$71,'M+'!$N$4:$N$71))</f>
        <v>0</v>
      </c>
      <c r="N67" s="517" t="str">
        <f t="shared" si="34"/>
        <v/>
      </c>
      <c r="O67" s="512" t="str">
        <f t="shared" si="35"/>
        <v/>
      </c>
      <c r="P67" s="501">
        <f t="shared" si="43"/>
        <v>0</v>
      </c>
      <c r="Q67" s="234" t="e">
        <f t="shared" si="44"/>
        <v>#VALUE!</v>
      </c>
      <c r="R67" s="234" t="e">
        <f t="shared" si="45"/>
        <v>#VALUE!</v>
      </c>
      <c r="S67" s="234" t="e">
        <f t="shared" si="46"/>
        <v>#VALUE!</v>
      </c>
      <c r="T67" s="235" t="e">
        <f t="shared" si="47"/>
        <v>#VALUE!</v>
      </c>
    </row>
    <row r="68" spans="1:20" ht="18" hidden="1" customHeight="1">
      <c r="A68" s="504" t="str">
        <f>IF(F68=0,"",IF(A67="",IF(V$2&gt;=MAX(A$5:A67)+1,MAX(A$5:A67)+1,""),A67+1))</f>
        <v/>
      </c>
      <c r="B68" s="505" t="str">
        <f t="shared" si="42"/>
        <v/>
      </c>
      <c r="C68" s="515" t="str">
        <f>IF(A68="","",IF(Espesor!$J$3="Techo","Lt-","Le-"))</f>
        <v/>
      </c>
      <c r="D68" s="516">
        <f>+Compesaciones!I9</f>
        <v>0</v>
      </c>
      <c r="E68" s="515" t="str">
        <f>IF(A68="","",IF(Espesor!$J$3="Techo","Lt-","Le-"))</f>
        <v/>
      </c>
      <c r="F68" s="516">
        <f>+Compesaciones!J9</f>
        <v>0</v>
      </c>
      <c r="G68" s="508" t="str">
        <f>IF(A68="","",Compesaciones!Y158)</f>
        <v/>
      </c>
      <c r="H68" s="509" t="str">
        <f>IF(F68=0,"",MAX(LOOKUP(D68,Espesor!C$8:C$41,Espesor!O$8:O$41),LOOKUP(F68,Espesor!C$8:C$41,Espesor!O$8:O$41)))</f>
        <v/>
      </c>
      <c r="I68" s="510" t="str">
        <f>IF(G68="","",IF(G68&lt;=0,"",0.848-SQRT(0.719-G68/(0.53*100*(H68-Espesor!L$4)^2*Espesor!E$4))))</f>
        <v/>
      </c>
      <c r="J68" s="510" t="str">
        <f>IF(G68="","",IF(G68&lt;=0,"",IF(I68*Espesor!E$4/Espesor!H$4&lt;0.002,0.002,I68*Espesor!E$4/Espesor!H$4)))</f>
        <v/>
      </c>
      <c r="K68" s="517" t="str">
        <f>IF(G68="","",IF(G68&lt;=0,"------",ROUND(J68*(H68-Espesor!L$4)*100,2)))</f>
        <v/>
      </c>
      <c r="L68" s="508">
        <f>IF(A68="",0,LOOKUP(D68,'M+'!$A$4:$A$71,'M+'!$N$4:$N$71))</f>
        <v>0</v>
      </c>
      <c r="M68" s="508">
        <f>IF(A68="",0,LOOKUP(F68,'M+'!$A$4:$A$71,'M+'!$N$4:$N$71))</f>
        <v>0</v>
      </c>
      <c r="N68" s="517" t="str">
        <f t="shared" si="34"/>
        <v/>
      </c>
      <c r="O68" s="512" t="str">
        <f t="shared" si="35"/>
        <v/>
      </c>
      <c r="P68" s="501">
        <f t="shared" si="43"/>
        <v>0</v>
      </c>
      <c r="Q68" s="234" t="e">
        <f t="shared" si="44"/>
        <v>#VALUE!</v>
      </c>
      <c r="R68" s="234" t="e">
        <f t="shared" si="45"/>
        <v>#VALUE!</v>
      </c>
      <c r="S68" s="234" t="e">
        <f t="shared" si="46"/>
        <v>#VALUE!</v>
      </c>
      <c r="T68" s="235" t="e">
        <f t="shared" si="47"/>
        <v>#VALUE!</v>
      </c>
    </row>
    <row r="69" spans="1:20" ht="18" hidden="1" customHeight="1">
      <c r="A69" s="504" t="str">
        <f>IF(F69=0,"",IF(A68="",IF(V$2&gt;=MAX(A$5:A68)+1,MAX(A$5:A68)+1,""),A68+1))</f>
        <v/>
      </c>
      <c r="B69" s="505" t="str">
        <f t="shared" si="42"/>
        <v/>
      </c>
      <c r="C69" s="515" t="str">
        <f>IF(A69="","",IF(Espesor!$J$3="Techo","Lt-","Le-"))</f>
        <v/>
      </c>
      <c r="D69" s="516">
        <f>+Compesaciones!B10</f>
        <v>0</v>
      </c>
      <c r="E69" s="515" t="str">
        <f>IF(A69="","",IF(Espesor!$J$3="Techo","Lt-","Le-"))</f>
        <v/>
      </c>
      <c r="F69" s="516">
        <f>+Compesaciones!C10</f>
        <v>0</v>
      </c>
      <c r="G69" s="508" t="str">
        <f>IF(A69="","",Compesaciones!D176)</f>
        <v/>
      </c>
      <c r="H69" s="509" t="str">
        <f>IF(F69=0,"",MAX(LOOKUP(D69,Espesor!C$8:C$41,Espesor!O$8:O$41),LOOKUP(F69,Espesor!C$8:C$41,Espesor!O$8:O$41)))</f>
        <v/>
      </c>
      <c r="I69" s="510" t="str">
        <f>IF(G69="","",IF(G69&lt;=0,"",0.848-SQRT(0.719-G69/(0.53*100*(H69-Espesor!L$4)^2*Espesor!E$4))))</f>
        <v/>
      </c>
      <c r="J69" s="510" t="str">
        <f>IF(G69="","",IF(G69&lt;=0,"",IF(I69*Espesor!E$4/Espesor!H$4&lt;0.002,0.002,I69*Espesor!E$4/Espesor!H$4)))</f>
        <v/>
      </c>
      <c r="K69" s="517" t="str">
        <f>IF(G69="","",IF(G69&lt;=0,"------",ROUND(J69*(H69-Espesor!L$4)*100,2)))</f>
        <v/>
      </c>
      <c r="L69" s="508">
        <f>IF(A69="",0,LOOKUP(D69,'M+'!$A$4:$A$71,'M+'!$N$4:$N$71))</f>
        <v>0</v>
      </c>
      <c r="M69" s="508">
        <f>IF(A69="",0,LOOKUP(F69,'M+'!$A$4:$A$71,'M+'!$N$4:$N$71))</f>
        <v>0</v>
      </c>
      <c r="N69" s="517" t="str">
        <f t="shared" si="34"/>
        <v/>
      </c>
      <c r="O69" s="512" t="str">
        <f t="shared" si="35"/>
        <v/>
      </c>
      <c r="P69" s="501">
        <f t="shared" si="43"/>
        <v>0</v>
      </c>
      <c r="Q69" s="234" t="e">
        <f t="shared" si="44"/>
        <v>#VALUE!</v>
      </c>
      <c r="R69" s="234" t="e">
        <f t="shared" si="45"/>
        <v>#VALUE!</v>
      </c>
      <c r="S69" s="234" t="e">
        <f t="shared" si="46"/>
        <v>#VALUE!</v>
      </c>
      <c r="T69" s="235" t="e">
        <f t="shared" si="47"/>
        <v>#VALUE!</v>
      </c>
    </row>
    <row r="70" spans="1:20" ht="18" hidden="1" customHeight="1">
      <c r="A70" s="504" t="str">
        <f>IF(F70=0,"",IF(A69="",IF(V$2&gt;=MAX(A$5:A69)+1,MAX(A$5:A69)+1,""),A69+1))</f>
        <v/>
      </c>
      <c r="B70" s="505" t="str">
        <f t="shared" si="42"/>
        <v/>
      </c>
      <c r="C70" s="515" t="str">
        <f>IF(A70="","",IF(Espesor!$J$3="Techo","Lt-","Le-"))</f>
        <v/>
      </c>
      <c r="D70" s="516">
        <f>+Compesaciones!C10</f>
        <v>0</v>
      </c>
      <c r="E70" s="515" t="str">
        <f>IF(A70="","",IF(Espesor!$J$3="Techo","Lt-","Le-"))</f>
        <v/>
      </c>
      <c r="F70" s="516">
        <f>+Compesaciones!D10</f>
        <v>0</v>
      </c>
      <c r="G70" s="508" t="str">
        <f>IF(A70="","",Compesaciones!G176)</f>
        <v/>
      </c>
      <c r="H70" s="509" t="str">
        <f>IF(F70=0,"",MAX(LOOKUP(D70,Espesor!C$8:C$41,Espesor!O$8:O$41),LOOKUP(F70,Espesor!C$8:C$41,Espesor!O$8:O$41)))</f>
        <v/>
      </c>
      <c r="I70" s="510" t="str">
        <f>IF(G70="","",IF(G70&lt;=0,"",0.848-SQRT(0.719-G70/(0.53*100*(H70-Espesor!L$4)^2*Espesor!E$4))))</f>
        <v/>
      </c>
      <c r="J70" s="510" t="str">
        <f>IF(G70="","",IF(G70&lt;=0,"",IF(I70*Espesor!E$4/Espesor!H$4&lt;0.002,0.002,I70*Espesor!E$4/Espesor!H$4)))</f>
        <v/>
      </c>
      <c r="K70" s="517" t="str">
        <f>IF(G70="","",IF(G70&lt;=0,"------",ROUND(J70*(H70-Espesor!L$4)*100,2)))</f>
        <v/>
      </c>
      <c r="L70" s="508">
        <f>IF(A70="",0,LOOKUP(D70,'M+'!$A$4:$A$71,'M+'!$N$4:$N$71))</f>
        <v>0</v>
      </c>
      <c r="M70" s="508">
        <f>IF(A70="",0,LOOKUP(F70,'M+'!$A$4:$A$71,'M+'!$N$4:$N$71))</f>
        <v>0</v>
      </c>
      <c r="N70" s="517" t="str">
        <f>IF(G70="","",IF(G70=0,"",IF(P70&gt;=K70,"------",IF(O70=Q70,"3/8   a",IF(O70=R70,"1/2   a",IF(O70=S70,"3/4   a","1   a"))))))</f>
        <v/>
      </c>
      <c r="O70" s="512" t="str">
        <f>IF(G70="","",IF(G70=0,"    ",IF(K70=P70,"------",IF(Q70&lt;0.1,IF(R70&lt;0.1,IF(S70&lt;0.1,T70,S70),R70),Q70))))</f>
        <v/>
      </c>
      <c r="P70" s="501">
        <f t="shared" si="43"/>
        <v>0</v>
      </c>
      <c r="Q70" s="234" t="e">
        <f t="shared" si="44"/>
        <v>#VALUE!</v>
      </c>
      <c r="R70" s="234" t="e">
        <f t="shared" si="45"/>
        <v>#VALUE!</v>
      </c>
      <c r="S70" s="234" t="e">
        <f t="shared" si="46"/>
        <v>#VALUE!</v>
      </c>
      <c r="T70" s="235" t="e">
        <f t="shared" si="47"/>
        <v>#VALUE!</v>
      </c>
    </row>
    <row r="71" spans="1:20" ht="18" hidden="1" customHeight="1">
      <c r="A71" s="504" t="str">
        <f>IF(F71=0,"",IF(A70="",IF(V$2&gt;=MAX(A$5:A70)+1,MAX(A$5:A70)+1,""),A70+1))</f>
        <v/>
      </c>
      <c r="B71" s="505" t="str">
        <f t="shared" ref="B71:B73" si="48">+IF(A71="","","x")</f>
        <v/>
      </c>
      <c r="C71" s="515" t="str">
        <f>IF(A71="","",IF(Espesor!$J$3="Techo","Lt-","Le-"))</f>
        <v/>
      </c>
      <c r="D71" s="516">
        <f>Compesaciones!D10</f>
        <v>0</v>
      </c>
      <c r="E71" s="515" t="str">
        <f>IF(A71="","",IF(Espesor!$J$3="Techo","Lt-","Le-"))</f>
        <v/>
      </c>
      <c r="F71" s="516">
        <f>+Compesaciones!E10</f>
        <v>0</v>
      </c>
      <c r="G71" s="508" t="str">
        <f>IF(A71="","",Compesaciones!J176)</f>
        <v/>
      </c>
      <c r="H71" s="509" t="str">
        <f>IF(F71=0,"",MAX(LOOKUP(D71,Espesor!C$8:C$41,Espesor!O$8:O$41),LOOKUP(F71,Espesor!C$8:C$41,Espesor!O$8:O$41)))</f>
        <v/>
      </c>
      <c r="I71" s="510" t="str">
        <f>IF(G71="","",IF(G71&lt;=0,"",0.848-SQRT(0.719-G71/(0.53*100*(H71-Espesor!L$4)^2*Espesor!E$4))))</f>
        <v/>
      </c>
      <c r="J71" s="510" t="str">
        <f>IF(G71="","",IF(G71&lt;=0,"",IF(I71*Espesor!E$4/Espesor!H$4&lt;0.002,0.002,I71*Espesor!E$4/Espesor!H$4)))</f>
        <v/>
      </c>
      <c r="K71" s="517" t="str">
        <f>IF(G71="","",IF(G71&lt;=0,"------",ROUND(J71*(H71-Espesor!L$4)*100,2)))</f>
        <v/>
      </c>
      <c r="L71" s="508">
        <f>IF(A71="",0,LOOKUP(D71,'M+'!$A$4:$A$71,'M+'!$N$4:$N$71))</f>
        <v>0</v>
      </c>
      <c r="M71" s="508">
        <f>IF(A71="",0,LOOKUP(F71,'M+'!$A$4:$A$71,'M+'!$N$4:$N$71))</f>
        <v>0</v>
      </c>
      <c r="N71" s="517" t="str">
        <f t="shared" ref="N71:N84" si="49">IF(G71="","",IF(G71=0,"",IF(P71&gt;=K71,"------",IF(O71=Q71,"3/8   a",IF(O71=R71,"1/2   a",IF(O71=S71,"3/4   a","1   a"))))))</f>
        <v/>
      </c>
      <c r="O71" s="512" t="str">
        <f t="shared" ref="O71:O84" si="50">IF(G71="","",IF(G71=0,"    ",IF(K71=P71,"------",IF(Q71&lt;0.1,IF(R71&lt;0.1,IF(S71&lt;0.1,T71,S71),R71),Q71))))</f>
        <v/>
      </c>
      <c r="P71" s="501">
        <f t="shared" ref="P71:P73" si="51">IF(G71=0,0,IF(L71="------","",IF((L71+M71)/2&lt;0,0,(L71+M71)/2)))</f>
        <v>0</v>
      </c>
      <c r="Q71" s="234" t="e">
        <f t="shared" ref="Q71:Q73" si="52">IF(G71&lt;=0,"",IF(P71="","",IF(ROUNDDOWN(0.71/(K71-P71),2)&lt;0,"------",IF(ROUNDDOWN(0.71/(K71-P71),2)&gt;1,1,ROUNDDOWN(0.71/(K71-P71),2)))))</f>
        <v>#VALUE!</v>
      </c>
      <c r="R71" s="234" t="e">
        <f t="shared" ref="R71:R73" si="53">IF(G71&lt;=0,"",IF(P71="","",IF(ROUNDDOWN(1.27/(K71-P71),2)&lt;0,"------",ROUNDDOWN(1.27/(K71-P71),2))))</f>
        <v>#VALUE!</v>
      </c>
      <c r="S71" s="234" t="e">
        <f t="shared" ref="S71:S73" si="54">IF(G71&lt;=0,"",IF(P71="","",IF(ROUNDDOWN(2.85/(K71-P71),2)&lt;0,"------",ROUNDDOWN(2.85/(K71-P71),2))))</f>
        <v>#VALUE!</v>
      </c>
      <c r="T71" s="235" t="e">
        <f t="shared" ref="T71:T73" si="55">IF(G71&lt;=0,"",IF(P71="","",IF(ROUNDDOWN(5.07/(K71-P71),2)&lt;0,"------",ROUNDDOWN(5.07/(K71-P71),2))))</f>
        <v>#VALUE!</v>
      </c>
    </row>
    <row r="72" spans="1:20" ht="18" hidden="1" customHeight="1">
      <c r="A72" s="504" t="str">
        <f>IF(F72=0,"",IF(A71="",IF(V$2&gt;=MAX(A$5:A71)+1,MAX(A$5:A71)+1,""),A71+1))</f>
        <v/>
      </c>
      <c r="B72" s="505" t="str">
        <f t="shared" si="48"/>
        <v/>
      </c>
      <c r="C72" s="515" t="str">
        <f>IF(A72="","",IF(Espesor!$J$3="Techo","Lt-","Le-"))</f>
        <v/>
      </c>
      <c r="D72" s="516">
        <f>+Compesaciones!E10</f>
        <v>0</v>
      </c>
      <c r="E72" s="515" t="str">
        <f>IF(A72="","",IF(Espesor!$J$3="Techo","Lt-","Le-"))</f>
        <v/>
      </c>
      <c r="F72" s="516">
        <f>+Compesaciones!F10</f>
        <v>0</v>
      </c>
      <c r="G72" s="508" t="str">
        <f>IF(A72="","",Compesaciones!M176)</f>
        <v/>
      </c>
      <c r="H72" s="509" t="str">
        <f>IF(F72=0,"",MAX(LOOKUP(D72,Espesor!C$8:C$41,Espesor!O$8:O$41),LOOKUP(F72,Espesor!C$8:C$41,Espesor!O$8:O$41)))</f>
        <v/>
      </c>
      <c r="I72" s="510" t="str">
        <f>IF(G72="","",IF(G72&lt;=0,"",0.848-SQRT(0.719-G72/(0.53*100*(H72-Espesor!L$4)^2*Espesor!E$4))))</f>
        <v/>
      </c>
      <c r="J72" s="510" t="str">
        <f>IF(G72="","",IF(G72&lt;=0,"",IF(I72*Espesor!E$4/Espesor!H$4&lt;0.002,0.002,I72*Espesor!E$4/Espesor!H$4)))</f>
        <v/>
      </c>
      <c r="K72" s="517" t="str">
        <f>IF(G72="","",IF(G72&lt;=0,"------",ROUND(J72*(H72-Espesor!L$4)*100,2)))</f>
        <v/>
      </c>
      <c r="L72" s="508">
        <f>IF(A72="",0,LOOKUP(D72,'M+'!$A$4:$A$71,'M+'!$N$4:$N$71))</f>
        <v>0</v>
      </c>
      <c r="M72" s="508">
        <f>IF(A72="",0,LOOKUP(F72,'M+'!$A$4:$A$71,'M+'!$N$4:$N$71))</f>
        <v>0</v>
      </c>
      <c r="N72" s="517" t="str">
        <f t="shared" si="49"/>
        <v/>
      </c>
      <c r="O72" s="512" t="str">
        <f t="shared" si="50"/>
        <v/>
      </c>
      <c r="P72" s="501">
        <f t="shared" si="51"/>
        <v>0</v>
      </c>
      <c r="Q72" s="234" t="e">
        <f t="shared" si="52"/>
        <v>#VALUE!</v>
      </c>
      <c r="R72" s="234" t="e">
        <f t="shared" si="53"/>
        <v>#VALUE!</v>
      </c>
      <c r="S72" s="234" t="e">
        <f t="shared" si="54"/>
        <v>#VALUE!</v>
      </c>
      <c r="T72" s="235" t="e">
        <f t="shared" si="55"/>
        <v>#VALUE!</v>
      </c>
    </row>
    <row r="73" spans="1:20" ht="18" hidden="1" customHeight="1">
      <c r="A73" s="504" t="str">
        <f>IF(F73=0,"",IF(A72="",IF(V$2&gt;=MAX(A$5:A72)+1,MAX(A$5:A72)+1,""),A72+1))</f>
        <v/>
      </c>
      <c r="B73" s="505" t="str">
        <f t="shared" si="48"/>
        <v/>
      </c>
      <c r="C73" s="515" t="str">
        <f>IF(A73="","",IF(Espesor!$J$3="Techo","Lt-","Le-"))</f>
        <v/>
      </c>
      <c r="D73" s="516">
        <f>+Compesaciones!F10</f>
        <v>0</v>
      </c>
      <c r="E73" s="515" t="str">
        <f>IF(A73="","",IF(Espesor!$J$3="Techo","Lt-","Le-"))</f>
        <v/>
      </c>
      <c r="F73" s="516">
        <f>+Compesaciones!G10</f>
        <v>0</v>
      </c>
      <c r="G73" s="508" t="str">
        <f>IF(A73="","",Compesaciones!P176)</f>
        <v/>
      </c>
      <c r="H73" s="509" t="str">
        <f>IF(F73=0,"",MAX(LOOKUP(D73,Espesor!C$8:C$41,Espesor!O$8:O$41),LOOKUP(F73,Espesor!C$8:C$41,Espesor!O$8:O$41)))</f>
        <v/>
      </c>
      <c r="I73" s="510" t="str">
        <f>IF(G73="","",IF(G73&lt;=0,"",0.848-SQRT(0.719-G73/(0.53*100*(H73-Espesor!L$4)^2*Espesor!E$4))))</f>
        <v/>
      </c>
      <c r="J73" s="510" t="str">
        <f>IF(G73="","",IF(G73&lt;=0,"",IF(I73*Espesor!E$4/Espesor!H$4&lt;0.002,0.002,I73*Espesor!E$4/Espesor!H$4)))</f>
        <v/>
      </c>
      <c r="K73" s="517" t="str">
        <f>IF(G73="","",IF(G73&lt;=0,"------",ROUND(J73*(H73-Espesor!L$4)*100,2)))</f>
        <v/>
      </c>
      <c r="L73" s="508">
        <f>IF(A73="",0,LOOKUP(D73,'M+'!$A$4:$A$71,'M+'!$N$4:$N$71))</f>
        <v>0</v>
      </c>
      <c r="M73" s="508">
        <f>IF(A73="",0,LOOKUP(F73,'M+'!$A$4:$A$71,'M+'!$N$4:$N$71))</f>
        <v>0</v>
      </c>
      <c r="N73" s="517" t="str">
        <f t="shared" si="49"/>
        <v/>
      </c>
      <c r="O73" s="512" t="str">
        <f t="shared" si="50"/>
        <v/>
      </c>
      <c r="P73" s="501">
        <f t="shared" si="51"/>
        <v>0</v>
      </c>
      <c r="Q73" s="234" t="e">
        <f t="shared" si="52"/>
        <v>#VALUE!</v>
      </c>
      <c r="R73" s="234" t="e">
        <f t="shared" si="53"/>
        <v>#VALUE!</v>
      </c>
      <c r="S73" s="234" t="e">
        <f t="shared" si="54"/>
        <v>#VALUE!</v>
      </c>
      <c r="T73" s="235" t="e">
        <f t="shared" si="55"/>
        <v>#VALUE!</v>
      </c>
    </row>
    <row r="74" spans="1:20" ht="18" hidden="1" customHeight="1">
      <c r="A74" s="504" t="str">
        <f>IF(F74=0,"",IF(A73="",IF(V$2&gt;=MAX(A$5:A73)+1,MAX(A$5:A73)+1,""),A73+1))</f>
        <v/>
      </c>
      <c r="B74" s="505" t="str">
        <f t="shared" ref="B74:B84" si="56">+IF(A74="","","x")</f>
        <v/>
      </c>
      <c r="C74" s="515" t="str">
        <f>IF(A74="","",IF(Espesor!$J$3="Techo","Lt-","Le-"))</f>
        <v/>
      </c>
      <c r="D74" s="516">
        <f>+Compesaciones!G10</f>
        <v>0</v>
      </c>
      <c r="E74" s="515" t="str">
        <f>IF(A74="","",IF(Espesor!$J$3="Techo","Lt-","Le-"))</f>
        <v/>
      </c>
      <c r="F74" s="516">
        <f>+Compesaciones!H10</f>
        <v>0</v>
      </c>
      <c r="G74" s="508" t="str">
        <f>IF(A74="","",Compesaciones!S176)</f>
        <v/>
      </c>
      <c r="H74" s="509" t="str">
        <f>IF(F74=0,"",MAX(LOOKUP(D74,Espesor!C$8:C$41,Espesor!O$8:O$41),LOOKUP(F74,Espesor!C$8:C$41,Espesor!O$8:O$41)))</f>
        <v/>
      </c>
      <c r="I74" s="510" t="str">
        <f>IF(G74="","",IF(G74&lt;=0,"",0.848-SQRT(0.719-G74/(0.53*100*(H74-Espesor!L$4)^2*Espesor!E$4))))</f>
        <v/>
      </c>
      <c r="J74" s="510" t="str">
        <f>IF(G74="","",IF(G74&lt;=0,"",IF(I74*Espesor!E$4/Espesor!H$4&lt;0.002,0.002,I74*Espesor!E$4/Espesor!H$4)))</f>
        <v/>
      </c>
      <c r="K74" s="517" t="str">
        <f>IF(G74="","",IF(G74&lt;=0,"------",ROUND(J74*(H74-Espesor!L$4)*100,2)))</f>
        <v/>
      </c>
      <c r="L74" s="508">
        <f>IF(A74="",0,LOOKUP(D74,'M+'!$A$4:$A$71,'M+'!$N$4:$N$71))</f>
        <v>0</v>
      </c>
      <c r="M74" s="508">
        <f>IF(A74="",0,LOOKUP(F74,'M+'!$A$4:$A$71,'M+'!$N$4:$N$71))</f>
        <v>0</v>
      </c>
      <c r="N74" s="517" t="str">
        <f t="shared" si="49"/>
        <v/>
      </c>
      <c r="O74" s="512" t="str">
        <f t="shared" si="50"/>
        <v/>
      </c>
      <c r="P74" s="501">
        <f t="shared" ref="P74:P84" si="57">IF(G74=0,0,IF(L74="------","",IF((L74+M74)/2&lt;0,0,(L74+M74)/2)))</f>
        <v>0</v>
      </c>
      <c r="Q74" s="234" t="e">
        <f t="shared" ref="Q74:Q84" si="58">IF(G74&lt;=0,"",IF(P74="","",IF(ROUNDDOWN(0.71/(K74-P74),2)&lt;0,"------",IF(ROUNDDOWN(0.71/(K74-P74),2)&gt;1,1,ROUNDDOWN(0.71/(K74-P74),2)))))</f>
        <v>#VALUE!</v>
      </c>
      <c r="R74" s="234" t="e">
        <f t="shared" ref="R74:R84" si="59">IF(G74&lt;=0,"",IF(P74="","",IF(ROUNDDOWN(1.27/(K74-P74),2)&lt;0,"------",ROUNDDOWN(1.27/(K74-P74),2))))</f>
        <v>#VALUE!</v>
      </c>
      <c r="S74" s="234" t="e">
        <f t="shared" ref="S74:S84" si="60">IF(G74&lt;=0,"",IF(P74="","",IF(ROUNDDOWN(2.85/(K74-P74),2)&lt;0,"------",ROUNDDOWN(2.85/(K74-P74),2))))</f>
        <v>#VALUE!</v>
      </c>
      <c r="T74" s="235" t="e">
        <f t="shared" ref="T74:T84" si="61">IF(G74&lt;=0,"",IF(P74="","",IF(ROUNDDOWN(5.07/(K74-P74),2)&lt;0,"------",ROUNDDOWN(5.07/(K74-P74),2))))</f>
        <v>#VALUE!</v>
      </c>
    </row>
    <row r="75" spans="1:20" ht="18" hidden="1" customHeight="1">
      <c r="A75" s="504" t="str">
        <f>IF(F75=0,"",IF(A74="",IF(V$2&gt;=MAX(A$5:A74)+1,MAX(A$5:A74)+1,""),A74+1))</f>
        <v/>
      </c>
      <c r="B75" s="505" t="str">
        <f t="shared" si="56"/>
        <v/>
      </c>
      <c r="C75" s="515" t="str">
        <f>IF(A75="","",IF(Espesor!$J$3="Techo","Lt-","Le-"))</f>
        <v/>
      </c>
      <c r="D75" s="516">
        <f>+Compesaciones!H10</f>
        <v>0</v>
      </c>
      <c r="E75" s="515" t="str">
        <f>IF(A75="","",IF(Espesor!$J$3="Techo","Lt-","Le-"))</f>
        <v/>
      </c>
      <c r="F75" s="516">
        <f>+Compesaciones!I10</f>
        <v>0</v>
      </c>
      <c r="G75" s="508" t="str">
        <f>IF(A75="","",Compesaciones!V176)</f>
        <v/>
      </c>
      <c r="H75" s="509" t="str">
        <f>IF(F75=0,"",MAX(LOOKUP(D75,Espesor!C$8:C$41,Espesor!O$8:O$41),LOOKUP(F75,Espesor!C$8:C$41,Espesor!O$8:O$41)))</f>
        <v/>
      </c>
      <c r="I75" s="510" t="str">
        <f>IF(G75="","",IF(G75&lt;=0,"",0.848-SQRT(0.719-G75/(0.53*100*(H75-Espesor!L$4)^2*Espesor!E$4))))</f>
        <v/>
      </c>
      <c r="J75" s="510" t="str">
        <f>IF(G75="","",IF(G75&lt;=0,"",IF(I75*Espesor!E$4/Espesor!H$4&lt;0.002,0.002,I75*Espesor!E$4/Espesor!H$4)))</f>
        <v/>
      </c>
      <c r="K75" s="517" t="str">
        <f>IF(G75="","",IF(G75&lt;=0,"------",ROUND(J75*(H75-Espesor!L$4)*100,2)))</f>
        <v/>
      </c>
      <c r="L75" s="508">
        <f>IF(A75="",0,LOOKUP(D75,'M+'!$A$4:$A$71,'M+'!$N$4:$N$71))</f>
        <v>0</v>
      </c>
      <c r="M75" s="508">
        <f>IF(A75="",0,LOOKUP(F75,'M+'!$A$4:$A$71,'M+'!$N$4:$N$71))</f>
        <v>0</v>
      </c>
      <c r="N75" s="517" t="str">
        <f t="shared" si="49"/>
        <v/>
      </c>
      <c r="O75" s="512" t="str">
        <f t="shared" si="50"/>
        <v/>
      </c>
      <c r="P75" s="501">
        <f t="shared" si="57"/>
        <v>0</v>
      </c>
      <c r="Q75" s="234" t="e">
        <f t="shared" si="58"/>
        <v>#VALUE!</v>
      </c>
      <c r="R75" s="234" t="e">
        <f t="shared" si="59"/>
        <v>#VALUE!</v>
      </c>
      <c r="S75" s="234" t="e">
        <f t="shared" si="60"/>
        <v>#VALUE!</v>
      </c>
      <c r="T75" s="235" t="e">
        <f t="shared" si="61"/>
        <v>#VALUE!</v>
      </c>
    </row>
    <row r="76" spans="1:20" ht="18" hidden="1" customHeight="1">
      <c r="A76" s="504" t="str">
        <f>IF(F76=0,"",IF(A75="",IF(V$2&gt;=MAX(A$5:A75)+1,MAX(A$5:A75)+1,""),A75+1))</f>
        <v/>
      </c>
      <c r="B76" s="505" t="str">
        <f t="shared" si="56"/>
        <v/>
      </c>
      <c r="C76" s="515" t="str">
        <f>IF(A76="","",IF(Espesor!$J$3="Techo","Lt-","Le-"))</f>
        <v/>
      </c>
      <c r="D76" s="516">
        <f>+Compesaciones!I10</f>
        <v>0</v>
      </c>
      <c r="E76" s="515" t="str">
        <f>IF(A76="","",IF(Espesor!$J$3="Techo","Lt-","Le-"))</f>
        <v/>
      </c>
      <c r="F76" s="516">
        <f>+Compesaciones!J10</f>
        <v>0</v>
      </c>
      <c r="G76" s="508" t="str">
        <f>IF(A76="","",Compesaciones!Y176)</f>
        <v/>
      </c>
      <c r="H76" s="509" t="str">
        <f>IF(F76=0,"",MAX(LOOKUP(D76,Espesor!C$8:C$41,Espesor!O$8:O$41),LOOKUP(F76,Espesor!C$8:C$41,Espesor!O$8:O$41)))</f>
        <v/>
      </c>
      <c r="I76" s="510" t="str">
        <f>IF(G76="","",IF(G76&lt;=0,"",0.848-SQRT(0.719-G76/(0.53*100*(H76-Espesor!L$4)^2*Espesor!E$4))))</f>
        <v/>
      </c>
      <c r="J76" s="510" t="str">
        <f>IF(G76="","",IF(G76&lt;=0,"",IF(I76*Espesor!E$4/Espesor!H$4&lt;0.002,0.002,I76*Espesor!E$4/Espesor!H$4)))</f>
        <v/>
      </c>
      <c r="K76" s="517" t="str">
        <f>IF(G76="","",IF(G76&lt;=0,"------",ROUND(J76*(H76-Espesor!L$4)*100,2)))</f>
        <v/>
      </c>
      <c r="L76" s="508">
        <f>IF(A76="",0,LOOKUP(D76,'M+'!$A$4:$A$71,'M+'!$N$4:$N$71))</f>
        <v>0</v>
      </c>
      <c r="M76" s="508">
        <f>IF(A76="",0,LOOKUP(F76,'M+'!$A$4:$A$71,'M+'!$N$4:$N$71))</f>
        <v>0</v>
      </c>
      <c r="N76" s="517" t="str">
        <f t="shared" si="49"/>
        <v/>
      </c>
      <c r="O76" s="512" t="str">
        <f t="shared" si="50"/>
        <v/>
      </c>
      <c r="P76" s="501">
        <f t="shared" si="57"/>
        <v>0</v>
      </c>
      <c r="Q76" s="234" t="e">
        <f t="shared" si="58"/>
        <v>#VALUE!</v>
      </c>
      <c r="R76" s="234" t="e">
        <f t="shared" si="59"/>
        <v>#VALUE!</v>
      </c>
      <c r="S76" s="234" t="e">
        <f t="shared" si="60"/>
        <v>#VALUE!</v>
      </c>
      <c r="T76" s="235" t="e">
        <f t="shared" si="61"/>
        <v>#VALUE!</v>
      </c>
    </row>
    <row r="77" spans="1:20" ht="18" hidden="1" customHeight="1">
      <c r="A77" s="504" t="str">
        <f>IF(F77=0,"",IF(A76="",IF(V$2&gt;=MAX(A$5:A76)+1,MAX(A$5:A76)+1,""),A76+1))</f>
        <v/>
      </c>
      <c r="B77" s="505" t="str">
        <f t="shared" si="56"/>
        <v/>
      </c>
      <c r="C77" s="515" t="str">
        <f>IF(A77="","",IF(Espesor!$J$3="Techo","Lt-","Le-"))</f>
        <v/>
      </c>
      <c r="D77" s="516">
        <f>+Compesaciones!B11</f>
        <v>0</v>
      </c>
      <c r="E77" s="515" t="str">
        <f>IF(A77="","",IF(Espesor!$J$3="Techo","Lt-","Le-"))</f>
        <v/>
      </c>
      <c r="F77" s="516">
        <f>+Compesaciones!C11</f>
        <v>0</v>
      </c>
      <c r="G77" s="508" t="str">
        <f>IF(A77="","",Compesaciones!D194)</f>
        <v/>
      </c>
      <c r="H77" s="509" t="str">
        <f>IF(F77=0,"",MAX(LOOKUP(D77,Espesor!C$8:C$41,Espesor!O$8:O$41),LOOKUP(F77,Espesor!C$8:C$41,Espesor!O$8:O$41)))</f>
        <v/>
      </c>
      <c r="I77" s="510" t="str">
        <f>IF(G77="","",IF(G77&lt;=0,"",0.848-SQRT(0.719-G77/(0.53*100*(H77-Espesor!L$4)^2*Espesor!E$4))))</f>
        <v/>
      </c>
      <c r="J77" s="510" t="str">
        <f>IF(G77="","",IF(G77&lt;=0,"",IF(I77*Espesor!E$4/Espesor!H$4&lt;0.002,0.002,I77*Espesor!E$4/Espesor!H$4)))</f>
        <v/>
      </c>
      <c r="K77" s="517" t="str">
        <f>IF(G77="","",IF(G77&lt;=0,"------",ROUND(J77*(H77-Espesor!L$4)*100,2)))</f>
        <v/>
      </c>
      <c r="L77" s="508">
        <f>IF(A77="",0,LOOKUP(D77,'M+'!$A$4:$A$71,'M+'!$N$4:$N$71))</f>
        <v>0</v>
      </c>
      <c r="M77" s="508">
        <f>IF(A77="",0,LOOKUP(F77,'M+'!$A$4:$A$71,'M+'!$N$4:$N$71))</f>
        <v>0</v>
      </c>
      <c r="N77" s="517" t="str">
        <f t="shared" si="49"/>
        <v/>
      </c>
      <c r="O77" s="512" t="str">
        <f t="shared" si="50"/>
        <v/>
      </c>
      <c r="P77" s="501">
        <f t="shared" si="57"/>
        <v>0</v>
      </c>
      <c r="Q77" s="234" t="e">
        <f t="shared" si="58"/>
        <v>#VALUE!</v>
      </c>
      <c r="R77" s="234" t="e">
        <f t="shared" si="59"/>
        <v>#VALUE!</v>
      </c>
      <c r="S77" s="234" t="e">
        <f t="shared" si="60"/>
        <v>#VALUE!</v>
      </c>
      <c r="T77" s="235" t="e">
        <f t="shared" si="61"/>
        <v>#VALUE!</v>
      </c>
    </row>
    <row r="78" spans="1:20" ht="18" hidden="1" customHeight="1">
      <c r="A78" s="504" t="str">
        <f>IF(F78=0,"",IF(A77="",IF(V$2&gt;=MAX(A$5:A77)+1,MAX(A$5:A77)+1,""),A77+1))</f>
        <v/>
      </c>
      <c r="B78" s="505" t="str">
        <f t="shared" si="56"/>
        <v/>
      </c>
      <c r="C78" s="515" t="str">
        <f>IF(A78="","",IF(Espesor!$J$3="Techo","Lt-","Le-"))</f>
        <v/>
      </c>
      <c r="D78" s="516">
        <f>+Compesaciones!C11</f>
        <v>0</v>
      </c>
      <c r="E78" s="515" t="str">
        <f>IF(A78="","",IF(Espesor!$J$3="Techo","Lt-","Le-"))</f>
        <v/>
      </c>
      <c r="F78" s="516">
        <f>+Compesaciones!D11</f>
        <v>0</v>
      </c>
      <c r="G78" s="508" t="str">
        <f>IF(A78="","",Compesaciones!G194)</f>
        <v/>
      </c>
      <c r="H78" s="509" t="str">
        <f>IF(F78=0,"",MAX(LOOKUP(D78,Espesor!C$8:C$41,Espesor!O$8:O$41),LOOKUP(F78,Espesor!C$8:C$41,Espesor!O$8:O$41)))</f>
        <v/>
      </c>
      <c r="I78" s="510" t="str">
        <f>IF(G78="","",IF(G78&lt;=0,"",0.848-SQRT(0.719-G78/(0.53*100*(H78-Espesor!L$4)^2*Espesor!E$4))))</f>
        <v/>
      </c>
      <c r="J78" s="510" t="str">
        <f>IF(G78="","",IF(G78&lt;=0,"",IF(I78*Espesor!E$4/Espesor!H$4&lt;0.002,0.002,I78*Espesor!E$4/Espesor!H$4)))</f>
        <v/>
      </c>
      <c r="K78" s="517" t="str">
        <f>IF(G78="","",IF(G78&lt;=0,"------",ROUND(J78*(H78-Espesor!L$4)*100,2)))</f>
        <v/>
      </c>
      <c r="L78" s="508">
        <f>IF(A78="",0,LOOKUP(D78,'M+'!$A$4:$A$71,'M+'!$N$4:$N$71))</f>
        <v>0</v>
      </c>
      <c r="M78" s="508">
        <f>IF(A78="",0,LOOKUP(F78,'M+'!$A$4:$A$71,'M+'!$N$4:$N$71))</f>
        <v>0</v>
      </c>
      <c r="N78" s="517" t="str">
        <f t="shared" si="49"/>
        <v/>
      </c>
      <c r="O78" s="512" t="str">
        <f t="shared" si="50"/>
        <v/>
      </c>
      <c r="P78" s="501">
        <f t="shared" si="57"/>
        <v>0</v>
      </c>
      <c r="Q78" s="234" t="e">
        <f t="shared" si="58"/>
        <v>#VALUE!</v>
      </c>
      <c r="R78" s="234" t="e">
        <f t="shared" si="59"/>
        <v>#VALUE!</v>
      </c>
      <c r="S78" s="234" t="e">
        <f t="shared" si="60"/>
        <v>#VALUE!</v>
      </c>
      <c r="T78" s="235" t="e">
        <f t="shared" si="61"/>
        <v>#VALUE!</v>
      </c>
    </row>
    <row r="79" spans="1:20" ht="18" hidden="1" customHeight="1">
      <c r="A79" s="504" t="str">
        <f>IF(F79=0,"",IF(A78="",IF(V$2&gt;=MAX(A$5:A78)+1,MAX(A$5:A78)+1,""),A78+1))</f>
        <v/>
      </c>
      <c r="B79" s="505" t="str">
        <f t="shared" si="56"/>
        <v/>
      </c>
      <c r="C79" s="515" t="str">
        <f>IF(A79="","",IF(Espesor!$J$3="Techo","Lt-","Le-"))</f>
        <v/>
      </c>
      <c r="D79" s="516">
        <f>+Compesaciones!D11</f>
        <v>0</v>
      </c>
      <c r="E79" s="515" t="str">
        <f>IF(A79="","",IF(Espesor!$J$3="Techo","Lt-","Le-"))</f>
        <v/>
      </c>
      <c r="F79" s="516">
        <f>+Compesaciones!E11</f>
        <v>0</v>
      </c>
      <c r="G79" s="508" t="str">
        <f>IF(A79="","",Compesaciones!J194)</f>
        <v/>
      </c>
      <c r="H79" s="509" t="str">
        <f>IF(F79=0,"",MAX(LOOKUP(D79,Espesor!C$8:C$41,Espesor!O$8:O$41),LOOKUP(F79,Espesor!C$8:C$41,Espesor!O$8:O$41)))</f>
        <v/>
      </c>
      <c r="I79" s="510" t="str">
        <f>IF(G79="","",IF(G79&lt;=0,"",0.848-SQRT(0.719-G79/(0.53*100*(H79-Espesor!L$4)^2*Espesor!E$4))))</f>
        <v/>
      </c>
      <c r="J79" s="510" t="str">
        <f>IF(G79="","",IF(G79&lt;=0,"",IF(I79*Espesor!E$4/Espesor!H$4&lt;0.002,0.002,I79*Espesor!E$4/Espesor!H$4)))</f>
        <v/>
      </c>
      <c r="K79" s="517" t="str">
        <f>IF(G79="","",IF(G79&lt;=0,"------",ROUND(J79*(H79-Espesor!L$4)*100,2)))</f>
        <v/>
      </c>
      <c r="L79" s="508">
        <f>IF(A79="",0,LOOKUP(D79,'M+'!$A$4:$A$71,'M+'!$N$4:$N$71))</f>
        <v>0</v>
      </c>
      <c r="M79" s="508">
        <f>IF(A79="",0,LOOKUP(F79,'M+'!$A$4:$A$71,'M+'!$N$4:$N$71))</f>
        <v>0</v>
      </c>
      <c r="N79" s="517" t="str">
        <f t="shared" si="49"/>
        <v/>
      </c>
      <c r="O79" s="512" t="str">
        <f t="shared" si="50"/>
        <v/>
      </c>
      <c r="P79" s="501">
        <f t="shared" si="57"/>
        <v>0</v>
      </c>
      <c r="Q79" s="234" t="e">
        <f t="shared" si="58"/>
        <v>#VALUE!</v>
      </c>
      <c r="R79" s="234" t="e">
        <f t="shared" si="59"/>
        <v>#VALUE!</v>
      </c>
      <c r="S79" s="234" t="e">
        <f t="shared" si="60"/>
        <v>#VALUE!</v>
      </c>
      <c r="T79" s="235" t="e">
        <f t="shared" si="61"/>
        <v>#VALUE!</v>
      </c>
    </row>
    <row r="80" spans="1:20" ht="18" hidden="1" customHeight="1">
      <c r="A80" s="504" t="str">
        <f>IF(F80=0,"",IF(A79="",IF(V$2&gt;=MAX(A$5:A79)+1,MAX(A$5:A79)+1,""),A79+1))</f>
        <v/>
      </c>
      <c r="B80" s="505" t="str">
        <f t="shared" si="56"/>
        <v/>
      </c>
      <c r="C80" s="515" t="str">
        <f>IF(A80="","",IF(Espesor!$J$3="Techo","Lt-","Le-"))</f>
        <v/>
      </c>
      <c r="D80" s="516">
        <f>+Compesaciones!E11</f>
        <v>0</v>
      </c>
      <c r="E80" s="515" t="str">
        <f>IF(A80="","",IF(Espesor!$J$3="Techo","Lt-","Le-"))</f>
        <v/>
      </c>
      <c r="F80" s="516">
        <f>+Compesaciones!F11</f>
        <v>0</v>
      </c>
      <c r="G80" s="508" t="str">
        <f>IF(A80="","",Compesaciones!M194)</f>
        <v/>
      </c>
      <c r="H80" s="509" t="str">
        <f>IF(F80=0,"",MAX(LOOKUP(D80,Espesor!C$8:C$41,Espesor!O$8:O$41),LOOKUP(F80,Espesor!C$8:C$41,Espesor!O$8:O$41)))</f>
        <v/>
      </c>
      <c r="I80" s="510" t="str">
        <f>IF(G80="","",IF(G80&lt;=0,"",0.848-SQRT(0.719-G80/(0.53*100*(H80-Espesor!L$4)^2*Espesor!E$4))))</f>
        <v/>
      </c>
      <c r="J80" s="510" t="str">
        <f>IF(G80="","",IF(G80&lt;=0,"",IF(I80*Espesor!E$4/Espesor!H$4&lt;0.002,0.002,I80*Espesor!E$4/Espesor!H$4)))</f>
        <v/>
      </c>
      <c r="K80" s="517" t="str">
        <f>IF(G80="","",IF(G80&lt;=0,"------",ROUND(J80*(H80-Espesor!L$4)*100,2)))</f>
        <v/>
      </c>
      <c r="L80" s="508">
        <f>IF(A80="",0,LOOKUP(D80,'M+'!$A$4:$A$71,'M+'!$N$4:$N$71))</f>
        <v>0</v>
      </c>
      <c r="M80" s="508">
        <f>IF(A80="",0,LOOKUP(F80,'M+'!$A$4:$A$71,'M+'!$N$4:$N$71))</f>
        <v>0</v>
      </c>
      <c r="N80" s="517" t="str">
        <f t="shared" si="49"/>
        <v/>
      </c>
      <c r="O80" s="512" t="str">
        <f t="shared" si="50"/>
        <v/>
      </c>
      <c r="P80" s="501">
        <f t="shared" si="57"/>
        <v>0</v>
      </c>
      <c r="Q80" s="234" t="e">
        <f t="shared" si="58"/>
        <v>#VALUE!</v>
      </c>
      <c r="R80" s="234" t="e">
        <f t="shared" si="59"/>
        <v>#VALUE!</v>
      </c>
      <c r="S80" s="234" t="e">
        <f t="shared" si="60"/>
        <v>#VALUE!</v>
      </c>
      <c r="T80" s="235" t="e">
        <f t="shared" si="61"/>
        <v>#VALUE!</v>
      </c>
    </row>
    <row r="81" spans="1:22" ht="18" hidden="1" customHeight="1">
      <c r="A81" s="504" t="str">
        <f>IF(F81=0,"",IF(A80="",IF(V$2&gt;=MAX(A$5:A80)+1,MAX(A$5:A80)+1,""),A80+1))</f>
        <v/>
      </c>
      <c r="B81" s="505" t="str">
        <f t="shared" si="56"/>
        <v/>
      </c>
      <c r="C81" s="515" t="str">
        <f>IF(A81="","",IF(Espesor!$J$3="Techo","Lt-","Le-"))</f>
        <v/>
      </c>
      <c r="D81" s="516">
        <f>+Compesaciones!F11</f>
        <v>0</v>
      </c>
      <c r="E81" s="515" t="str">
        <f>IF(A81="","",IF(Espesor!$J$3="Techo","Lt-","Le-"))</f>
        <v/>
      </c>
      <c r="F81" s="516">
        <f>+Compesaciones!G11</f>
        <v>0</v>
      </c>
      <c r="G81" s="508" t="str">
        <f>IF(A81="","",Compesaciones!P194)</f>
        <v/>
      </c>
      <c r="H81" s="509" t="str">
        <f>IF(F81=0,"",MAX(LOOKUP(D81,Espesor!C$8:C$41,Espesor!O$8:O$41),LOOKUP(F81,Espesor!C$8:C$41,Espesor!O$8:O$41)))</f>
        <v/>
      </c>
      <c r="I81" s="510" t="str">
        <f>IF(G81="","",IF(G81&lt;=0,"",0.848-SQRT(0.719-G81/(0.53*100*(H81-Espesor!L$4)^2*Espesor!E$4))))</f>
        <v/>
      </c>
      <c r="J81" s="510" t="str">
        <f>IF(G81="","",IF(G81&lt;=0,"",IF(I81*Espesor!E$4/Espesor!H$4&lt;0.002,0.002,I81*Espesor!E$4/Espesor!H$4)))</f>
        <v/>
      </c>
      <c r="K81" s="517" t="str">
        <f>IF(G81="","",IF(G81&lt;=0,"------",ROUND(J81*(H81-Espesor!L$4)*100,2)))</f>
        <v/>
      </c>
      <c r="L81" s="508">
        <f>IF(A81="",0,LOOKUP(D81,'M+'!$A$4:$A$71,'M+'!$N$4:$N$71))</f>
        <v>0</v>
      </c>
      <c r="M81" s="508">
        <f>IF(A81="",0,LOOKUP(F81,'M+'!$A$4:$A$71,'M+'!$N$4:$N$71))</f>
        <v>0</v>
      </c>
      <c r="N81" s="517" t="str">
        <f t="shared" si="49"/>
        <v/>
      </c>
      <c r="O81" s="512" t="str">
        <f t="shared" si="50"/>
        <v/>
      </c>
      <c r="P81" s="501">
        <f t="shared" si="57"/>
        <v>0</v>
      </c>
      <c r="Q81" s="234" t="e">
        <f t="shared" si="58"/>
        <v>#VALUE!</v>
      </c>
      <c r="R81" s="234" t="e">
        <f t="shared" si="59"/>
        <v>#VALUE!</v>
      </c>
      <c r="S81" s="234" t="e">
        <f t="shared" si="60"/>
        <v>#VALUE!</v>
      </c>
      <c r="T81" s="235" t="e">
        <f t="shared" si="61"/>
        <v>#VALUE!</v>
      </c>
    </row>
    <row r="82" spans="1:22" ht="18" hidden="1" customHeight="1">
      <c r="A82" s="504" t="str">
        <f>IF(F82=0,"",IF(A81="",IF(V$2&gt;=MAX(A$5:A81)+1,MAX(A$5:A81)+1,""),A81+1))</f>
        <v/>
      </c>
      <c r="B82" s="505" t="str">
        <f t="shared" si="56"/>
        <v/>
      </c>
      <c r="C82" s="515" t="str">
        <f>IF(A82="","",IF(Espesor!$J$3="Techo","Lt-","Le-"))</f>
        <v/>
      </c>
      <c r="D82" s="516">
        <f>+Compesaciones!G11</f>
        <v>0</v>
      </c>
      <c r="E82" s="515" t="str">
        <f>IF(A82="","",IF(Espesor!$J$3="Techo","Lt-","Le-"))</f>
        <v/>
      </c>
      <c r="F82" s="516">
        <f>+Compesaciones!H11</f>
        <v>0</v>
      </c>
      <c r="G82" s="508" t="str">
        <f>IF(A82="","",Compesaciones!S194)</f>
        <v/>
      </c>
      <c r="H82" s="509" t="str">
        <f>IF(F82=0,"",MAX(LOOKUP(D82,Espesor!C$8:C$41,Espesor!O$8:O$41),LOOKUP(F82,Espesor!C$8:C$41,Espesor!O$8:O$41)))</f>
        <v/>
      </c>
      <c r="I82" s="510" t="str">
        <f>IF(G82="","",IF(G82&lt;=0,"",0.848-SQRT(0.719-G82/(0.53*100*(H82-Espesor!L$4)^2*Espesor!E$4))))</f>
        <v/>
      </c>
      <c r="J82" s="510" t="str">
        <f>IF(G82="","",IF(G82&lt;=0,"",IF(I82*Espesor!E$4/Espesor!H$4&lt;0.002,0.002,I82*Espesor!E$4/Espesor!H$4)))</f>
        <v/>
      </c>
      <c r="K82" s="517" t="str">
        <f>IF(G82="","",IF(G82&lt;=0,"------",ROUND(J82*(H82-Espesor!L$4)*100,2)))</f>
        <v/>
      </c>
      <c r="L82" s="508">
        <f>IF(A82="",0,LOOKUP(D82,'M+'!$A$4:$A$71,'M+'!$N$4:$N$71))</f>
        <v>0</v>
      </c>
      <c r="M82" s="508">
        <f>IF(A82="",0,LOOKUP(F82,'M+'!$A$4:$A$71,'M+'!$N$4:$N$71))</f>
        <v>0</v>
      </c>
      <c r="N82" s="517" t="str">
        <f t="shared" si="49"/>
        <v/>
      </c>
      <c r="O82" s="512" t="str">
        <f t="shared" si="50"/>
        <v/>
      </c>
      <c r="P82" s="501">
        <f t="shared" si="57"/>
        <v>0</v>
      </c>
      <c r="Q82" s="234" t="e">
        <f t="shared" si="58"/>
        <v>#VALUE!</v>
      </c>
      <c r="R82" s="234" t="e">
        <f t="shared" si="59"/>
        <v>#VALUE!</v>
      </c>
      <c r="S82" s="234" t="e">
        <f t="shared" si="60"/>
        <v>#VALUE!</v>
      </c>
      <c r="T82" s="235" t="e">
        <f t="shared" si="61"/>
        <v>#VALUE!</v>
      </c>
    </row>
    <row r="83" spans="1:22" ht="18" hidden="1" customHeight="1">
      <c r="A83" s="504" t="str">
        <f>IF(F83=0,"",IF(A82="",IF(V$2&gt;=MAX(A$5:A82)+1,MAX(A$5:A82)+1,""),A82+1))</f>
        <v/>
      </c>
      <c r="B83" s="505" t="str">
        <f t="shared" si="56"/>
        <v/>
      </c>
      <c r="C83" s="515" t="str">
        <f>IF(A83="","",IF(Espesor!$J$3="Techo","Lt-","Le-"))</f>
        <v/>
      </c>
      <c r="D83" s="516">
        <f>+Compesaciones!H11</f>
        <v>0</v>
      </c>
      <c r="E83" s="515" t="str">
        <f>IF(A83="","",IF(Espesor!$J$3="Techo","Lt-","Le-"))</f>
        <v/>
      </c>
      <c r="F83" s="516">
        <f>+Compesaciones!I11</f>
        <v>0</v>
      </c>
      <c r="G83" s="508" t="str">
        <f>IF(A83="","",Compesaciones!V194)</f>
        <v/>
      </c>
      <c r="H83" s="509" t="str">
        <f>IF(F83=0,"",MAX(LOOKUP(D83,Espesor!C$8:C$41,Espesor!O$8:O$41),LOOKUP(F83,Espesor!C$8:C$41,Espesor!O$8:O$41)))</f>
        <v/>
      </c>
      <c r="I83" s="510" t="str">
        <f>IF(G83="","",IF(G83&lt;=0,"",0.848-SQRT(0.719-G83/(0.53*100*(H83-Espesor!L$4)^2*Espesor!E$4))))</f>
        <v/>
      </c>
      <c r="J83" s="510" t="str">
        <f>IF(G83="","",IF(G83&lt;=0,"",IF(I83*Espesor!E$4/Espesor!H$4&lt;0.002,0.002,I83*Espesor!E$4/Espesor!H$4)))</f>
        <v/>
      </c>
      <c r="K83" s="517" t="str">
        <f>IF(G83="","",IF(G83&lt;=0,"------",ROUND(J83*(H83-Espesor!L$4)*100,2)))</f>
        <v/>
      </c>
      <c r="L83" s="508">
        <f>IF(A83="",0,LOOKUP(D83,'M+'!$A$4:$A$71,'M+'!$N$4:$N$71))</f>
        <v>0</v>
      </c>
      <c r="M83" s="508">
        <f>IF(A83="",0,LOOKUP(F83,'M+'!$A$4:$A$71,'M+'!$N$4:$N$71))</f>
        <v>0</v>
      </c>
      <c r="N83" s="517" t="str">
        <f t="shared" si="49"/>
        <v/>
      </c>
      <c r="O83" s="512" t="str">
        <f t="shared" si="50"/>
        <v/>
      </c>
      <c r="P83" s="501">
        <f t="shared" si="57"/>
        <v>0</v>
      </c>
      <c r="Q83" s="234" t="e">
        <f t="shared" si="58"/>
        <v>#VALUE!</v>
      </c>
      <c r="R83" s="234" t="e">
        <f t="shared" si="59"/>
        <v>#VALUE!</v>
      </c>
      <c r="S83" s="234" t="e">
        <f t="shared" si="60"/>
        <v>#VALUE!</v>
      </c>
      <c r="T83" s="235" t="e">
        <f t="shared" si="61"/>
        <v>#VALUE!</v>
      </c>
    </row>
    <row r="84" spans="1:22" ht="18" hidden="1" customHeight="1">
      <c r="A84" s="504" t="str">
        <f>IF(F84=0,"",IF(A83="",IF(V$2&gt;=MAX(A$5:A83)+1,MAX(A$5:A83)+1,""),A83+1))</f>
        <v/>
      </c>
      <c r="B84" s="505" t="str">
        <f t="shared" si="56"/>
        <v/>
      </c>
      <c r="C84" s="515" t="str">
        <f>IF(A84="","",IF(Espesor!$J$3="Techo","Lt-","Le-"))</f>
        <v/>
      </c>
      <c r="D84" s="516">
        <f>+Compesaciones!I11</f>
        <v>0</v>
      </c>
      <c r="E84" s="515" t="str">
        <f>IF(A84="","",IF(Espesor!$J$3="Techo","Lt-","Le-"))</f>
        <v/>
      </c>
      <c r="F84" s="516">
        <f>+Compesaciones!J11</f>
        <v>0</v>
      </c>
      <c r="G84" s="508" t="str">
        <f>IF(A84="","",Compesaciones!Y194)</f>
        <v/>
      </c>
      <c r="H84" s="509" t="str">
        <f>IF(F84=0,"",MAX(LOOKUP(D84,Espesor!C$8:C$41,Espesor!O$8:O$41),LOOKUP(F84,Espesor!C$8:C$41,Espesor!O$8:O$41)))</f>
        <v/>
      </c>
      <c r="I84" s="510" t="str">
        <f>IF(G84="","",IF(G84&lt;=0,"",0.848-SQRT(0.719-G84/(0.53*100*(H84-Espesor!L$4)^2*Espesor!E$4))))</f>
        <v/>
      </c>
      <c r="J84" s="510" t="str">
        <f>IF(G84="","",IF(G84&lt;=0,"",IF(I84*Espesor!E$4/Espesor!H$4&lt;0.002,0.002,I84*Espesor!E$4/Espesor!H$4)))</f>
        <v/>
      </c>
      <c r="K84" s="517" t="str">
        <f>IF(G84="","",IF(G84&lt;=0,"------",ROUND(J84*(H84-Espesor!L$4)*100,2)))</f>
        <v/>
      </c>
      <c r="L84" s="508">
        <f>IF(A84="",0,LOOKUP(D84,'M+'!$A$4:$A$71,'M+'!$N$4:$N$71))</f>
        <v>0</v>
      </c>
      <c r="M84" s="508">
        <f>IF(A84="",0,LOOKUP(F84,'M+'!$A$4:$A$71,'M+'!$N$4:$N$71))</f>
        <v>0</v>
      </c>
      <c r="N84" s="517" t="str">
        <f t="shared" si="49"/>
        <v/>
      </c>
      <c r="O84" s="512" t="str">
        <f t="shared" si="50"/>
        <v/>
      </c>
      <c r="P84" s="501">
        <f t="shared" si="57"/>
        <v>0</v>
      </c>
      <c r="Q84" s="234" t="e">
        <f t="shared" si="58"/>
        <v>#VALUE!</v>
      </c>
      <c r="R84" s="234" t="e">
        <f t="shared" si="59"/>
        <v>#VALUE!</v>
      </c>
      <c r="S84" s="234" t="e">
        <f t="shared" si="60"/>
        <v>#VALUE!</v>
      </c>
      <c r="T84" s="235" t="e">
        <f t="shared" si="61"/>
        <v>#VALUE!</v>
      </c>
    </row>
    <row r="85" spans="1:22" ht="18" hidden="1" customHeight="1" thickBot="1">
      <c r="A85" s="504" t="str">
        <f>IF(F85=0,"",IF(A84="",IF(V$2&gt;=MAX(A77:A84)+1,MAX(A77:A84)+1,""),A84+1))</f>
        <v/>
      </c>
      <c r="B85" s="505"/>
      <c r="C85" s="515"/>
      <c r="D85" s="516"/>
      <c r="E85" s="515"/>
      <c r="F85" s="516"/>
      <c r="G85" s="508"/>
      <c r="H85" s="509"/>
      <c r="I85" s="510"/>
      <c r="J85" s="510"/>
      <c r="K85" s="517"/>
      <c r="L85" s="508"/>
      <c r="M85" s="508"/>
      <c r="N85" s="517"/>
      <c r="O85" s="512"/>
      <c r="P85" s="521"/>
      <c r="Q85" s="522"/>
      <c r="R85" s="522"/>
      <c r="S85" s="522"/>
      <c r="T85" s="523"/>
    </row>
    <row r="86" spans="1:22" s="417" customFormat="1" ht="18" customHeight="1">
      <c r="A86" s="504"/>
      <c r="B86" s="505"/>
      <c r="C86" s="515"/>
      <c r="D86" s="516"/>
      <c r="E86" s="515"/>
      <c r="F86" s="516"/>
      <c r="G86" s="524"/>
      <c r="H86" s="509"/>
      <c r="I86" s="510"/>
      <c r="J86" s="510"/>
      <c r="K86" s="517"/>
      <c r="L86" s="508"/>
      <c r="M86" s="508"/>
      <c r="N86" s="511"/>
      <c r="O86" s="512"/>
      <c r="P86" s="508"/>
      <c r="Q86" s="508"/>
      <c r="R86" s="508"/>
      <c r="S86" s="508"/>
      <c r="T86" s="508"/>
    </row>
    <row r="87" spans="1:22" ht="18" customHeight="1" thickBot="1">
      <c r="A87" s="270" t="s">
        <v>87</v>
      </c>
      <c r="B87" s="270"/>
      <c r="C87" s="270"/>
      <c r="D87" s="270"/>
      <c r="E87" s="270"/>
      <c r="F87" s="270"/>
      <c r="G87" s="270"/>
      <c r="H87" s="270"/>
      <c r="I87" s="270"/>
      <c r="J87" s="270"/>
      <c r="K87" s="500"/>
      <c r="L87" s="500"/>
      <c r="M87" s="500"/>
      <c r="N87" s="500"/>
      <c r="V87" s="237">
        <v>80</v>
      </c>
    </row>
    <row r="88" spans="1:22" s="231" customFormat="1" ht="18" customHeight="1" thickTop="1" thickBot="1">
      <c r="A88" s="716" t="s">
        <v>73</v>
      </c>
      <c r="B88" s="717"/>
      <c r="C88" s="733"/>
      <c r="D88" s="733"/>
      <c r="E88" s="717"/>
      <c r="F88" s="718"/>
      <c r="G88" s="719" t="s">
        <v>51</v>
      </c>
      <c r="H88" s="719" t="s">
        <v>85</v>
      </c>
      <c r="I88" s="721" t="s">
        <v>69</v>
      </c>
      <c r="J88" s="721" t="s">
        <v>70</v>
      </c>
      <c r="K88" s="726" t="s">
        <v>74</v>
      </c>
      <c r="L88" s="717"/>
      <c r="M88" s="718"/>
      <c r="N88" s="727" t="s">
        <v>75</v>
      </c>
      <c r="O88" s="728"/>
      <c r="P88" s="724"/>
      <c r="Q88" s="724"/>
      <c r="R88" s="724"/>
      <c r="S88" s="724"/>
      <c r="T88" s="724"/>
    </row>
    <row r="89" spans="1:22" s="231" customFormat="1" ht="18" customHeight="1" thickTop="1" thickBot="1">
      <c r="A89" s="232" t="s">
        <v>9</v>
      </c>
      <c r="B89" s="346" t="s">
        <v>161</v>
      </c>
      <c r="C89" s="731" t="str">
        <f>+C4</f>
        <v>Losa izq.</v>
      </c>
      <c r="D89" s="732"/>
      <c r="E89" s="731" t="str">
        <f>+E4</f>
        <v>Losa der.</v>
      </c>
      <c r="F89" s="732"/>
      <c r="G89" s="720"/>
      <c r="H89" s="720"/>
      <c r="I89" s="734"/>
      <c r="J89" s="734"/>
      <c r="K89" s="513" t="s">
        <v>76</v>
      </c>
      <c r="L89" s="514" t="s">
        <v>119</v>
      </c>
      <c r="M89" s="514" t="s">
        <v>120</v>
      </c>
      <c r="N89" s="729"/>
      <c r="O89" s="730"/>
      <c r="P89" s="725"/>
      <c r="Q89" s="724"/>
      <c r="R89" s="724"/>
      <c r="S89" s="724"/>
      <c r="T89" s="724"/>
    </row>
    <row r="90" spans="1:22" s="233" customFormat="1" ht="18" customHeight="1" thickTop="1">
      <c r="A90" s="357">
        <f>+IF(V$87&gt;=1,1,"")</f>
        <v>1</v>
      </c>
      <c r="B90" s="358" t="str">
        <f>+IF(A90="","","y")</f>
        <v>y</v>
      </c>
      <c r="C90" s="502" t="str">
        <f>IF(A90="","",IF(Espesor!$J$3="Techo","Lt-","Le-"))</f>
        <v>Lt-</v>
      </c>
      <c r="D90" s="503">
        <f>+Compesaciones!B13</f>
        <v>1</v>
      </c>
      <c r="E90" s="502" t="str">
        <f>IF(A90="","",IF(Espesor!$J$3="Techo","LT-","LE-"))</f>
        <v>LT-</v>
      </c>
      <c r="F90" s="503">
        <f>+Compesaciones!C13</f>
        <v>3</v>
      </c>
      <c r="G90" s="359">
        <f>IF(A90="","",Compesaciones!D212)</f>
        <v>146551.91999999998</v>
      </c>
      <c r="H90" s="509">
        <f>IF(F90=0,"",MAX(LOOKUP(D90,Espesor!C$8:C$41,Espesor!O$8:O$41),LOOKUP(F90,Espesor!C$8:C$41,Espesor!O$8:O$41)))</f>
        <v>16</v>
      </c>
      <c r="I90" s="510">
        <f>IF(G90="","",IF(G90&lt;=0," ",0.848-SQRT(0.719-G90/(0.53*100*(H90-Espesor!L$4)^2*Espesor!E$4))))</f>
        <v>3.103216015193988E-2</v>
      </c>
      <c r="J90" s="510">
        <f>IF(G90="","",IF(G90&lt;=0," ",IF(I90*Espesor!E$4/Espesor!H$4&lt;0.002,0.002,I90*Espesor!E$4/Espesor!H$4)))</f>
        <v>2.3274120113954909E-3</v>
      </c>
      <c r="K90" s="511">
        <f>IF(G90="","",IF(G90&lt;=0,"------",ROUND(J90*(H90-Espesor!L$4)*100,2)))</f>
        <v>3.72</v>
      </c>
      <c r="L90" s="508">
        <f>IF(A90="",0,LOOKUP(D90,'M+'!$A$4:$A$71,'M+'!$N$4:$N$71))</f>
        <v>0</v>
      </c>
      <c r="M90" s="508">
        <f>IF(A90="",0,LOOKUP(F90,'M+'!$A$4:$A$71,'M+'!$N$4:$N$71))</f>
        <v>3.2272727272727271</v>
      </c>
      <c r="N90" s="517" t="str">
        <f>IF(G90="","",IF(G90=0,"",IF(P90&gt;=K90,"------",IF(O90=Q90,"3/8   a",IF(O90=R90,"1/2   a",IF(O90=S90,"3/4   a","1   a"))))))</f>
        <v>3/8   a</v>
      </c>
      <c r="O90" s="512">
        <f>IF(G90="","",IF(G90=0,"    ",IF(K90=P90,"------",IF(Q90&lt;0.1,IF(R90&lt;0.1,IF(S90&lt;0.1,T90,S90),R90),Q90))))</f>
        <v>0.33</v>
      </c>
      <c r="P90" s="501">
        <f t="shared" ref="P90" si="62">IF(G90=0,0,IF(L90="------","",IF((L90+M90)/2&lt;0,0,(L90+M90)/2)))</f>
        <v>1.6136363636363635</v>
      </c>
      <c r="Q90" s="234">
        <f t="shared" ref="Q90" si="63">IF(G90&lt;=0,"",IF(P90="","",IF(ROUNDDOWN(0.71/(K90-P90),2)&lt;0,"------",IF(ROUNDDOWN(0.71/(K90-P90),2)&gt;1,1,ROUNDDOWN(0.71/(K90-P90),2)))))</f>
        <v>0.33</v>
      </c>
      <c r="R90" s="234">
        <f t="shared" ref="R90" si="64">IF(G90&lt;=0,"",IF(P90="","",IF(ROUNDDOWN(1.27/(K90-P90),2)&lt;0,"------",ROUNDDOWN(1.27/(K90-P90),2))))</f>
        <v>0.6</v>
      </c>
      <c r="S90" s="234">
        <f t="shared" ref="S90" si="65">IF(G90&lt;=0,"",IF(P90="","",IF(ROUNDDOWN(2.85/(K90-P90),2)&lt;0,"------",ROUNDDOWN(2.85/(K90-P90),2))))</f>
        <v>1.35</v>
      </c>
      <c r="T90" s="235">
        <f t="shared" ref="T90" si="66">IF(G90&lt;=0,"",IF(P90="","",IF(ROUNDDOWN(5.07/(K90-P90),2)&lt;0,"------",ROUNDDOWN(5.07/(K90-P90),2))))</f>
        <v>2.4</v>
      </c>
    </row>
    <row r="91" spans="1:22" s="236" customFormat="1" ht="18" hidden="1" customHeight="1">
      <c r="A91" s="504" t="str">
        <f>IF(F91=0,"",IF(A90="",IF(V$2&gt;=MAX(A$90:A90)+1,MAX(A$90:A90)+1,""),A90+1))</f>
        <v/>
      </c>
      <c r="B91" s="505" t="str">
        <f t="shared" ref="B91:B101" si="67">+IF(A91="","","y")</f>
        <v/>
      </c>
      <c r="C91" s="506" t="str">
        <f>IF(A91="","",IF(Espesor!$J$3="Techo","Lt-","Le-"))</f>
        <v/>
      </c>
      <c r="D91" s="507">
        <f>+Compesaciones!C13</f>
        <v>3</v>
      </c>
      <c r="E91" s="506" t="str">
        <f>IF(A91="","",IF(Espesor!$J$3="Techo","LT-","LE-"))</f>
        <v/>
      </c>
      <c r="F91" s="507">
        <f>+Compesaciones!D13</f>
        <v>0</v>
      </c>
      <c r="G91" s="508" t="str">
        <f>IF(A91="","",Compesaciones!G212)</f>
        <v/>
      </c>
      <c r="H91" s="509" t="str">
        <f>IF(F91=0,"",MAX(LOOKUP(D91,Espesor!C$8:C$41,Espesor!O$8:O$41),LOOKUP(F91,Espesor!C$8:C$41,Espesor!O$8:O$41)))</f>
        <v/>
      </c>
      <c r="I91" s="510" t="str">
        <f>IF(G91="","",IF(G91&lt;=0," ",0.848-SQRT(0.719-G91/(0.53*100*(H91-Espesor!L$4)^2*Espesor!E$4))))</f>
        <v/>
      </c>
      <c r="J91" s="510" t="str">
        <f>IF(G91="","",IF(G91&lt;=0," ",IF(I91*Espesor!E$4/Espesor!H$4&lt;0.002,0.002,I91*Espesor!E$4/Espesor!H$4)))</f>
        <v/>
      </c>
      <c r="K91" s="511" t="str">
        <f>IF(G91="","",IF(G91&lt;=0,"------",ROUND(J91*(H91-Espesor!L$4)*100,2)))</f>
        <v/>
      </c>
      <c r="L91" s="508">
        <f>IF(A91="",0,LOOKUP(D91,'M+'!$A$4:$A$71,'M+'!$N$4:$N$71))</f>
        <v>0</v>
      </c>
      <c r="M91" s="508">
        <f>IF(A91="",0,LOOKUP(F91,'M+'!$A$4:$A$71,'M+'!$N$4:$N$71))</f>
        <v>0</v>
      </c>
      <c r="N91" s="517" t="str">
        <f t="shared" ref="N91:N97" si="68">IF(G91="","",IF(G91=0,"",IF(P91&gt;=K91,"------",IF(O91=Q91,"3/8   a",IF(O91=R91,"1/2   a",IF(O91=S91,"3/4   a","1   a"))))))</f>
        <v/>
      </c>
      <c r="O91" s="512" t="str">
        <f t="shared" ref="O91:O97" si="69">IF(G91="","",IF(G91=0,"    ",IF(K91=P91,"------",IF(Q91&lt;0.1,IF(R91&lt;0.1,IF(S91&lt;0.1,T91,S91),R91),Q91))))</f>
        <v/>
      </c>
      <c r="P91" s="501">
        <f t="shared" ref="P91:P105" si="70">IF(G91=0,0,IF(L91="------","",IF((L91+M91)/2&lt;0,0,(L91+M91)/2)))</f>
        <v>0</v>
      </c>
      <c r="Q91" s="234" t="e">
        <f t="shared" ref="Q91:Q105" si="71">IF(G91&lt;=0,"",IF(P91="","",IF(ROUNDDOWN(0.71/(K91-P91),2)&lt;0,"------",IF(ROUNDDOWN(0.71/(K91-P91),2)&gt;1,1,ROUNDDOWN(0.71/(K91-P91),2)))))</f>
        <v>#VALUE!</v>
      </c>
      <c r="R91" s="234" t="e">
        <f t="shared" ref="R91:R105" si="72">IF(G91&lt;=0,"",IF(P91="","",IF(ROUNDDOWN(1.27/(K91-P91),2)&lt;0,"------",ROUNDDOWN(1.27/(K91-P91),2))))</f>
        <v>#VALUE!</v>
      </c>
      <c r="S91" s="234" t="e">
        <f t="shared" ref="S91:S105" si="73">IF(G91&lt;=0,"",IF(P91="","",IF(ROUNDDOWN(2.85/(K91-P91),2)&lt;0,"------",ROUNDDOWN(2.85/(K91-P91),2))))</f>
        <v>#VALUE!</v>
      </c>
      <c r="T91" s="235" t="e">
        <f t="shared" ref="T91:T105" si="74">IF(G91&lt;=0,"",IF(P91="","",IF(ROUNDDOWN(5.07/(K91-P91),2)&lt;0,"------",ROUNDDOWN(5.07/(K91-P91),2))))</f>
        <v>#VALUE!</v>
      </c>
    </row>
    <row r="92" spans="1:22" s="231" customFormat="1" ht="18" hidden="1" customHeight="1">
      <c r="A92" s="504" t="str">
        <f>IF(F92=0,"",IF(A91="",IF(V$2&gt;=MAX(A$90:A91)+1,MAX(A$90:A91)+1,""),A91+1))</f>
        <v/>
      </c>
      <c r="B92" s="505" t="str">
        <f t="shared" si="67"/>
        <v/>
      </c>
      <c r="C92" s="506" t="str">
        <f>IF(A92="","",IF(Espesor!$J$3="Techo","Lt-","Le-"))</f>
        <v/>
      </c>
      <c r="D92" s="507">
        <f>+Compesaciones!D13</f>
        <v>0</v>
      </c>
      <c r="E92" s="506" t="str">
        <f>IF(A92="","",IF(Espesor!$J$3="Techo","LT-","LE-"))</f>
        <v/>
      </c>
      <c r="F92" s="507">
        <f>+Compesaciones!E13</f>
        <v>0</v>
      </c>
      <c r="G92" s="508" t="str">
        <f>IF(A92="","",Compesaciones!J212)</f>
        <v/>
      </c>
      <c r="H92" s="509" t="str">
        <f>IF(F92=0,"",MAX(LOOKUP(D92,Espesor!C$8:C$41,Espesor!O$8:O$41),LOOKUP(F92,Espesor!C$8:C$41,Espesor!O$8:O$41)))</f>
        <v/>
      </c>
      <c r="I92" s="510" t="str">
        <f>IF(G92="","",IF(G92&lt;=0," ",0.848-SQRT(0.719-G92/(0.53*100*(H92-Espesor!L$4)^2*Espesor!E$4))))</f>
        <v/>
      </c>
      <c r="J92" s="510" t="str">
        <f>IF(G92="","",IF(G92&lt;=0," ",IF(I92*Espesor!E$4/Espesor!H$4&lt;0.002,0.002,I92*Espesor!E$4/Espesor!H$4)))</f>
        <v/>
      </c>
      <c r="K92" s="511" t="str">
        <f>IF(G92="","",IF(G92&lt;=0,"------",ROUND(J92*(H92-Espesor!L$4)*100,2)))</f>
        <v/>
      </c>
      <c r="L92" s="508">
        <f>IF(A92="",0,LOOKUP(D92,'M+'!$A$4:$A$71,'M+'!$N$4:$N$71))</f>
        <v>0</v>
      </c>
      <c r="M92" s="508">
        <f>IF(A92="",0,LOOKUP(F92,'M+'!$A$4:$A$71,'M+'!$N$4:$N$71))</f>
        <v>0</v>
      </c>
      <c r="N92" s="517" t="str">
        <f t="shared" si="68"/>
        <v/>
      </c>
      <c r="O92" s="512" t="str">
        <f t="shared" si="69"/>
        <v/>
      </c>
      <c r="P92" s="501">
        <f t="shared" si="70"/>
        <v>0</v>
      </c>
      <c r="Q92" s="234" t="e">
        <f t="shared" si="71"/>
        <v>#VALUE!</v>
      </c>
      <c r="R92" s="234" t="e">
        <f t="shared" si="72"/>
        <v>#VALUE!</v>
      </c>
      <c r="S92" s="234" t="e">
        <f t="shared" si="73"/>
        <v>#VALUE!</v>
      </c>
      <c r="T92" s="235" t="e">
        <f t="shared" si="74"/>
        <v>#VALUE!</v>
      </c>
    </row>
    <row r="93" spans="1:22" s="231" customFormat="1" ht="18" hidden="1" customHeight="1">
      <c r="A93" s="504" t="str">
        <f>IF(F93=0,"",IF(A92="",IF(V$2&gt;=MAX(A$90:A92)+1,MAX(A$90:A92)+1,""),A92+1))</f>
        <v/>
      </c>
      <c r="B93" s="505" t="str">
        <f t="shared" si="67"/>
        <v/>
      </c>
      <c r="C93" s="506" t="str">
        <f>IF(A93="","",IF(Espesor!$J$3="Techo","Lt-","Le-"))</f>
        <v/>
      </c>
      <c r="D93" s="507">
        <f>+Compesaciones!E13</f>
        <v>0</v>
      </c>
      <c r="E93" s="506" t="str">
        <f>IF(A93="","",IF(Espesor!$J$3="Techo","LT-","LE-"))</f>
        <v/>
      </c>
      <c r="F93" s="507">
        <f>+Compesaciones!F13</f>
        <v>0</v>
      </c>
      <c r="G93" s="508" t="str">
        <f>IF(A93="","",Compesaciones!M212)</f>
        <v/>
      </c>
      <c r="H93" s="509" t="str">
        <f>IF(F93=0,"",MAX(LOOKUP(D93,Espesor!C$8:C$41,Espesor!O$8:O$41),LOOKUP(F93,Espesor!C$8:C$41,Espesor!O$8:O$41)))</f>
        <v/>
      </c>
      <c r="I93" s="510" t="str">
        <f>IF(G93="","",IF(G93&lt;=0," ",0.848-SQRT(0.719-G93/(0.53*100*(H93-Espesor!L$4)^2*Espesor!E$4))))</f>
        <v/>
      </c>
      <c r="J93" s="510" t="str">
        <f>IF(G93="","",IF(G93&lt;=0," ",IF(I93*Espesor!E$4/Espesor!H$4&lt;0.002,0.002,I93*Espesor!E$4/Espesor!H$4)))</f>
        <v/>
      </c>
      <c r="K93" s="511" t="str">
        <f>IF(G93="","",IF(G93&lt;=0,"------",ROUND(J93*(H93-Espesor!L$4)*100,2)))</f>
        <v/>
      </c>
      <c r="L93" s="508">
        <f>IF(A93="",0,LOOKUP(D93,'M+'!$A$4:$A$71,'M+'!$N$4:$N$71))</f>
        <v>0</v>
      </c>
      <c r="M93" s="508">
        <f>IF(A93="",0,LOOKUP(F93,'M+'!$A$4:$A$71,'M+'!$N$4:$N$71))</f>
        <v>0</v>
      </c>
      <c r="N93" s="517" t="str">
        <f t="shared" si="68"/>
        <v/>
      </c>
      <c r="O93" s="512" t="str">
        <f t="shared" si="69"/>
        <v/>
      </c>
      <c r="P93" s="501">
        <f t="shared" si="70"/>
        <v>0</v>
      </c>
      <c r="Q93" s="234" t="e">
        <f t="shared" si="71"/>
        <v>#VALUE!</v>
      </c>
      <c r="R93" s="234" t="e">
        <f t="shared" si="72"/>
        <v>#VALUE!</v>
      </c>
      <c r="S93" s="234" t="e">
        <f t="shared" si="73"/>
        <v>#VALUE!</v>
      </c>
      <c r="T93" s="235" t="e">
        <f t="shared" si="74"/>
        <v>#VALUE!</v>
      </c>
    </row>
    <row r="94" spans="1:22" ht="18" hidden="1" customHeight="1">
      <c r="A94" s="504" t="str">
        <f>IF(F94=0,"",IF(A93="",IF(V$2&gt;=MAX(A$90:A93)+1,MAX(A$90:A93)+1,""),A93+1))</f>
        <v/>
      </c>
      <c r="B94" s="505" t="str">
        <f t="shared" si="67"/>
        <v/>
      </c>
      <c r="C94" s="506" t="str">
        <f>IF(A94="","",IF(Espesor!$J$3="Techo","Lt-","Le-"))</f>
        <v/>
      </c>
      <c r="D94" s="507">
        <f>+Compesaciones!F13</f>
        <v>0</v>
      </c>
      <c r="E94" s="506" t="str">
        <f>IF(A94="","",IF(Espesor!$J$3="Techo","LT-","LE-"))</f>
        <v/>
      </c>
      <c r="F94" s="507">
        <f>+Compesaciones!G13</f>
        <v>0</v>
      </c>
      <c r="G94" s="508" t="str">
        <f>IF(A94="","",Compesaciones!P212)</f>
        <v/>
      </c>
      <c r="H94" s="509" t="str">
        <f>IF(F94=0,"",MAX(LOOKUP(D94,Espesor!C$8:C$41,Espesor!O$8:O$41),LOOKUP(F94,Espesor!C$8:C$41,Espesor!O$8:O$41)))</f>
        <v/>
      </c>
      <c r="I94" s="510" t="str">
        <f>IF(G94="","",IF(G94&lt;=0," ",0.848-SQRT(0.719-G94/(0.53*100*(H94-Espesor!L$4)^2*Espesor!E$4))))</f>
        <v/>
      </c>
      <c r="J94" s="510" t="str">
        <f>IF(G94="","",IF(G94&lt;=0," ",IF(I94*Espesor!E$4/Espesor!H$4&lt;0.002,0.002,I94*Espesor!E$4/Espesor!H$4)))</f>
        <v/>
      </c>
      <c r="K94" s="511" t="str">
        <f>IF(G94="","",IF(G94&lt;=0,"------",ROUND(J94*(H94-Espesor!L$4)*100,2)))</f>
        <v/>
      </c>
      <c r="L94" s="508">
        <f>IF(A94="",0,LOOKUP(D94,'M+'!$A$4:$A$71,'M+'!$N$4:$N$71))</f>
        <v>0</v>
      </c>
      <c r="M94" s="508">
        <f>IF(A94="",0,LOOKUP(F94,'M+'!$A$4:$A$71,'M+'!$N$4:$N$71))</f>
        <v>0</v>
      </c>
      <c r="N94" s="517" t="str">
        <f t="shared" si="68"/>
        <v/>
      </c>
      <c r="O94" s="512" t="str">
        <f t="shared" si="69"/>
        <v/>
      </c>
      <c r="P94" s="501">
        <f t="shared" si="70"/>
        <v>0</v>
      </c>
      <c r="Q94" s="234" t="e">
        <f t="shared" si="71"/>
        <v>#VALUE!</v>
      </c>
      <c r="R94" s="234" t="e">
        <f t="shared" si="72"/>
        <v>#VALUE!</v>
      </c>
      <c r="S94" s="234" t="e">
        <f t="shared" si="73"/>
        <v>#VALUE!</v>
      </c>
      <c r="T94" s="235" t="e">
        <f t="shared" si="74"/>
        <v>#VALUE!</v>
      </c>
    </row>
    <row r="95" spans="1:22" ht="18" hidden="1" customHeight="1">
      <c r="A95" s="504" t="str">
        <f>IF(F95=0,"",IF(A94="",IF(V$2&gt;=MAX(A$90:A94)+1,MAX(A$90:A94)+1,""),A94+1))</f>
        <v/>
      </c>
      <c r="B95" s="505" t="str">
        <f t="shared" si="67"/>
        <v/>
      </c>
      <c r="C95" s="506" t="str">
        <f>IF(A95="","",IF(Espesor!$J$3="Techo","Lt-","Le-"))</f>
        <v/>
      </c>
      <c r="D95" s="507">
        <f>+Compesaciones!G13</f>
        <v>0</v>
      </c>
      <c r="E95" s="506" t="str">
        <f>IF(A95="","",IF(Espesor!$J$3="Techo","LT-","LE-"))</f>
        <v/>
      </c>
      <c r="F95" s="507">
        <f>+Compesaciones!H13</f>
        <v>0</v>
      </c>
      <c r="G95" s="508" t="str">
        <f>IF(A95="","",Compesaciones!S212)</f>
        <v/>
      </c>
      <c r="H95" s="509" t="str">
        <f>IF(F95=0,"",MAX(LOOKUP(D95,Espesor!C$8:C$41,Espesor!O$8:O$41),LOOKUP(F95,Espesor!C$8:C$41,Espesor!O$8:O$41)))</f>
        <v/>
      </c>
      <c r="I95" s="510" t="str">
        <f>IF(G95="","",IF(G95&lt;=0," ",0.848-SQRT(0.719-G95/(0.53*100*(H95-Espesor!L$4)^2*Espesor!E$4))))</f>
        <v/>
      </c>
      <c r="J95" s="510" t="str">
        <f>IF(G95="","",IF(G95&lt;=0," ",IF(I95*Espesor!E$4/Espesor!H$4&lt;0.002,0.002,I95*Espesor!E$4/Espesor!H$4)))</f>
        <v/>
      </c>
      <c r="K95" s="511" t="str">
        <f>IF(G95="","",IF(G95&lt;=0,"------",ROUND(J95*(H95-Espesor!L$4)*100,2)))</f>
        <v/>
      </c>
      <c r="L95" s="508">
        <f>IF(A95="",0,LOOKUP(D95,'M+'!$A$4:$A$71,'M+'!$N$4:$N$71))</f>
        <v>0</v>
      </c>
      <c r="M95" s="508">
        <f>IF(A95="",0,LOOKUP(F95,'M+'!$A$4:$A$71,'M+'!$N$4:$N$71))</f>
        <v>0</v>
      </c>
      <c r="N95" s="517" t="str">
        <f t="shared" si="68"/>
        <v/>
      </c>
      <c r="O95" s="512" t="str">
        <f t="shared" si="69"/>
        <v/>
      </c>
      <c r="P95" s="501">
        <f t="shared" si="70"/>
        <v>0</v>
      </c>
      <c r="Q95" s="234" t="e">
        <f t="shared" si="71"/>
        <v>#VALUE!</v>
      </c>
      <c r="R95" s="234" t="e">
        <f t="shared" si="72"/>
        <v>#VALUE!</v>
      </c>
      <c r="S95" s="234" t="e">
        <f t="shared" si="73"/>
        <v>#VALUE!</v>
      </c>
      <c r="T95" s="235" t="e">
        <f t="shared" si="74"/>
        <v>#VALUE!</v>
      </c>
    </row>
    <row r="96" spans="1:22" ht="18" hidden="1" customHeight="1">
      <c r="A96" s="504" t="str">
        <f>IF(F96=0,"",IF(A95="",IF(V$2&gt;=MAX(A$90:A95)+1,MAX(A$90:A95)+1,""),A95+1))</f>
        <v/>
      </c>
      <c r="B96" s="505" t="str">
        <f t="shared" si="67"/>
        <v/>
      </c>
      <c r="C96" s="506" t="str">
        <f>IF(A96="","",IF(Espesor!$J$3="Techo","Lt-","Le-"))</f>
        <v/>
      </c>
      <c r="D96" s="507">
        <f>+Compesaciones!H13</f>
        <v>0</v>
      </c>
      <c r="E96" s="506" t="str">
        <f>IF(A96="","",IF(Espesor!$J$3="Techo","LT-","LE-"))</f>
        <v/>
      </c>
      <c r="F96" s="507">
        <f>+Compesaciones!I13</f>
        <v>0</v>
      </c>
      <c r="G96" s="508" t="str">
        <f>IF(A96="","",Compesaciones!V212)</f>
        <v/>
      </c>
      <c r="H96" s="509" t="str">
        <f>IF(F96=0,"",MAX(LOOKUP(D96,Espesor!C$8:C$41,Espesor!O$8:O$41),LOOKUP(F96,Espesor!C$8:C$41,Espesor!O$8:O$41)))</f>
        <v/>
      </c>
      <c r="I96" s="510" t="str">
        <f>IF(G96="","",IF(G96&lt;=0," ",0.848-SQRT(0.719-G96/(0.53*100*(H96-Espesor!L$4)^2*Espesor!E$4))))</f>
        <v/>
      </c>
      <c r="J96" s="510" t="str">
        <f>IF(G96="","",IF(G96&lt;=0," ",IF(I96*Espesor!E$4/Espesor!H$4&lt;0.002,0.002,I96*Espesor!E$4/Espesor!H$4)))</f>
        <v/>
      </c>
      <c r="K96" s="511" t="str">
        <f>IF(G96="","",IF(G96&lt;=0,"------",ROUND(J96*(H96-Espesor!L$4)*100,2)))</f>
        <v/>
      </c>
      <c r="L96" s="508">
        <f>IF(A96="",0,LOOKUP(D96,'M+'!$A$4:$A$71,'M+'!$N$4:$N$71))</f>
        <v>0</v>
      </c>
      <c r="M96" s="508">
        <f>IF(A96="",0,LOOKUP(F96,'M+'!$A$4:$A$71,'M+'!$N$4:$N$71))</f>
        <v>0</v>
      </c>
      <c r="N96" s="517" t="str">
        <f t="shared" si="68"/>
        <v/>
      </c>
      <c r="O96" s="512" t="str">
        <f t="shared" si="69"/>
        <v/>
      </c>
      <c r="P96" s="501">
        <f t="shared" si="70"/>
        <v>0</v>
      </c>
      <c r="Q96" s="234" t="e">
        <f t="shared" si="71"/>
        <v>#VALUE!</v>
      </c>
      <c r="R96" s="234" t="e">
        <f t="shared" si="72"/>
        <v>#VALUE!</v>
      </c>
      <c r="S96" s="234" t="e">
        <f t="shared" si="73"/>
        <v>#VALUE!</v>
      </c>
      <c r="T96" s="235" t="e">
        <f t="shared" si="74"/>
        <v>#VALUE!</v>
      </c>
    </row>
    <row r="97" spans="1:20" ht="18" hidden="1" customHeight="1">
      <c r="A97" s="504" t="str">
        <f>IF(F97=0,"",IF(A96="",IF(V$2&gt;=MAX(A$90:A96)+1,MAX(A$90:A96)+1,""),A96+1))</f>
        <v/>
      </c>
      <c r="B97" s="505" t="str">
        <f t="shared" si="67"/>
        <v/>
      </c>
      <c r="C97" s="506" t="str">
        <f>IF(A97="","",IF(Espesor!$J$3="Techo","Lt-","Le-"))</f>
        <v/>
      </c>
      <c r="D97" s="507">
        <f>+Compesaciones!I13</f>
        <v>0</v>
      </c>
      <c r="E97" s="506" t="str">
        <f>IF(A97="","",IF(Espesor!$J$3="Techo","LT-","LE-"))</f>
        <v/>
      </c>
      <c r="F97" s="507">
        <f>+Compesaciones!J13</f>
        <v>0</v>
      </c>
      <c r="G97" s="508" t="str">
        <f>IF(A97="","",Compesaciones!Y212)</f>
        <v/>
      </c>
      <c r="H97" s="509" t="str">
        <f>IF(F97=0,"",MAX(LOOKUP(D97,Espesor!C$8:C$41,Espesor!O$8:O$41),LOOKUP(F97,Espesor!C$8:C$41,Espesor!O$8:O$41)))</f>
        <v/>
      </c>
      <c r="I97" s="510" t="str">
        <f>IF(G97="","",IF(G97&lt;=0," ",0.848-SQRT(0.719-G97/(0.53*100*(H97-Espesor!L$4)^2*Espesor!E$4))))</f>
        <v/>
      </c>
      <c r="J97" s="510" t="str">
        <f>IF(G97="","",IF(G97&lt;=0," ",IF(I97*Espesor!E$4/Espesor!H$4&lt;0.002,0.002,I97*Espesor!E$4/Espesor!H$4)))</f>
        <v/>
      </c>
      <c r="K97" s="511" t="str">
        <f>IF(G97="","",IF(G97&lt;=0,"------",ROUND(J97*(H97-Espesor!L$4)*100,2)))</f>
        <v/>
      </c>
      <c r="L97" s="508">
        <f>IF(A97="",0,LOOKUP(D97,'M+'!$A$4:$A$71,'M+'!$N$4:$N$71))</f>
        <v>0</v>
      </c>
      <c r="M97" s="508">
        <f>IF(A97="",0,LOOKUP(F97,'M+'!$A$4:$A$71,'M+'!$N$4:$N$71))</f>
        <v>0</v>
      </c>
      <c r="N97" s="517" t="str">
        <f t="shared" si="68"/>
        <v/>
      </c>
      <c r="O97" s="512" t="str">
        <f t="shared" si="69"/>
        <v/>
      </c>
      <c r="P97" s="501">
        <f t="shared" si="70"/>
        <v>0</v>
      </c>
      <c r="Q97" s="234" t="e">
        <f t="shared" si="71"/>
        <v>#VALUE!</v>
      </c>
      <c r="R97" s="234" t="e">
        <f t="shared" si="72"/>
        <v>#VALUE!</v>
      </c>
      <c r="S97" s="234" t="e">
        <f t="shared" si="73"/>
        <v>#VALUE!</v>
      </c>
      <c r="T97" s="235" t="e">
        <f t="shared" si="74"/>
        <v>#VALUE!</v>
      </c>
    </row>
    <row r="98" spans="1:20" ht="18" customHeight="1">
      <c r="A98" s="504">
        <f>IF(F98=0,"",IF(A97="",IF(V$87&gt;=MAX(A$90:A97)+1,MAX(A$90:A97)+1,""),A97+1))</f>
        <v>2</v>
      </c>
      <c r="B98" s="505" t="str">
        <f t="shared" si="67"/>
        <v>y</v>
      </c>
      <c r="C98" s="506" t="str">
        <f>IF(A98="","",IF(Espesor!$J$3="Techo","Lt-","Le-"))</f>
        <v>Lt-</v>
      </c>
      <c r="D98" s="507">
        <f>+Compesaciones!B14</f>
        <v>2</v>
      </c>
      <c r="E98" s="506" t="str">
        <f>IF(A98="","",IF(Espesor!$J$3="Techo","LT-","LE-"))</f>
        <v>LT-</v>
      </c>
      <c r="F98" s="507">
        <f>+Compesaciones!C14</f>
        <v>4</v>
      </c>
      <c r="G98" s="508">
        <f>IF(A98="","",Compesaciones!D230)</f>
        <v>100622.93</v>
      </c>
      <c r="H98" s="509">
        <f>IF(F98=0,"",MAX(LOOKUP(D98,Espesor!C$8:C$41,Espesor!O$8:O$41),LOOKUP(F98,Espesor!C$8:C$41,Espesor!O$8:O$41)))</f>
        <v>14</v>
      </c>
      <c r="I98" s="510">
        <f>IF(G98="","",IF(G98&lt;=0," ",0.848-SQRT(0.719-G98/(0.53*100*(H98-Espesor!L$4)^2*Espesor!E$4))))</f>
        <v>2.7791528901493279E-2</v>
      </c>
      <c r="J98" s="510">
        <f>IF(G98="","",IF(G98&lt;=0," ",IF(I98*Espesor!E$4/Espesor!H$4&lt;0.002,0.002,I98*Espesor!E$4/Espesor!H$4)))</f>
        <v>2.0843646676119961E-3</v>
      </c>
      <c r="K98" s="511">
        <f>IF(G98="","",IF(G98&lt;=0,"------",ROUND(J98*(H98-Espesor!L$4)*100,2)))</f>
        <v>2.91</v>
      </c>
      <c r="L98" s="508">
        <f>IF(A98="",0,LOOKUP(D98,'M+'!$A$4:$A$71,'M+'!$N$4:$N$71))</f>
        <v>0</v>
      </c>
      <c r="M98" s="508">
        <f>IF(A98="",0,LOOKUP(F98,'M+'!$A$4:$A$71,'M+'!$N$4:$N$71))</f>
        <v>2.84</v>
      </c>
      <c r="N98" s="517" t="str">
        <f t="shared" ref="N98:N161" si="75">IF(G98="","",IF(G98=0,"",IF(P98&gt;=K98,"------",IF(O98=Q98,"3/8   a",IF(O98=R98,"1/2   a",IF(O98=S98,"3/4   a","1   a"))))))</f>
        <v>3/8   a</v>
      </c>
      <c r="O98" s="512">
        <f t="shared" ref="O98:O161" si="76">IF(G98="","",IF(G98=0,"    ",IF(K98=P98,"------",IF(Q98&lt;0.1,IF(R98&lt;0.1,IF(S98&lt;0.1,T98,S98),R98),Q98))))</f>
        <v>0.47</v>
      </c>
      <c r="P98" s="501">
        <f t="shared" si="70"/>
        <v>1.42</v>
      </c>
      <c r="Q98" s="234">
        <f t="shared" si="71"/>
        <v>0.47</v>
      </c>
      <c r="R98" s="234">
        <f t="shared" si="72"/>
        <v>0.85</v>
      </c>
      <c r="S98" s="234">
        <f t="shared" si="73"/>
        <v>1.91</v>
      </c>
      <c r="T98" s="235">
        <f t="shared" si="74"/>
        <v>3.4</v>
      </c>
    </row>
    <row r="99" spans="1:20" ht="18" customHeight="1">
      <c r="A99" s="504">
        <f>IF(F99=0,"",IF(A98="",IF(V$87&gt;=MAX(A$90:A98)+1,MAX(A$90:A98)+1,""),A98+1))</f>
        <v>3</v>
      </c>
      <c r="B99" s="505" t="str">
        <f t="shared" si="67"/>
        <v>y</v>
      </c>
      <c r="C99" s="506" t="str">
        <f>IF(A99="","",IF(Espesor!$J$3="Techo","Lt-","Le-"))</f>
        <v>Lt-</v>
      </c>
      <c r="D99" s="507">
        <f>+Compesaciones!C14</f>
        <v>4</v>
      </c>
      <c r="E99" s="506" t="str">
        <f>IF(A99="","",IF(Espesor!$J$3="Techo","LT-","LE-"))</f>
        <v>LT-</v>
      </c>
      <c r="F99" s="507">
        <f>+Compesaciones!D14</f>
        <v>6</v>
      </c>
      <c r="G99" s="508">
        <f>IF(A99="","",Compesaciones!G230)</f>
        <v>65944.069999999992</v>
      </c>
      <c r="H99" s="509">
        <f>IF(F99=0,"",MAX(LOOKUP(D99,Espesor!C$8:C$41,Espesor!O$8:O$41),LOOKUP(F99,Espesor!C$8:C$41,Espesor!O$8:O$41)))</f>
        <v>14</v>
      </c>
      <c r="I99" s="510">
        <f>IF(G99="","",IF(G99&lt;=0," ",0.848-SQRT(0.719-G99/(0.53*100*(H99-Espesor!L$4)^2*Espesor!E$4))))</f>
        <v>1.8129892733477315E-2</v>
      </c>
      <c r="J99" s="510">
        <f>IF(G99="","",IF(G99&lt;=0," ",IF(I99*Espesor!E$4/Espesor!H$4&lt;0.002,0.002,I99*Espesor!E$4/Espesor!H$4)))</f>
        <v>2E-3</v>
      </c>
      <c r="K99" s="511">
        <f>IF(G99="","",IF(G99&lt;=0,"------",ROUND(J99*(H99-Espesor!L$4)*100,2)))</f>
        <v>2.8</v>
      </c>
      <c r="L99" s="508">
        <f>IF(A99="",0,LOOKUP(D99,'M+'!$A$4:$A$71,'M+'!$N$4:$N$71))</f>
        <v>2.84</v>
      </c>
      <c r="M99" s="508">
        <f>IF(A99="",0,LOOKUP(F99,'M+'!$A$4:$A$71,'M+'!$N$4:$N$71))</f>
        <v>0</v>
      </c>
      <c r="N99" s="517" t="str">
        <f t="shared" si="75"/>
        <v>3/8   a</v>
      </c>
      <c r="O99" s="512">
        <f t="shared" si="76"/>
        <v>0.51</v>
      </c>
      <c r="P99" s="501">
        <f t="shared" si="70"/>
        <v>1.42</v>
      </c>
      <c r="Q99" s="234">
        <f t="shared" si="71"/>
        <v>0.51</v>
      </c>
      <c r="R99" s="234">
        <f t="shared" si="72"/>
        <v>0.92</v>
      </c>
      <c r="S99" s="234">
        <f t="shared" si="73"/>
        <v>2.06</v>
      </c>
      <c r="T99" s="235">
        <f t="shared" si="74"/>
        <v>3.67</v>
      </c>
    </row>
    <row r="100" spans="1:20" ht="18" customHeight="1">
      <c r="A100" s="504">
        <f>IF(F100=0,"",IF(A99="",IF(V$87&gt;=MAX(A$90:A99)+1,MAX(A$90:A99)+1,""),A99+1))</f>
        <v>4</v>
      </c>
      <c r="B100" s="505" t="str">
        <f t="shared" si="67"/>
        <v>y</v>
      </c>
      <c r="C100" s="506" t="str">
        <f>IF(A100="","",IF(Espesor!$J$3="Techo","Lt-","Le-"))</f>
        <v>Lt-</v>
      </c>
      <c r="D100" s="507">
        <f>+Compesaciones!D14</f>
        <v>6</v>
      </c>
      <c r="E100" s="506" t="str">
        <f>IF(A100="","",IF(Espesor!$J$3="Techo","LT-","LE-"))</f>
        <v>LT-</v>
      </c>
      <c r="F100" s="507">
        <f>+Compesaciones!E14</f>
        <v>7</v>
      </c>
      <c r="G100" s="508">
        <f>IF(A100="","",Compesaciones!J230)</f>
        <v>192044.75999999998</v>
      </c>
      <c r="H100" s="509">
        <f>IF(F100=0,"",MAX(LOOKUP(D100,Espesor!C$8:C$41,Espesor!O$8:O$41),LOOKUP(F100,Espesor!C$8:C$41,Espesor!O$8:O$41)))</f>
        <v>18</v>
      </c>
      <c r="I100" s="510">
        <f>IF(G100="","",IF(G100&lt;=0," ",0.848-SQRT(0.719-G100/(0.53*100*(H100-Espesor!L$4)^2*Espesor!E$4))))</f>
        <v>3.214080581689116E-2</v>
      </c>
      <c r="J100" s="510">
        <f>IF(G100="","",IF(G100&lt;=0," ",IF(I100*Espesor!E$4/Espesor!H$4&lt;0.002,0.002,I100*Espesor!E$4/Espesor!H$4)))</f>
        <v>2.4105604362668369E-3</v>
      </c>
      <c r="K100" s="511">
        <f>IF(G100="","",IF(G100&lt;=0,"------",ROUND(J100*(H100-Espesor!L$4)*100,2)))</f>
        <v>4.33</v>
      </c>
      <c r="L100" s="508">
        <f>IF(A100="",0,LOOKUP(D100,'M+'!$A$4:$A$71,'M+'!$N$4:$N$71))</f>
        <v>0</v>
      </c>
      <c r="M100" s="508">
        <f>IF(A100="",0,LOOKUP(F100,'M+'!$A$4:$A$71,'M+'!$N$4:$N$71))</f>
        <v>0</v>
      </c>
      <c r="N100" s="517" t="str">
        <f t="shared" si="75"/>
        <v>3/8   a</v>
      </c>
      <c r="O100" s="512">
        <f t="shared" si="76"/>
        <v>0.16</v>
      </c>
      <c r="P100" s="501">
        <f t="shared" si="70"/>
        <v>0</v>
      </c>
      <c r="Q100" s="234">
        <f t="shared" si="71"/>
        <v>0.16</v>
      </c>
      <c r="R100" s="234">
        <f t="shared" si="72"/>
        <v>0.28999999999999998</v>
      </c>
      <c r="S100" s="234">
        <f t="shared" si="73"/>
        <v>0.65</v>
      </c>
      <c r="T100" s="235">
        <f t="shared" si="74"/>
        <v>1.17</v>
      </c>
    </row>
    <row r="101" spans="1:20" ht="18" customHeight="1">
      <c r="A101" s="504" t="str">
        <f>IF(F101=0,"",IF(A100="",IF(V$87&gt;=MAX(A$90:A100)+1,MAX(A$90:A100)+1,""),A100+1))</f>
        <v/>
      </c>
      <c r="B101" s="505" t="str">
        <f t="shared" si="67"/>
        <v/>
      </c>
      <c r="C101" s="506" t="str">
        <f>IF(A101="","",IF(Espesor!$J$3="Techo","Lt-","Le-"))</f>
        <v/>
      </c>
      <c r="D101" s="507">
        <f>+Compesaciones!E14</f>
        <v>7</v>
      </c>
      <c r="E101" s="506" t="str">
        <f>IF(A101="","",IF(Espesor!$J$3="Techo","LT-","LE-"))</f>
        <v/>
      </c>
      <c r="F101" s="507">
        <f>+Compesaciones!F14</f>
        <v>0</v>
      </c>
      <c r="G101" s="508" t="str">
        <f>IF(A101="","",Compesaciones!M230)</f>
        <v/>
      </c>
      <c r="H101" s="509" t="str">
        <f>IF(F101=0,"",MAX(LOOKUP(D101,Espesor!C$8:C$41,Espesor!O$8:O$41),LOOKUP(F101,Espesor!C$8:C$41,Espesor!O$8:O$41)))</f>
        <v/>
      </c>
      <c r="I101" s="510" t="str">
        <f>IF(G101="","",IF(G101&lt;=0," ",0.848-SQRT(0.719-G101/(0.53*100*(H101-Espesor!L$4)^2*Espesor!E$4))))</f>
        <v/>
      </c>
      <c r="J101" s="510" t="str">
        <f>IF(G101="","",IF(G101&lt;=0," ",IF(I101*Espesor!E$4/Espesor!H$4&lt;0.002,0.002,I101*Espesor!E$4/Espesor!H$4)))</f>
        <v/>
      </c>
      <c r="K101" s="511" t="str">
        <f>IF(G101="","",IF(G101&lt;=0,"------",ROUND(J101*(H101-Espesor!L$4)*100,2)))</f>
        <v/>
      </c>
      <c r="L101" s="508">
        <f>IF(A101="",0,LOOKUP(D101,'M+'!$A$4:$A$71,'M+'!$N$4:$N$71))</f>
        <v>0</v>
      </c>
      <c r="M101" s="508">
        <f>IF(A101="",0,LOOKUP(F101,'M+'!$A$4:$A$71,'M+'!$N$4:$N$71))</f>
        <v>0</v>
      </c>
      <c r="N101" s="517" t="str">
        <f t="shared" si="75"/>
        <v/>
      </c>
      <c r="O101" s="512" t="str">
        <f t="shared" si="76"/>
        <v/>
      </c>
      <c r="P101" s="501">
        <f t="shared" si="70"/>
        <v>0</v>
      </c>
      <c r="Q101" s="234" t="e">
        <f t="shared" si="71"/>
        <v>#VALUE!</v>
      </c>
      <c r="R101" s="234" t="e">
        <f t="shared" si="72"/>
        <v>#VALUE!</v>
      </c>
      <c r="S101" s="234" t="e">
        <f t="shared" si="73"/>
        <v>#VALUE!</v>
      </c>
      <c r="T101" s="235" t="e">
        <f t="shared" si="74"/>
        <v>#VALUE!</v>
      </c>
    </row>
    <row r="102" spans="1:20" ht="18" customHeight="1">
      <c r="A102" s="504" t="str">
        <f>IF(F102=0,"",IF(A101="",IF(V$87&gt;=MAX(A$90:A101)+1,MAX(A$90:A101)+1,""),A101+1))</f>
        <v/>
      </c>
      <c r="B102" s="505" t="str">
        <f t="shared" ref="B102:B107" si="77">+IF(A102="","","y")</f>
        <v/>
      </c>
      <c r="C102" s="506" t="str">
        <f>IF(A102="","",IF(Espesor!$J$3="Techo","Lt-","Le-"))</f>
        <v/>
      </c>
      <c r="D102" s="507">
        <f>+Compesaciones!F14</f>
        <v>0</v>
      </c>
      <c r="E102" s="506" t="str">
        <f>IF(A102="","",IF(Espesor!$J$3="Techo","LT-","LE-"))</f>
        <v/>
      </c>
      <c r="F102" s="507">
        <f>+Compesaciones!G14</f>
        <v>0</v>
      </c>
      <c r="G102" s="508" t="str">
        <f>IF(A102="","",Compesaciones!P230)</f>
        <v/>
      </c>
      <c r="H102" s="509" t="str">
        <f>IF(F102=0,"",MAX(LOOKUP(D102,Espesor!C$8:C$41,Espesor!O$8:O$41),LOOKUP(F102,Espesor!C$8:C$41,Espesor!O$8:O$41)))</f>
        <v/>
      </c>
      <c r="I102" s="510" t="str">
        <f>IF(G102="","",IF(G102&lt;=0," ",0.848-SQRT(0.719-G102/(0.53*100*(H102-Espesor!L$4)^2*Espesor!E$4))))</f>
        <v/>
      </c>
      <c r="J102" s="510" t="str">
        <f>IF(G102="","",IF(G102&lt;=0," ",IF(I102*Espesor!E$4/Espesor!H$4&lt;0.002,0.002,I102*Espesor!E$4/Espesor!H$4)))</f>
        <v/>
      </c>
      <c r="K102" s="511" t="str">
        <f>IF(G102="","",IF(G102&lt;=0,"------",ROUND(J102*(H102-Espesor!L$4)*100,2)))</f>
        <v/>
      </c>
      <c r="L102" s="508">
        <f>IF(A102="",0,LOOKUP(D102,'M+'!$A$4:$A$71,'M+'!$N$4:$N$71))</f>
        <v>0</v>
      </c>
      <c r="M102" s="508">
        <f>IF(A102="",0,LOOKUP(F102,'M+'!$A$4:$A$71,'M+'!$N$4:$N$71))</f>
        <v>0</v>
      </c>
      <c r="N102" s="517" t="str">
        <f t="shared" si="75"/>
        <v/>
      </c>
      <c r="O102" s="512" t="str">
        <f t="shared" si="76"/>
        <v/>
      </c>
      <c r="P102" s="501">
        <f t="shared" si="70"/>
        <v>0</v>
      </c>
      <c r="Q102" s="234" t="e">
        <f t="shared" si="71"/>
        <v>#VALUE!</v>
      </c>
      <c r="R102" s="234" t="e">
        <f t="shared" si="72"/>
        <v>#VALUE!</v>
      </c>
      <c r="S102" s="234" t="e">
        <f t="shared" si="73"/>
        <v>#VALUE!</v>
      </c>
      <c r="T102" s="235" t="e">
        <f t="shared" si="74"/>
        <v>#VALUE!</v>
      </c>
    </row>
    <row r="103" spans="1:20" ht="18" customHeight="1">
      <c r="A103" s="504" t="str">
        <f>IF(F103=0,"",IF(A102="",IF(V$87&gt;=MAX(A$90:A102)+1,MAX(A$90:A102)+1,""),A102+1))</f>
        <v/>
      </c>
      <c r="B103" s="505" t="str">
        <f t="shared" si="77"/>
        <v/>
      </c>
      <c r="C103" s="506" t="str">
        <f>IF(A103="","",IF(Espesor!$J$3="Techo","Lt-","Le-"))</f>
        <v/>
      </c>
      <c r="D103" s="507">
        <f>+Compesaciones!G14</f>
        <v>0</v>
      </c>
      <c r="E103" s="506" t="str">
        <f>IF(A103="","",IF(Espesor!$J$3="Techo","LT-","LE-"))</f>
        <v/>
      </c>
      <c r="F103" s="507">
        <f>+Compesaciones!H14</f>
        <v>0</v>
      </c>
      <c r="G103" s="508" t="str">
        <f>IF(A103="","",Compesaciones!S230)</f>
        <v/>
      </c>
      <c r="H103" s="509" t="str">
        <f>IF(F103=0,"",MAX(LOOKUP(D103,Espesor!C$8:C$41,Espesor!O$8:O$41),LOOKUP(F103,Espesor!C$8:C$41,Espesor!O$8:O$41)))</f>
        <v/>
      </c>
      <c r="I103" s="510" t="str">
        <f>IF(G103="","",IF(G103&lt;=0," ",0.848-SQRT(0.719-G103/(0.53*100*(H103-Espesor!L$4)^2*Espesor!E$4))))</f>
        <v/>
      </c>
      <c r="J103" s="510" t="str">
        <f>IF(G103="","",IF(G103&lt;=0," ",IF(I103*Espesor!E$4/Espesor!H$4&lt;0.002,0.002,I103*Espesor!E$4/Espesor!H$4)))</f>
        <v/>
      </c>
      <c r="K103" s="511" t="str">
        <f>IF(G103="","",IF(G103&lt;=0,"------",ROUND(J103*(H103-Espesor!L$4)*100,2)))</f>
        <v/>
      </c>
      <c r="L103" s="508">
        <f>IF(A103="",0,LOOKUP(D103,'M+'!$A$4:$A$71,'M+'!$N$4:$N$71))</f>
        <v>0</v>
      </c>
      <c r="M103" s="508">
        <f>IF(A103="",0,LOOKUP(F103,'M+'!$A$4:$A$71,'M+'!$N$4:$N$71))</f>
        <v>0</v>
      </c>
      <c r="N103" s="517" t="str">
        <f t="shared" si="75"/>
        <v/>
      </c>
      <c r="O103" s="512" t="str">
        <f t="shared" si="76"/>
        <v/>
      </c>
      <c r="P103" s="501">
        <f t="shared" si="70"/>
        <v>0</v>
      </c>
      <c r="Q103" s="234" t="e">
        <f t="shared" si="71"/>
        <v>#VALUE!</v>
      </c>
      <c r="R103" s="234" t="e">
        <f t="shared" si="72"/>
        <v>#VALUE!</v>
      </c>
      <c r="S103" s="234" t="e">
        <f t="shared" si="73"/>
        <v>#VALUE!</v>
      </c>
      <c r="T103" s="235" t="e">
        <f t="shared" si="74"/>
        <v>#VALUE!</v>
      </c>
    </row>
    <row r="104" spans="1:20" ht="18" customHeight="1">
      <c r="A104" s="504" t="str">
        <f>IF(F104=0,"",IF(A103="",IF(V$87&gt;=MAX(A$90:A103)+1,MAX(A$90:A103)+1,""),A103+1))</f>
        <v/>
      </c>
      <c r="B104" s="505" t="str">
        <f t="shared" si="77"/>
        <v/>
      </c>
      <c r="C104" s="506" t="str">
        <f>IF(A104="","",IF(Espesor!$J$3="Techo","Lt-","Le-"))</f>
        <v/>
      </c>
      <c r="D104" s="507">
        <f>+Compesaciones!H14</f>
        <v>0</v>
      </c>
      <c r="E104" s="506" t="str">
        <f>IF(A104="","",IF(Espesor!$J$3="Techo","LT-","LE-"))</f>
        <v/>
      </c>
      <c r="F104" s="507">
        <f>+Compesaciones!I14</f>
        <v>0</v>
      </c>
      <c r="G104" s="508" t="str">
        <f>IF(A104="","",Compesaciones!V230)</f>
        <v/>
      </c>
      <c r="H104" s="509" t="str">
        <f>IF(F104=0,"",MAX(LOOKUP(D104,Espesor!C$8:C$41,Espesor!O$8:O$41),LOOKUP(F104,Espesor!C$8:C$41,Espesor!O$8:O$41)))</f>
        <v/>
      </c>
      <c r="I104" s="510" t="str">
        <f>IF(G104="","",IF(G104&lt;=0," ",0.848-SQRT(0.719-G104/(0.53*100*(H104-Espesor!L$4)^2*Espesor!E$4))))</f>
        <v/>
      </c>
      <c r="J104" s="510" t="str">
        <f>IF(G104="","",IF(G104&lt;=0," ",IF(I104*Espesor!E$4/Espesor!H$4&lt;0.002,0.002,I104*Espesor!E$4/Espesor!H$4)))</f>
        <v/>
      </c>
      <c r="K104" s="511" t="str">
        <f>IF(G104="","",IF(G104&lt;=0,"------",ROUND(J104*(H104-Espesor!L$4)*100,2)))</f>
        <v/>
      </c>
      <c r="L104" s="508">
        <f>IF(A104="",0,LOOKUP(D104,'M+'!$A$4:$A$71,'M+'!$N$4:$N$71))</f>
        <v>0</v>
      </c>
      <c r="M104" s="508">
        <f>IF(A104="",0,LOOKUP(F104,'M+'!$A$4:$A$71,'M+'!$N$4:$N$71))</f>
        <v>0</v>
      </c>
      <c r="N104" s="517" t="str">
        <f t="shared" si="75"/>
        <v/>
      </c>
      <c r="O104" s="512" t="str">
        <f t="shared" si="76"/>
        <v/>
      </c>
      <c r="P104" s="501">
        <f t="shared" si="70"/>
        <v>0</v>
      </c>
      <c r="Q104" s="234" t="e">
        <f t="shared" si="71"/>
        <v>#VALUE!</v>
      </c>
      <c r="R104" s="234" t="e">
        <f t="shared" si="72"/>
        <v>#VALUE!</v>
      </c>
      <c r="S104" s="234" t="e">
        <f t="shared" si="73"/>
        <v>#VALUE!</v>
      </c>
      <c r="T104" s="235" t="e">
        <f t="shared" si="74"/>
        <v>#VALUE!</v>
      </c>
    </row>
    <row r="105" spans="1:20" ht="18" customHeight="1">
      <c r="A105" s="504" t="str">
        <f>IF(F105=0,"",IF(A104="",IF(V$87&gt;=MAX(A$90:A104)+1,MAX(A$90:A104)+1,""),A104+1))</f>
        <v/>
      </c>
      <c r="B105" s="505" t="str">
        <f t="shared" si="77"/>
        <v/>
      </c>
      <c r="C105" s="506" t="str">
        <f>IF(A105="","",IF(Espesor!$J$3="Techo","Lt-","Le-"))</f>
        <v/>
      </c>
      <c r="D105" s="507">
        <f>+Compesaciones!I14</f>
        <v>0</v>
      </c>
      <c r="E105" s="506" t="str">
        <f>IF(A105="","",IF(Espesor!$J$3="Techo","LT-","LE-"))</f>
        <v/>
      </c>
      <c r="F105" s="507">
        <f>+Compesaciones!J14</f>
        <v>0</v>
      </c>
      <c r="G105" s="508" t="str">
        <f>IF(A105="","",Compesaciones!Y230)</f>
        <v/>
      </c>
      <c r="H105" s="509" t="str">
        <f>IF(F105=0,"",MAX(LOOKUP(D105,Espesor!C$8:C$41,Espesor!O$8:O$41),LOOKUP(F105,Espesor!C$8:C$41,Espesor!O$8:O$41)))</f>
        <v/>
      </c>
      <c r="I105" s="510" t="str">
        <f>IF(G105="","",IF(G105&lt;=0," ",0.848-SQRT(0.719-G105/(0.53*100*(H105-Espesor!L$4)^2*Espesor!E$4))))</f>
        <v/>
      </c>
      <c r="J105" s="510" t="str">
        <f>IF(G105="","",IF(G105&lt;=0," ",IF(I105*Espesor!E$4/Espesor!H$4&lt;0.002,0.002,I105*Espesor!E$4/Espesor!H$4)))</f>
        <v/>
      </c>
      <c r="K105" s="511" t="str">
        <f>IF(G105="","",IF(G105&lt;=0,"------",ROUND(J105*(H105-Espesor!L$4)*100,2)))</f>
        <v/>
      </c>
      <c r="L105" s="508">
        <f>IF(A105="",0,LOOKUP(D105,'M+'!$A$4:$A$71,'M+'!$N$4:$N$71))</f>
        <v>0</v>
      </c>
      <c r="M105" s="508">
        <f>IF(A105="",0,LOOKUP(F105,'M+'!$A$4:$A$71,'M+'!$N$4:$N$71))</f>
        <v>0</v>
      </c>
      <c r="N105" s="517" t="str">
        <f t="shared" si="75"/>
        <v/>
      </c>
      <c r="O105" s="512" t="str">
        <f t="shared" si="76"/>
        <v/>
      </c>
      <c r="P105" s="501">
        <f t="shared" si="70"/>
        <v>0</v>
      </c>
      <c r="Q105" s="234" t="e">
        <f t="shared" si="71"/>
        <v>#VALUE!</v>
      </c>
      <c r="R105" s="234" t="e">
        <f t="shared" si="72"/>
        <v>#VALUE!</v>
      </c>
      <c r="S105" s="234" t="e">
        <f t="shared" si="73"/>
        <v>#VALUE!</v>
      </c>
      <c r="T105" s="235" t="e">
        <f t="shared" si="74"/>
        <v>#VALUE!</v>
      </c>
    </row>
    <row r="106" spans="1:20" ht="18" customHeight="1">
      <c r="A106" s="504" t="str">
        <f>IF(F106=0,"",IF(A105="",IF(V$87&gt;=MAX(A$90:A105)+1,MAX(A$90:A105)+1,""),A105+1))</f>
        <v/>
      </c>
      <c r="B106" s="505" t="str">
        <f t="shared" si="77"/>
        <v/>
      </c>
      <c r="C106" s="506" t="str">
        <f>IF(A106="","",IF(Espesor!$J$3="Techo","Lt-","Le-"))</f>
        <v/>
      </c>
      <c r="D106" s="507"/>
      <c r="E106" s="506" t="str">
        <f>IF(A106="","",IF(Espesor!$J$3="Techo","LT-","LE-"))</f>
        <v/>
      </c>
      <c r="F106" s="507"/>
      <c r="G106" s="520" t="str">
        <f>IF(A106="","",Compesaciones!D137)</f>
        <v/>
      </c>
      <c r="H106" s="509" t="str">
        <f>IF(F106=0,"",MAX(LOOKUP(D106,Espesor!C$8:C$41,Espesor!O$8:O$41),LOOKUP(F106,Espesor!C$8:C$41,Espesor!O$8:O$41)))</f>
        <v/>
      </c>
      <c r="I106" s="510" t="str">
        <f>IF(G106="","",IF(G106&lt;=0," ",0.848-SQRT(0.719-G106/(0.53*100*(H106-Espesor!L$4)^2*Espesor!E$4))))</f>
        <v/>
      </c>
      <c r="J106" s="510" t="str">
        <f>IF(G106="","",IF(G106&lt;=0," ",IF(I106*Espesor!E$4/Espesor!H$4&lt;0.002,0.002,I106*Espesor!E$4/Espesor!H$4)))</f>
        <v/>
      </c>
      <c r="K106" s="511" t="str">
        <f>IF(G106="","",IF(G106&lt;=0,"------",ROUND(J106*(H106-Espesor!L$4)*100,2)))</f>
        <v/>
      </c>
      <c r="L106" s="508">
        <f>IF(A106="",0,LOOKUP(D106,'M+'!$A$4:$A$71,'M+'!$N$4:$N$71))</f>
        <v>0</v>
      </c>
      <c r="M106" s="508">
        <f>IF(A106="",0,LOOKUP(F106,'M+'!$A$4:$A$71,'M+'!$N$4:$N$71))</f>
        <v>0</v>
      </c>
      <c r="N106" s="517" t="str">
        <f t="shared" si="75"/>
        <v/>
      </c>
      <c r="O106" s="512" t="str">
        <f t="shared" si="76"/>
        <v/>
      </c>
      <c r="P106" s="501">
        <f t="shared" ref="P106:P109" si="78">IF(G106=0,0,IF(L106="------","",IF((L106+M106)/2&lt;0,0,(L106+M106)/2)))</f>
        <v>0</v>
      </c>
      <c r="Q106" s="234" t="e">
        <f t="shared" ref="Q106:Q109" si="79">IF(G106&lt;=0,"",IF(P106="","",IF(ROUNDDOWN(0.71/(K106-P106),2)&lt;0,"------",IF(ROUNDDOWN(0.71/(K106-P106),2)&gt;1,1,ROUNDDOWN(0.71/(K106-P106),2)))))</f>
        <v>#VALUE!</v>
      </c>
      <c r="R106" s="234" t="e">
        <f t="shared" ref="R106:R109" si="80">IF(G106&lt;=0,"",IF(P106="","",IF(ROUNDDOWN(1.27/(K106-P106),2)&lt;0,"------",ROUNDDOWN(1.27/(K106-P106),2))))</f>
        <v>#VALUE!</v>
      </c>
      <c r="S106" s="234" t="e">
        <f t="shared" ref="S106:S109" si="81">IF(G106&lt;=0,"",IF(P106="","",IF(ROUNDDOWN(2.85/(K106-P106),2)&lt;0,"------",ROUNDDOWN(2.85/(K106-P106),2))))</f>
        <v>#VALUE!</v>
      </c>
      <c r="T106" s="235" t="e">
        <f t="shared" ref="T106:T109" si="82">IF(G106&lt;=0,"",IF(P106="","",IF(ROUNDDOWN(5.07/(K106-P106),2)&lt;0,"------",ROUNDDOWN(5.07/(K106-P106),2))))</f>
        <v>#VALUE!</v>
      </c>
    </row>
    <row r="107" spans="1:20" ht="18" customHeight="1">
      <c r="A107" s="504" t="str">
        <f>IF(F107=0,"",IF(A106="",IF(V$87&gt;=MAX(A$90:A106)+1,MAX(A$90:A106)+1,""),A106+1))</f>
        <v/>
      </c>
      <c r="B107" s="505" t="str">
        <f t="shared" si="77"/>
        <v/>
      </c>
      <c r="C107" s="506" t="str">
        <f>IF(A107="","",IF(Espesor!$J$3="Techo","Lt-","Le-"))</f>
        <v/>
      </c>
      <c r="D107" s="507"/>
      <c r="E107" s="506" t="str">
        <f>IF(A107="","",IF(Espesor!$J$3="Techo","LT-","LE-"))</f>
        <v/>
      </c>
      <c r="F107" s="507"/>
      <c r="G107" s="520" t="str">
        <f>IF(A107="","",Compesaciones!D138)</f>
        <v/>
      </c>
      <c r="H107" s="509" t="str">
        <f>IF(F107=0,"",MAX(LOOKUP(D107,Espesor!C$8:C$41,Espesor!O$8:O$41),LOOKUP(F107,Espesor!C$8:C$41,Espesor!O$8:O$41)))</f>
        <v/>
      </c>
      <c r="I107" s="510" t="str">
        <f>IF(G107="","",IF(G107&lt;=0," ",0.848-SQRT(0.719-G107/(0.53*100*(H107-Espesor!L$4)^2*Espesor!E$4))))</f>
        <v/>
      </c>
      <c r="J107" s="510" t="str">
        <f>IF(G107="","",IF(G107&lt;=0," ",IF(I107*Espesor!E$4/Espesor!H$4&lt;0.002,0.002,I107*Espesor!E$4/Espesor!H$4)))</f>
        <v/>
      </c>
      <c r="K107" s="511" t="str">
        <f>IF(G107="","",IF(G107&lt;=0,"------",ROUND(J107*(H107-Espesor!L$4)*100,2)))</f>
        <v/>
      </c>
      <c r="L107" s="508">
        <f>IF(A107="",0,LOOKUP(D107,'M+'!$A$4:$A$71,'M+'!$N$4:$N$71))</f>
        <v>0</v>
      </c>
      <c r="M107" s="508">
        <f>IF(A107="",0,LOOKUP(F107,'M+'!$A$4:$A$71,'M+'!$N$4:$N$71))</f>
        <v>0</v>
      </c>
      <c r="N107" s="517" t="str">
        <f t="shared" si="75"/>
        <v/>
      </c>
      <c r="O107" s="512" t="str">
        <f t="shared" si="76"/>
        <v/>
      </c>
      <c r="P107" s="501">
        <f t="shared" si="78"/>
        <v>0</v>
      </c>
      <c r="Q107" s="234" t="e">
        <f t="shared" si="79"/>
        <v>#VALUE!</v>
      </c>
      <c r="R107" s="234" t="e">
        <f t="shared" si="80"/>
        <v>#VALUE!</v>
      </c>
      <c r="S107" s="234" t="e">
        <f t="shared" si="81"/>
        <v>#VALUE!</v>
      </c>
      <c r="T107" s="235" t="e">
        <f t="shared" si="82"/>
        <v>#VALUE!</v>
      </c>
    </row>
    <row r="108" spans="1:20" ht="18" customHeight="1">
      <c r="A108" s="504" t="str">
        <f>IF(F108=0,"",IF(A107="",IF(V$87&gt;=MAX(A$90:A107)+1,MAX(A$90:A107)+1,""),A107+1))</f>
        <v/>
      </c>
      <c r="B108" s="505" t="str">
        <f t="shared" ref="B108:B169" si="83">+IF(A108="","","y")</f>
        <v/>
      </c>
      <c r="C108" s="506" t="str">
        <f>IF(A108="","",IF(Espesor!$J$3="Techo","Lt-","Le-"))</f>
        <v/>
      </c>
      <c r="D108" s="507"/>
      <c r="E108" s="506" t="str">
        <f>IF(A108="","",IF(Espesor!$J$3="Techo","LT-","LE-"))</f>
        <v/>
      </c>
      <c r="F108" s="507"/>
      <c r="G108" s="520" t="str">
        <f>IF(A108="","",Compesaciones!D139)</f>
        <v/>
      </c>
      <c r="H108" s="509" t="str">
        <f>IF(F108=0,"",MAX(LOOKUP(D108,Espesor!C$8:C$41,Espesor!O$8:O$41),LOOKUP(F108,Espesor!C$8:C$41,Espesor!O$8:O$41)))</f>
        <v/>
      </c>
      <c r="I108" s="510" t="str">
        <f>IF(G108="","",IF(G108&lt;=0," ",0.848-SQRT(0.719-G108/(0.53*100*(H108-Espesor!L$4)^2*Espesor!E$4))))</f>
        <v/>
      </c>
      <c r="J108" s="510" t="str">
        <f>IF(G108="","",IF(G108&lt;=0," ",IF(I108*Espesor!E$4/Espesor!H$4&lt;0.002,0.002,I108*Espesor!E$4/Espesor!H$4)))</f>
        <v/>
      </c>
      <c r="K108" s="511" t="str">
        <f>IF(G108="","",IF(G108&lt;=0,"------",ROUND(J108*(H108-Espesor!L$4)*100,2)))</f>
        <v/>
      </c>
      <c r="L108" s="508">
        <f>IF(A108="",0,LOOKUP(D108,'M+'!$A$4:$A$71,'M+'!$N$4:$N$71))</f>
        <v>0</v>
      </c>
      <c r="M108" s="508">
        <f>IF(A108="",0,LOOKUP(F108,'M+'!$A$4:$A$71,'M+'!$N$4:$N$71))</f>
        <v>0</v>
      </c>
      <c r="N108" s="517" t="str">
        <f t="shared" si="75"/>
        <v/>
      </c>
      <c r="O108" s="512" t="str">
        <f t="shared" si="76"/>
        <v/>
      </c>
      <c r="P108" s="501">
        <f t="shared" si="78"/>
        <v>0</v>
      </c>
      <c r="Q108" s="234" t="e">
        <f t="shared" si="79"/>
        <v>#VALUE!</v>
      </c>
      <c r="R108" s="234" t="e">
        <f t="shared" si="80"/>
        <v>#VALUE!</v>
      </c>
      <c r="S108" s="234" t="e">
        <f t="shared" si="81"/>
        <v>#VALUE!</v>
      </c>
      <c r="T108" s="235" t="e">
        <f t="shared" si="82"/>
        <v>#VALUE!</v>
      </c>
    </row>
    <row r="109" spans="1:20" ht="18" customHeight="1">
      <c r="A109" s="504" t="str">
        <f>IF(F109=0,"",IF(A108="",IF(V$87&gt;=MAX(A$90:A108)+1,MAX(A$90:A108)+1,""),A108+1))</f>
        <v/>
      </c>
      <c r="B109" s="505" t="str">
        <f t="shared" si="83"/>
        <v/>
      </c>
      <c r="C109" s="506" t="str">
        <f>IF(A109="","",IF(Espesor!$J$3="Techo","Lt-","Le-"))</f>
        <v/>
      </c>
      <c r="D109" s="507"/>
      <c r="E109" s="506" t="str">
        <f>IF(A109="","",IF(Espesor!$J$3="Techo","LT-","LE-"))</f>
        <v/>
      </c>
      <c r="F109" s="507"/>
      <c r="G109" s="520" t="str">
        <f>IF(A109="","",Compesaciones!D140)</f>
        <v/>
      </c>
      <c r="H109" s="509" t="str">
        <f>IF(F109=0,"",MAX(LOOKUP(D109,Espesor!C$8:C$41,Espesor!O$8:O$41),LOOKUP(F109,Espesor!C$8:C$41,Espesor!O$8:O$41)))</f>
        <v/>
      </c>
      <c r="I109" s="510" t="str">
        <f>IF(G109="","",IF(G109&lt;=0," ",0.848-SQRT(0.719-G109/(0.53*100*(H109-Espesor!L$4)^2*Espesor!E$4))))</f>
        <v/>
      </c>
      <c r="J109" s="510" t="str">
        <f>IF(G109="","",IF(G109&lt;=0," ",IF(I109*Espesor!E$4/Espesor!H$4&lt;0.002,0.002,I109*Espesor!E$4/Espesor!H$4)))</f>
        <v/>
      </c>
      <c r="K109" s="511" t="str">
        <f>IF(G109="","",IF(G109&lt;=0,"------",ROUND(J109*(H109-Espesor!L$4)*100,2)))</f>
        <v/>
      </c>
      <c r="L109" s="508">
        <f>IF(A109="",0,LOOKUP(D109,'M+'!$A$4:$A$71,'M+'!$N$4:$N$71))</f>
        <v>0</v>
      </c>
      <c r="M109" s="508">
        <f>IF(A109="",0,LOOKUP(F109,'M+'!$A$4:$A$71,'M+'!$N$4:$N$71))</f>
        <v>0</v>
      </c>
      <c r="N109" s="517" t="str">
        <f t="shared" si="75"/>
        <v/>
      </c>
      <c r="O109" s="512" t="str">
        <f t="shared" si="76"/>
        <v/>
      </c>
      <c r="P109" s="501">
        <f t="shared" si="78"/>
        <v>0</v>
      </c>
      <c r="Q109" s="234" t="e">
        <f t="shared" si="79"/>
        <v>#VALUE!</v>
      </c>
      <c r="R109" s="234" t="e">
        <f t="shared" si="80"/>
        <v>#VALUE!</v>
      </c>
      <c r="S109" s="234" t="e">
        <f t="shared" si="81"/>
        <v>#VALUE!</v>
      </c>
      <c r="T109" s="235" t="e">
        <f t="shared" si="82"/>
        <v>#VALUE!</v>
      </c>
    </row>
    <row r="110" spans="1:20" ht="18" customHeight="1">
      <c r="A110" s="504" t="str">
        <f>IF(F110=0,"",IF(A109="",IF(V$87&gt;=MAX(A$90:A109)+1,MAX(A$90:A109)+1,""),A109+1))</f>
        <v/>
      </c>
      <c r="B110" s="505" t="str">
        <f t="shared" si="83"/>
        <v/>
      </c>
      <c r="C110" s="506" t="str">
        <f>IF(A110="","",IF(Espesor!$J$3="Techo","Lt-","Le-"))</f>
        <v/>
      </c>
      <c r="D110" s="507"/>
      <c r="E110" s="506" t="str">
        <f>IF(A110="","",IF(Espesor!$J$3="Techo","LT-","LE-"))</f>
        <v/>
      </c>
      <c r="F110" s="507"/>
      <c r="G110" s="520" t="str">
        <f>IF(A110="","",Compesaciones!D141)</f>
        <v/>
      </c>
      <c r="H110" s="509" t="str">
        <f>IF(F110=0,"",MAX(LOOKUP(D110,Espesor!C$8:C$41,Espesor!O$8:O$41),LOOKUP(F110,Espesor!C$8:C$41,Espesor!O$8:O$41)))</f>
        <v/>
      </c>
      <c r="I110" s="510" t="str">
        <f>IF(G110="","",IF(G110&lt;=0," ",0.848-SQRT(0.719-G110/(0.53*100*(H110-Espesor!L$4)^2*Espesor!E$4))))</f>
        <v/>
      </c>
      <c r="J110" s="510" t="str">
        <f>IF(G110="","",IF(G110&lt;=0," ",IF(I110*Espesor!E$4/Espesor!H$4&lt;0.002,0.002,I110*Espesor!E$4/Espesor!H$4)))</f>
        <v/>
      </c>
      <c r="K110" s="511" t="str">
        <f>IF(G110="","",IF(G110&lt;=0,"------",ROUND(J110*(H110-Espesor!L$4)*100,2)))</f>
        <v/>
      </c>
      <c r="L110" s="508">
        <f>IF(A110="",0,LOOKUP(D110,'M+'!$A$4:$A$71,'M+'!$N$4:$N$71))</f>
        <v>0</v>
      </c>
      <c r="M110" s="508">
        <f>IF(A110="",0,LOOKUP(F110,'M+'!$A$4:$A$71,'M+'!$N$4:$N$71))</f>
        <v>0</v>
      </c>
      <c r="N110" s="517" t="str">
        <f t="shared" si="75"/>
        <v/>
      </c>
      <c r="O110" s="512" t="str">
        <f t="shared" si="76"/>
        <v/>
      </c>
    </row>
    <row r="111" spans="1:20" ht="18" customHeight="1">
      <c r="A111" s="504" t="str">
        <f>IF(F111=0,"",IF(A110="",IF(V$87&gt;=MAX(A$90:A110)+1,MAX(A$90:A110)+1,""),A110+1))</f>
        <v/>
      </c>
      <c r="B111" s="505" t="str">
        <f t="shared" si="83"/>
        <v/>
      </c>
      <c r="C111" s="506" t="str">
        <f>IF(A111="","",IF(Espesor!$J$3="Techo","Lt-","Le-"))</f>
        <v/>
      </c>
      <c r="D111" s="507"/>
      <c r="E111" s="506" t="str">
        <f>IF(A111="","",IF(Espesor!$J$3="Techo","LT-","LE-"))</f>
        <v/>
      </c>
      <c r="F111" s="507"/>
      <c r="G111" s="520" t="str">
        <f>IF(A111="","",Compesaciones!D142)</f>
        <v/>
      </c>
      <c r="H111" s="509" t="str">
        <f>IF(F111=0,"",MAX(LOOKUP(D111,Espesor!C$8:C$41,Espesor!O$8:O$41),LOOKUP(F111,Espesor!C$8:C$41,Espesor!O$8:O$41)))</f>
        <v/>
      </c>
      <c r="I111" s="510" t="str">
        <f>IF(G111="","",IF(G111&lt;=0," ",0.848-SQRT(0.719-G111/(0.53*100*(H111-Espesor!L$4)^2*Espesor!E$4))))</f>
        <v/>
      </c>
      <c r="J111" s="510" t="str">
        <f>IF(G111="","",IF(G111&lt;=0," ",IF(I111*Espesor!E$4/Espesor!H$4&lt;0.002,0.002,I111*Espesor!E$4/Espesor!H$4)))</f>
        <v/>
      </c>
      <c r="K111" s="511" t="str">
        <f>IF(G111="","",IF(G111&lt;=0,"------",ROUND(J111*(H111-Espesor!L$4)*100,2)))</f>
        <v/>
      </c>
      <c r="L111" s="508">
        <f>IF(A111="",0,LOOKUP(D111,'M+'!$A$4:$A$71,'M+'!$N$4:$N$71))</f>
        <v>0</v>
      </c>
      <c r="M111" s="508">
        <f>IF(A111="",0,LOOKUP(F111,'M+'!$A$4:$A$71,'M+'!$N$4:$N$71))</f>
        <v>0</v>
      </c>
      <c r="N111" s="517" t="str">
        <f t="shared" si="75"/>
        <v/>
      </c>
      <c r="O111" s="512" t="str">
        <f t="shared" si="76"/>
        <v/>
      </c>
    </row>
    <row r="112" spans="1:20" ht="18" customHeight="1">
      <c r="A112" s="504" t="str">
        <f>IF(F112=0,"",IF(A111="",IF(V$87&gt;=MAX(A$90:A111)+1,MAX(A$90:A111)+1,""),A111+1))</f>
        <v/>
      </c>
      <c r="B112" s="505" t="str">
        <f t="shared" si="83"/>
        <v/>
      </c>
      <c r="C112" s="506" t="str">
        <f>IF(A112="","",IF(Espesor!$J$3="Techo","Lt-","Le-"))</f>
        <v/>
      </c>
      <c r="D112" s="507"/>
      <c r="E112" s="506" t="str">
        <f>IF(A112="","",IF(Espesor!$J$3="Techo","LT-","LE-"))</f>
        <v/>
      </c>
      <c r="F112" s="507"/>
      <c r="G112" s="520" t="str">
        <f>IF(A112="","",Compesaciones!D143)</f>
        <v/>
      </c>
      <c r="H112" s="509" t="str">
        <f>IF(F112=0,"",MAX(LOOKUP(D112,Espesor!C$8:C$41,Espesor!O$8:O$41),LOOKUP(F112,Espesor!C$8:C$41,Espesor!O$8:O$41)))</f>
        <v/>
      </c>
      <c r="I112" s="510" t="str">
        <f>IF(G112="","",IF(G112&lt;=0," ",0.848-SQRT(0.719-G112/(0.53*100*(H112-Espesor!L$4)^2*Espesor!E$4))))</f>
        <v/>
      </c>
      <c r="J112" s="510" t="str">
        <f>IF(G112="","",IF(G112&lt;=0," ",IF(I112*Espesor!E$4/Espesor!H$4&lt;0.002,0.002,I112*Espesor!E$4/Espesor!H$4)))</f>
        <v/>
      </c>
      <c r="K112" s="511" t="str">
        <f>IF(G112="","",IF(G112&lt;=0,"------",ROUND(J112*(H112-Espesor!L$4)*100,2)))</f>
        <v/>
      </c>
      <c r="L112" s="508">
        <f>IF(A112="",0,LOOKUP(D112,'M+'!$A$4:$A$71,'M+'!$N$4:$N$71))</f>
        <v>0</v>
      </c>
      <c r="M112" s="508">
        <f>IF(A112="",0,LOOKUP(F112,'M+'!$A$4:$A$71,'M+'!$N$4:$N$71))</f>
        <v>0</v>
      </c>
      <c r="N112" s="517" t="str">
        <f t="shared" si="75"/>
        <v/>
      </c>
      <c r="O112" s="512" t="str">
        <f t="shared" si="76"/>
        <v/>
      </c>
    </row>
    <row r="113" spans="1:15" ht="18" customHeight="1">
      <c r="A113" s="504" t="str">
        <f>IF(F113=0,"",IF(A112="",IF(V$87&gt;=MAX(A$90:A112)+1,MAX(A$90:A112)+1,""),A112+1))</f>
        <v/>
      </c>
      <c r="B113" s="505" t="str">
        <f t="shared" si="83"/>
        <v/>
      </c>
      <c r="C113" s="506" t="str">
        <f>IF(A113="","",IF(Espesor!$J$3="Techo","Lt-","Le-"))</f>
        <v/>
      </c>
      <c r="D113" s="507"/>
      <c r="E113" s="506" t="str">
        <f>IF(A113="","",IF(Espesor!$J$3="Techo","LT-","LE-"))</f>
        <v/>
      </c>
      <c r="F113" s="507"/>
      <c r="G113" s="520" t="str">
        <f>IF(A113="","",Compesaciones!D144)</f>
        <v/>
      </c>
      <c r="H113" s="509" t="str">
        <f>IF(F113=0,"",MAX(LOOKUP(D113,Espesor!C$8:C$41,Espesor!O$8:O$41),LOOKUP(F113,Espesor!C$8:C$41,Espesor!O$8:O$41)))</f>
        <v/>
      </c>
      <c r="I113" s="510" t="str">
        <f>IF(G113="","",IF(G113&lt;=0," ",0.848-SQRT(0.719-G113/(0.53*100*(H113-Espesor!L$4)^2*Espesor!E$4))))</f>
        <v/>
      </c>
      <c r="J113" s="510" t="str">
        <f>IF(G113="","",IF(G113&lt;=0," ",IF(I113*Espesor!E$4/Espesor!H$4&lt;0.002,0.002,I113*Espesor!E$4/Espesor!H$4)))</f>
        <v/>
      </c>
      <c r="K113" s="511" t="str">
        <f>IF(G113="","",IF(G113&lt;=0,"------",ROUND(J113*(H113-Espesor!L$4)*100,2)))</f>
        <v/>
      </c>
      <c r="L113" s="508">
        <f>IF(A113="",0,LOOKUP(D113,'M+'!$A$4:$A$71,'M+'!$N$4:$N$71))</f>
        <v>0</v>
      </c>
      <c r="M113" s="508">
        <f>IF(A113="",0,LOOKUP(F113,'M+'!$A$4:$A$71,'M+'!$N$4:$N$71))</f>
        <v>0</v>
      </c>
      <c r="N113" s="517" t="str">
        <f t="shared" si="75"/>
        <v/>
      </c>
      <c r="O113" s="512" t="str">
        <f t="shared" si="76"/>
        <v/>
      </c>
    </row>
    <row r="114" spans="1:15" ht="18" customHeight="1">
      <c r="A114" s="504" t="str">
        <f>IF(F114=0,"",IF(A113="",IF(V$87&gt;=MAX(A$90:A113)+1,MAX(A$90:A113)+1,""),A113+1))</f>
        <v/>
      </c>
      <c r="B114" s="505" t="str">
        <f t="shared" si="83"/>
        <v/>
      </c>
      <c r="C114" s="506" t="str">
        <f>IF(A114="","",IF(Espesor!$J$3="Techo","Lt-","Le-"))</f>
        <v/>
      </c>
      <c r="D114" s="507"/>
      <c r="E114" s="506" t="str">
        <f>IF(A114="","",IF(Espesor!$J$3="Techo","LT-","LE-"))</f>
        <v/>
      </c>
      <c r="F114" s="507"/>
      <c r="G114" s="520" t="str">
        <f>IF(A114="","",Compesaciones!D145)</f>
        <v/>
      </c>
      <c r="H114" s="509" t="str">
        <f>IF(F114=0,"",MAX(LOOKUP(D114,Espesor!C$8:C$41,Espesor!O$8:O$41),LOOKUP(F114,Espesor!C$8:C$41,Espesor!O$8:O$41)))</f>
        <v/>
      </c>
      <c r="I114" s="510" t="str">
        <f>IF(G114="","",IF(G114&lt;=0," ",0.848-SQRT(0.719-G114/(0.53*100*(H114-Espesor!L$4)^2*Espesor!E$4))))</f>
        <v/>
      </c>
      <c r="J114" s="510" t="str">
        <f>IF(G114="","",IF(G114&lt;=0," ",IF(I114*Espesor!E$4/Espesor!H$4&lt;0.002,0.002,I114*Espesor!E$4/Espesor!H$4)))</f>
        <v/>
      </c>
      <c r="K114" s="511" t="str">
        <f>IF(G114="","",IF(G114&lt;=0,"------",ROUND(J114*(H114-Espesor!L$4)*100,2)))</f>
        <v/>
      </c>
      <c r="L114" s="508">
        <f>IF(A114="",0,LOOKUP(D114,'M+'!$A$4:$A$71,'M+'!$N$4:$N$71))</f>
        <v>0</v>
      </c>
      <c r="M114" s="508">
        <f>IF(A114="",0,LOOKUP(F114,'M+'!$A$4:$A$71,'M+'!$N$4:$N$71))</f>
        <v>0</v>
      </c>
      <c r="N114" s="517" t="str">
        <f t="shared" si="75"/>
        <v/>
      </c>
      <c r="O114" s="512" t="str">
        <f t="shared" si="76"/>
        <v/>
      </c>
    </row>
    <row r="115" spans="1:15" ht="18" customHeight="1">
      <c r="A115" s="504" t="str">
        <f>IF(F115=0,"",IF(A114="",IF(V$87&gt;=MAX(A$90:A114)+1,MAX(A$90:A114)+1,""),A114+1))</f>
        <v/>
      </c>
      <c r="B115" s="505" t="str">
        <f t="shared" si="83"/>
        <v/>
      </c>
      <c r="C115" s="506" t="str">
        <f>IF(A115="","",IF(Espesor!$J$3="Techo","Lt-","Le-"))</f>
        <v/>
      </c>
      <c r="D115" s="507"/>
      <c r="E115" s="506" t="str">
        <f>IF(A115="","",IF(Espesor!$J$3="Techo","LT-","LE-"))</f>
        <v/>
      </c>
      <c r="F115" s="507"/>
      <c r="G115" s="520" t="str">
        <f>IF(A115="","",Compesaciones!D146)</f>
        <v/>
      </c>
      <c r="H115" s="509" t="str">
        <f>IF(F115=0,"",MAX(LOOKUP(D115,Espesor!C$8:C$41,Espesor!O$8:O$41),LOOKUP(F115,Espesor!C$8:C$41,Espesor!O$8:O$41)))</f>
        <v/>
      </c>
      <c r="I115" s="510" t="str">
        <f>IF(G115="","",IF(G115&lt;=0," ",0.848-SQRT(0.719-G115/(0.53*100*(H115-Espesor!L$4)^2*Espesor!E$4))))</f>
        <v/>
      </c>
      <c r="J115" s="510" t="str">
        <f>IF(G115="","",IF(G115&lt;=0," ",IF(I115*Espesor!E$4/Espesor!H$4&lt;0.002,0.002,I115*Espesor!E$4/Espesor!H$4)))</f>
        <v/>
      </c>
      <c r="K115" s="511" t="str">
        <f>IF(G115="","",IF(G115&lt;=0,"------",ROUND(J115*(H115-Espesor!L$4)*100,2)))</f>
        <v/>
      </c>
      <c r="L115" s="508">
        <f>IF(A115="",0,LOOKUP(D115,'M+'!$A$4:$A$71,'M+'!$N$4:$N$71))</f>
        <v>0</v>
      </c>
      <c r="M115" s="508">
        <f>IF(A115="",0,LOOKUP(F115,'M+'!$A$4:$A$71,'M+'!$N$4:$N$71))</f>
        <v>0</v>
      </c>
      <c r="N115" s="517" t="str">
        <f t="shared" si="75"/>
        <v/>
      </c>
      <c r="O115" s="512" t="str">
        <f t="shared" si="76"/>
        <v/>
      </c>
    </row>
    <row r="116" spans="1:15" ht="18" customHeight="1">
      <c r="A116" s="504" t="str">
        <f>IF(F116=0,"",IF(A115="",IF(V$87&gt;=MAX(A$90:A115)+1,MAX(A$90:A115)+1,""),A115+1))</f>
        <v/>
      </c>
      <c r="B116" s="505" t="str">
        <f t="shared" si="83"/>
        <v/>
      </c>
      <c r="C116" s="506" t="str">
        <f>IF(A116="","",IF(Espesor!$J$3="Techo","Lt-","Le-"))</f>
        <v/>
      </c>
      <c r="D116" s="507"/>
      <c r="E116" s="506" t="str">
        <f>IF(A116="","",IF(Espesor!$J$3="Techo","LT-","LE-"))</f>
        <v/>
      </c>
      <c r="F116" s="507"/>
      <c r="G116" s="520" t="str">
        <f>IF(A116="","",Compesaciones!D147)</f>
        <v/>
      </c>
      <c r="H116" s="509" t="str">
        <f>IF(F116=0,"",MAX(LOOKUP(D116,Espesor!C$8:C$41,Espesor!O$8:O$41),LOOKUP(F116,Espesor!C$8:C$41,Espesor!O$8:O$41)))</f>
        <v/>
      </c>
      <c r="I116" s="510" t="str">
        <f>IF(G116="","",IF(G116&lt;=0," ",0.848-SQRT(0.719-G116/(0.53*100*(H116-Espesor!L$4)^2*Espesor!E$4))))</f>
        <v/>
      </c>
      <c r="J116" s="510" t="str">
        <f>IF(G116="","",IF(G116&lt;=0," ",IF(I116*Espesor!E$4/Espesor!H$4&lt;0.002,0.002,I116*Espesor!E$4/Espesor!H$4)))</f>
        <v/>
      </c>
      <c r="K116" s="511" t="str">
        <f>IF(G116="","",IF(G116&lt;=0,"------",ROUND(J116*(H116-Espesor!L$4)*100,2)))</f>
        <v/>
      </c>
      <c r="L116" s="508">
        <f>IF(A116="",0,LOOKUP(D116,'M+'!$A$4:$A$71,'M+'!$N$4:$N$71))</f>
        <v>0</v>
      </c>
      <c r="M116" s="508">
        <f>IF(A116="",0,LOOKUP(F116,'M+'!$A$4:$A$71,'M+'!$N$4:$N$71))</f>
        <v>0</v>
      </c>
      <c r="N116" s="517" t="str">
        <f t="shared" si="75"/>
        <v/>
      </c>
      <c r="O116" s="512" t="str">
        <f t="shared" si="76"/>
        <v/>
      </c>
    </row>
    <row r="117" spans="1:15" ht="18" customHeight="1">
      <c r="A117" s="504" t="str">
        <f>IF(F117=0,"",IF(A116="",IF(V$87&gt;=MAX(A$90:A116)+1,MAX(A$90:A116)+1,""),A116+1))</f>
        <v/>
      </c>
      <c r="B117" s="505" t="str">
        <f t="shared" si="83"/>
        <v/>
      </c>
      <c r="C117" s="506" t="str">
        <f>IF(A117="","",IF(Espesor!$J$3="Techo","Lt-","Le-"))</f>
        <v/>
      </c>
      <c r="D117" s="507"/>
      <c r="E117" s="506" t="str">
        <f>IF(A117="","",IF(Espesor!$J$3="Techo","LT-","LE-"))</f>
        <v/>
      </c>
      <c r="F117" s="507"/>
      <c r="G117" s="520" t="str">
        <f>IF(A117="","",Compesaciones!D148)</f>
        <v/>
      </c>
      <c r="H117" s="509" t="str">
        <f>IF(F117=0,"",MAX(LOOKUP(D117,Espesor!C$8:C$41,Espesor!O$8:O$41),LOOKUP(F117,Espesor!C$8:C$41,Espesor!O$8:O$41)))</f>
        <v/>
      </c>
      <c r="I117" s="510" t="str">
        <f>IF(G117="","",IF(G117&lt;=0," ",0.848-SQRT(0.719-G117/(0.53*100*(H117-Espesor!L$4)^2*Espesor!E$4))))</f>
        <v/>
      </c>
      <c r="J117" s="510" t="str">
        <f>IF(G117="","",IF(G117&lt;=0," ",IF(I117*Espesor!E$4/Espesor!H$4&lt;0.002,0.002,I117*Espesor!E$4/Espesor!H$4)))</f>
        <v/>
      </c>
      <c r="K117" s="511" t="str">
        <f>IF(G117="","",IF(G117&lt;=0,"------",ROUND(J117*(H117-Espesor!L$4)*100,2)))</f>
        <v/>
      </c>
      <c r="L117" s="508">
        <f>IF(A117="",0,LOOKUP(D117,'M+'!$A$4:$A$71,'M+'!$N$4:$N$71))</f>
        <v>0</v>
      </c>
      <c r="M117" s="508">
        <f>IF(A117="",0,LOOKUP(F117,'M+'!$A$4:$A$71,'M+'!$N$4:$N$71))</f>
        <v>0</v>
      </c>
      <c r="N117" s="517" t="str">
        <f t="shared" si="75"/>
        <v/>
      </c>
      <c r="O117" s="512" t="str">
        <f t="shared" si="76"/>
        <v/>
      </c>
    </row>
    <row r="118" spans="1:15" ht="18" customHeight="1">
      <c r="A118" s="504" t="str">
        <f>IF(F118=0,"",IF(A117="",IF(V$87&gt;=MAX(A$90:A117)+1,MAX(A$90:A117)+1,""),A117+1))</f>
        <v/>
      </c>
      <c r="B118" s="505" t="str">
        <f t="shared" si="83"/>
        <v/>
      </c>
      <c r="C118" s="506" t="str">
        <f>IF(A118="","",IF(Espesor!$J$3="Techo","Lt-","Le-"))</f>
        <v/>
      </c>
      <c r="D118" s="507"/>
      <c r="E118" s="506" t="str">
        <f>IF(A118="","",IF(Espesor!$J$3="Techo","LT-","LE-"))</f>
        <v/>
      </c>
      <c r="F118" s="507"/>
      <c r="G118" s="520" t="str">
        <f>IF(A118="","",Compesaciones!D149)</f>
        <v/>
      </c>
      <c r="H118" s="509" t="str">
        <f>IF(F118=0,"",MAX(LOOKUP(D118,Espesor!C$8:C$41,Espesor!O$8:O$41),LOOKUP(F118,Espesor!C$8:C$41,Espesor!O$8:O$41)))</f>
        <v/>
      </c>
      <c r="I118" s="510" t="str">
        <f>IF(G118="","",IF(G118&lt;=0," ",0.848-SQRT(0.719-G118/(0.53*100*(H118-Espesor!L$4)^2*Espesor!E$4))))</f>
        <v/>
      </c>
      <c r="J118" s="510" t="str">
        <f>IF(G118="","",IF(G118&lt;=0," ",IF(I118*Espesor!E$4/Espesor!H$4&lt;0.002,0.002,I118*Espesor!E$4/Espesor!H$4)))</f>
        <v/>
      </c>
      <c r="K118" s="511" t="str">
        <f>IF(G118="","",IF(G118&lt;=0,"------",ROUND(J118*(H118-Espesor!L$4)*100,2)))</f>
        <v/>
      </c>
      <c r="L118" s="508">
        <f>IF(A118="",0,LOOKUP(D118,'M+'!$A$4:$A$71,'M+'!$N$4:$N$71))</f>
        <v>0</v>
      </c>
      <c r="M118" s="508">
        <f>IF(A118="",0,LOOKUP(F118,'M+'!$A$4:$A$71,'M+'!$N$4:$N$71))</f>
        <v>0</v>
      </c>
      <c r="N118" s="517" t="str">
        <f t="shared" si="75"/>
        <v/>
      </c>
      <c r="O118" s="512" t="str">
        <f t="shared" si="76"/>
        <v/>
      </c>
    </row>
    <row r="119" spans="1:15" ht="18" customHeight="1">
      <c r="A119" s="504" t="str">
        <f>IF(F119=0,"",IF(A118="",IF(V$87&gt;=MAX(A$90:A118)+1,MAX(A$90:A118)+1,""),A118+1))</f>
        <v/>
      </c>
      <c r="B119" s="505" t="str">
        <f t="shared" si="83"/>
        <v/>
      </c>
      <c r="C119" s="506" t="str">
        <f>IF(A119="","",IF(Espesor!$J$3="Techo","Lt-","Le-"))</f>
        <v/>
      </c>
      <c r="D119" s="507"/>
      <c r="E119" s="506" t="str">
        <f>IF(A119="","",IF(Espesor!$J$3="Techo","LT-","LE-"))</f>
        <v/>
      </c>
      <c r="F119" s="507"/>
      <c r="G119" s="520" t="str">
        <f>IF(A119="","",Compesaciones!D150)</f>
        <v/>
      </c>
      <c r="H119" s="509" t="str">
        <f>IF(F119=0,"",MAX(LOOKUP(D119,Espesor!C$8:C$41,Espesor!O$8:O$41),LOOKUP(F119,Espesor!C$8:C$41,Espesor!O$8:O$41)))</f>
        <v/>
      </c>
      <c r="I119" s="510" t="str">
        <f>IF(G119="","",IF(G119&lt;=0," ",0.848-SQRT(0.719-G119/(0.53*100*(H119-Espesor!L$4)^2*Espesor!E$4))))</f>
        <v/>
      </c>
      <c r="J119" s="510" t="str">
        <f>IF(G119="","",IF(G119&lt;=0," ",IF(I119*Espesor!E$4/Espesor!H$4&lt;0.002,0.002,I119*Espesor!E$4/Espesor!H$4)))</f>
        <v/>
      </c>
      <c r="K119" s="511" t="str">
        <f>IF(G119="","",IF(G119&lt;=0,"------",ROUND(J119*(H119-Espesor!L$4)*100,2)))</f>
        <v/>
      </c>
      <c r="L119" s="508">
        <f>IF(A119="",0,LOOKUP(D119,'M+'!$A$4:$A$71,'M+'!$N$4:$N$71))</f>
        <v>0</v>
      </c>
      <c r="M119" s="508">
        <f>IF(A119="",0,LOOKUP(F119,'M+'!$A$4:$A$71,'M+'!$N$4:$N$71))</f>
        <v>0</v>
      </c>
      <c r="N119" s="517" t="str">
        <f t="shared" si="75"/>
        <v/>
      </c>
      <c r="O119" s="512" t="str">
        <f t="shared" si="76"/>
        <v/>
      </c>
    </row>
    <row r="120" spans="1:15" ht="18" customHeight="1">
      <c r="A120" s="504" t="str">
        <f>IF(F120=0,"",IF(A119="",IF(V$87&gt;=MAX(A$90:A119)+1,MAX(A$90:A119)+1,""),A119+1))</f>
        <v/>
      </c>
      <c r="B120" s="505" t="str">
        <f t="shared" si="83"/>
        <v/>
      </c>
      <c r="C120" s="506" t="str">
        <f>IF(A120="","",IF(Espesor!$J$3="Techo","Lt-","Le-"))</f>
        <v/>
      </c>
      <c r="D120" s="507"/>
      <c r="E120" s="506" t="str">
        <f>IF(A120="","",IF(Espesor!$J$3="Techo","LT-","LE-"))</f>
        <v/>
      </c>
      <c r="F120" s="507"/>
      <c r="G120" s="520" t="str">
        <f>IF(A120="","",Compesaciones!D151)</f>
        <v/>
      </c>
      <c r="H120" s="509" t="str">
        <f>IF(F120=0,"",MAX(LOOKUP(D120,Espesor!C$8:C$41,Espesor!O$8:O$41),LOOKUP(F120,Espesor!C$8:C$41,Espesor!O$8:O$41)))</f>
        <v/>
      </c>
      <c r="I120" s="510" t="str">
        <f>IF(G120="","",IF(G120&lt;=0," ",0.848-SQRT(0.719-G120/(0.53*100*(H120-Espesor!L$4)^2*Espesor!E$4))))</f>
        <v/>
      </c>
      <c r="J120" s="510" t="str">
        <f>IF(G120="","",IF(G120&lt;=0," ",IF(I120*Espesor!E$4/Espesor!H$4&lt;0.002,0.002,I120*Espesor!E$4/Espesor!H$4)))</f>
        <v/>
      </c>
      <c r="K120" s="511" t="str">
        <f>IF(G120="","",IF(G120&lt;=0,"------",ROUND(J120*(H120-Espesor!L$4)*100,2)))</f>
        <v/>
      </c>
      <c r="L120" s="508">
        <f>IF(A120="",0,LOOKUP(D120,'M+'!$A$4:$A$71,'M+'!$N$4:$N$71))</f>
        <v>0</v>
      </c>
      <c r="M120" s="508">
        <f>IF(A120="",0,LOOKUP(F120,'M+'!$A$4:$A$71,'M+'!$N$4:$N$71))</f>
        <v>0</v>
      </c>
      <c r="N120" s="517" t="str">
        <f t="shared" si="75"/>
        <v/>
      </c>
      <c r="O120" s="512" t="str">
        <f t="shared" si="76"/>
        <v/>
      </c>
    </row>
    <row r="121" spans="1:15" ht="18" customHeight="1">
      <c r="A121" s="504" t="str">
        <f>IF(F121=0,"",IF(A120="",IF(V$87&gt;=MAX(A$90:A120)+1,MAX(A$90:A120)+1,""),A120+1))</f>
        <v/>
      </c>
      <c r="B121" s="505" t="str">
        <f t="shared" si="83"/>
        <v/>
      </c>
      <c r="C121" s="506" t="str">
        <f>IF(A121="","",IF(Espesor!$J$3="Techo","Lt-","Le-"))</f>
        <v/>
      </c>
      <c r="D121" s="507"/>
      <c r="E121" s="506" t="str">
        <f>IF(A121="","",IF(Espesor!$J$3="Techo","LT-","LE-"))</f>
        <v/>
      </c>
      <c r="F121" s="507"/>
      <c r="G121" s="520" t="str">
        <f>IF(A121="","",Compesaciones!D152)</f>
        <v/>
      </c>
      <c r="H121" s="509" t="str">
        <f>IF(F121=0,"",MAX(LOOKUP(D121,Espesor!C$8:C$41,Espesor!O$8:O$41),LOOKUP(F121,Espesor!C$8:C$41,Espesor!O$8:O$41)))</f>
        <v/>
      </c>
      <c r="I121" s="510" t="str">
        <f>IF(G121="","",IF(G121&lt;=0," ",0.848-SQRT(0.719-G121/(0.53*100*(H121-Espesor!L$4)^2*Espesor!E$4))))</f>
        <v/>
      </c>
      <c r="J121" s="510" t="str">
        <f>IF(G121="","",IF(G121&lt;=0," ",IF(I121*Espesor!E$4/Espesor!H$4&lt;0.002,0.002,I121*Espesor!E$4/Espesor!H$4)))</f>
        <v/>
      </c>
      <c r="K121" s="511" t="str">
        <f>IF(G121="","",IF(G121&lt;=0,"------",ROUND(J121*(H121-Espesor!L$4)*100,2)))</f>
        <v/>
      </c>
      <c r="L121" s="508">
        <f>IF(A121="",0,LOOKUP(D121,'M+'!$A$4:$A$71,'M+'!$N$4:$N$71))</f>
        <v>0</v>
      </c>
      <c r="M121" s="508">
        <f>IF(A121="",0,LOOKUP(F121,'M+'!$A$4:$A$71,'M+'!$N$4:$N$71))</f>
        <v>0</v>
      </c>
      <c r="N121" s="517" t="str">
        <f t="shared" si="75"/>
        <v/>
      </c>
      <c r="O121" s="512" t="str">
        <f t="shared" si="76"/>
        <v/>
      </c>
    </row>
    <row r="122" spans="1:15" ht="18" customHeight="1">
      <c r="A122" s="504" t="str">
        <f>IF(F122=0,"",IF(A121="",IF(V$87&gt;=MAX(A$90:A121)+1,MAX(A$90:A121)+1,""),A121+1))</f>
        <v/>
      </c>
      <c r="B122" s="505" t="str">
        <f t="shared" si="83"/>
        <v/>
      </c>
      <c r="C122" s="506" t="str">
        <f>IF(A122="","",IF(Espesor!$J$3="Techo","Lt-","Le-"))</f>
        <v/>
      </c>
      <c r="D122" s="507"/>
      <c r="E122" s="506" t="str">
        <f>IF(A122="","",IF(Espesor!$J$3="Techo","LT-","LE-"))</f>
        <v/>
      </c>
      <c r="F122" s="507"/>
      <c r="G122" s="520" t="str">
        <f>IF(A122="","",Compesaciones!D153)</f>
        <v/>
      </c>
      <c r="H122" s="509" t="str">
        <f>IF(F122=0,"",MAX(LOOKUP(D122,Espesor!C$8:C$41,Espesor!O$8:O$41),LOOKUP(F122,Espesor!C$8:C$41,Espesor!O$8:O$41)))</f>
        <v/>
      </c>
      <c r="I122" s="510" t="str">
        <f>IF(G122="","",IF(G122&lt;=0," ",0.848-SQRT(0.719-G122/(0.53*100*(H122-Espesor!L$4)^2*Espesor!E$4))))</f>
        <v/>
      </c>
      <c r="J122" s="510" t="str">
        <f>IF(G122="","",IF(G122&lt;=0," ",IF(I122*Espesor!E$4/Espesor!H$4&lt;0.002,0.002,I122*Espesor!E$4/Espesor!H$4)))</f>
        <v/>
      </c>
      <c r="K122" s="511" t="str">
        <f>IF(G122="","",IF(G122&lt;=0,"------",ROUND(J122*(H122-Espesor!L$4)*100,2)))</f>
        <v/>
      </c>
      <c r="L122" s="508">
        <f>IF(A122="",0,LOOKUP(D122,'M+'!$A$4:$A$71,'M+'!$N$4:$N$71))</f>
        <v>0</v>
      </c>
      <c r="M122" s="508">
        <f>IF(A122="",0,LOOKUP(F122,'M+'!$A$4:$A$71,'M+'!$N$4:$N$71))</f>
        <v>0</v>
      </c>
      <c r="N122" s="517" t="str">
        <f t="shared" si="75"/>
        <v/>
      </c>
      <c r="O122" s="512" t="str">
        <f t="shared" si="76"/>
        <v/>
      </c>
    </row>
    <row r="123" spans="1:15" ht="18" customHeight="1">
      <c r="A123" s="504" t="str">
        <f>IF(F123=0,"",IF(A122="",IF(V$87&gt;=MAX(A$90:A122)+1,MAX(A$90:A122)+1,""),A122+1))</f>
        <v/>
      </c>
      <c r="B123" s="505" t="str">
        <f t="shared" si="83"/>
        <v/>
      </c>
      <c r="C123" s="506" t="str">
        <f>IF(A123="","",IF(Espesor!$J$3="Techo","Lt-","Le-"))</f>
        <v/>
      </c>
      <c r="D123" s="507"/>
      <c r="E123" s="506" t="str">
        <f>IF(A123="","",IF(Espesor!$J$3="Techo","LT-","LE-"))</f>
        <v/>
      </c>
      <c r="F123" s="507"/>
      <c r="G123" s="520" t="str">
        <f>IF(A123="","",Compesaciones!D154)</f>
        <v/>
      </c>
      <c r="H123" s="509" t="str">
        <f>IF(F123=0,"",MAX(LOOKUP(D123,Espesor!C$8:C$41,Espesor!O$8:O$41),LOOKUP(F123,Espesor!C$8:C$41,Espesor!O$8:O$41)))</f>
        <v/>
      </c>
      <c r="I123" s="510" t="str">
        <f>IF(G123="","",IF(G123&lt;=0," ",0.848-SQRT(0.719-G123/(0.53*100*(H123-Espesor!L$4)^2*Espesor!E$4))))</f>
        <v/>
      </c>
      <c r="J123" s="510" t="str">
        <f>IF(G123="","",IF(G123&lt;=0," ",IF(I123*Espesor!E$4/Espesor!H$4&lt;0.002,0.002,I123*Espesor!E$4/Espesor!H$4)))</f>
        <v/>
      </c>
      <c r="K123" s="511" t="str">
        <f>IF(G123="","",IF(G123&lt;=0,"------",ROUND(J123*(H123-Espesor!L$4)*100,2)))</f>
        <v/>
      </c>
      <c r="L123" s="508">
        <f>IF(A123="",0,LOOKUP(D123,'M+'!$A$4:$A$71,'M+'!$N$4:$N$71))</f>
        <v>0</v>
      </c>
      <c r="M123" s="508">
        <f>IF(A123="",0,LOOKUP(F123,'M+'!$A$4:$A$71,'M+'!$N$4:$N$71))</f>
        <v>0</v>
      </c>
      <c r="N123" s="517" t="str">
        <f t="shared" si="75"/>
        <v/>
      </c>
      <c r="O123" s="512" t="str">
        <f t="shared" si="76"/>
        <v/>
      </c>
    </row>
    <row r="124" spans="1:15" ht="18" customHeight="1">
      <c r="A124" s="504" t="str">
        <f>IF(F124=0,"",IF(A123="",IF(V$87&gt;=MAX(A$90:A123)+1,MAX(A$90:A123)+1,""),A123+1))</f>
        <v/>
      </c>
      <c r="B124" s="505" t="str">
        <f t="shared" si="83"/>
        <v/>
      </c>
      <c r="C124" s="506" t="str">
        <f>IF(A124="","",IF(Espesor!$J$3="Techo","Lt-","Le-"))</f>
        <v/>
      </c>
      <c r="D124" s="507"/>
      <c r="E124" s="506" t="str">
        <f>IF(A124="","",IF(Espesor!$J$3="Techo","LT-","LE-"))</f>
        <v/>
      </c>
      <c r="F124" s="507"/>
      <c r="G124" s="520" t="str">
        <f>IF(A124="","",Compesaciones!D155)</f>
        <v/>
      </c>
      <c r="H124" s="509" t="str">
        <f>IF(F124=0,"",MAX(LOOKUP(D124,Espesor!C$8:C$41,Espesor!O$8:O$41),LOOKUP(F124,Espesor!C$8:C$41,Espesor!O$8:O$41)))</f>
        <v/>
      </c>
      <c r="I124" s="510" t="str">
        <f>IF(G124="","",IF(G124&lt;=0," ",0.848-SQRT(0.719-G124/(0.53*100*(H124-Espesor!L$4)^2*Espesor!E$4))))</f>
        <v/>
      </c>
      <c r="J124" s="510" t="str">
        <f>IF(G124="","",IF(G124&lt;=0," ",IF(I124*Espesor!E$4/Espesor!H$4&lt;0.002,0.002,I124*Espesor!E$4/Espesor!H$4)))</f>
        <v/>
      </c>
      <c r="K124" s="511" t="str">
        <f>IF(G124="","",IF(G124&lt;=0,"------",ROUND(J124*(H124-Espesor!L$4)*100,2)))</f>
        <v/>
      </c>
      <c r="L124" s="508">
        <f>IF(A124="",0,LOOKUP(D124,'M+'!$A$4:$A$71,'M+'!$N$4:$N$71))</f>
        <v>0</v>
      </c>
      <c r="M124" s="508">
        <f>IF(A124="",0,LOOKUP(F124,'M+'!$A$4:$A$71,'M+'!$N$4:$N$71))</f>
        <v>0</v>
      </c>
      <c r="N124" s="517" t="str">
        <f t="shared" si="75"/>
        <v/>
      </c>
      <c r="O124" s="512" t="str">
        <f t="shared" si="76"/>
        <v/>
      </c>
    </row>
    <row r="125" spans="1:15" ht="18" customHeight="1">
      <c r="A125" s="504" t="str">
        <f>IF(F125=0,"",IF(A124="",IF(V$87&gt;=MAX(A$90:A124)+1,MAX(A$90:A124)+1,""),A124+1))</f>
        <v/>
      </c>
      <c r="B125" s="505" t="str">
        <f t="shared" si="83"/>
        <v/>
      </c>
      <c r="C125" s="506" t="str">
        <f>IF(A125="","",IF(Espesor!$J$3="Techo","Lt-","Le-"))</f>
        <v/>
      </c>
      <c r="D125" s="507"/>
      <c r="E125" s="506" t="str">
        <f>IF(A125="","",IF(Espesor!$J$3="Techo","LT-","LE-"))</f>
        <v/>
      </c>
      <c r="F125" s="507"/>
      <c r="G125" s="520" t="str">
        <f>IF(A125="","",Compesaciones!D156)</f>
        <v/>
      </c>
      <c r="H125" s="509" t="str">
        <f>IF(F125=0,"",MAX(LOOKUP(D125,Espesor!C$8:C$41,Espesor!O$8:O$41),LOOKUP(F125,Espesor!C$8:C$41,Espesor!O$8:O$41)))</f>
        <v/>
      </c>
      <c r="I125" s="510" t="str">
        <f>IF(G125="","",IF(G125&lt;=0," ",0.848-SQRT(0.719-G125/(0.53*100*(H125-Espesor!L$4)^2*Espesor!E$4))))</f>
        <v/>
      </c>
      <c r="J125" s="510" t="str">
        <f>IF(G125="","",IF(G125&lt;=0," ",IF(I125*Espesor!E$4/Espesor!H$4&lt;0.002,0.002,I125*Espesor!E$4/Espesor!H$4)))</f>
        <v/>
      </c>
      <c r="K125" s="511" t="str">
        <f>IF(G125="","",IF(G125&lt;=0,"------",ROUND(J125*(H125-Espesor!L$4)*100,2)))</f>
        <v/>
      </c>
      <c r="L125" s="508">
        <f>IF(A125="",0,LOOKUP(D125,'M+'!$A$4:$A$71,'M+'!$N$4:$N$71))</f>
        <v>0</v>
      </c>
      <c r="M125" s="508">
        <f>IF(A125="",0,LOOKUP(F125,'M+'!$A$4:$A$71,'M+'!$N$4:$N$71))</f>
        <v>0</v>
      </c>
      <c r="N125" s="517" t="str">
        <f t="shared" si="75"/>
        <v/>
      </c>
      <c r="O125" s="512" t="str">
        <f t="shared" si="76"/>
        <v/>
      </c>
    </row>
    <row r="126" spans="1:15" ht="18" customHeight="1">
      <c r="A126" s="504" t="str">
        <f>IF(F126=0,"",IF(A125="",IF(V$87&gt;=MAX(A$90:A125)+1,MAX(A$90:A125)+1,""),A125+1))</f>
        <v/>
      </c>
      <c r="B126" s="505" t="str">
        <f t="shared" si="83"/>
        <v/>
      </c>
      <c r="C126" s="506" t="str">
        <f>IF(A126="","",IF(Espesor!$J$3="Techo","Lt-","Le-"))</f>
        <v/>
      </c>
      <c r="D126" s="507"/>
      <c r="E126" s="506" t="str">
        <f>IF(A126="","",IF(Espesor!$J$3="Techo","LT-","LE-"))</f>
        <v/>
      </c>
      <c r="F126" s="507"/>
      <c r="G126" s="520" t="str">
        <f>IF(A126="","",Compesaciones!D157)</f>
        <v/>
      </c>
      <c r="H126" s="509" t="str">
        <f>IF(F126=0,"",MAX(LOOKUP(D126,Espesor!C$8:C$41,Espesor!O$8:O$41),LOOKUP(F126,Espesor!C$8:C$41,Espesor!O$8:O$41)))</f>
        <v/>
      </c>
      <c r="I126" s="510" t="str">
        <f>IF(G126="","",IF(G126&lt;=0," ",0.848-SQRT(0.719-G126/(0.53*100*(H126-Espesor!L$4)^2*Espesor!E$4))))</f>
        <v/>
      </c>
      <c r="J126" s="510" t="str">
        <f>IF(G126="","",IF(G126&lt;=0," ",IF(I126*Espesor!E$4/Espesor!H$4&lt;0.002,0.002,I126*Espesor!E$4/Espesor!H$4)))</f>
        <v/>
      </c>
      <c r="K126" s="511" t="str">
        <f>IF(G126="","",IF(G126&lt;=0,"------",ROUND(J126*(H126-Espesor!L$4)*100,2)))</f>
        <v/>
      </c>
      <c r="L126" s="508">
        <f>IF(A126="",0,LOOKUP(D126,'M+'!$A$4:$A$71,'M+'!$N$4:$N$71))</f>
        <v>0</v>
      </c>
      <c r="M126" s="508">
        <f>IF(A126="",0,LOOKUP(F126,'M+'!$A$4:$A$71,'M+'!$N$4:$N$71))</f>
        <v>0</v>
      </c>
      <c r="N126" s="517" t="str">
        <f t="shared" si="75"/>
        <v/>
      </c>
      <c r="O126" s="512" t="str">
        <f t="shared" si="76"/>
        <v/>
      </c>
    </row>
    <row r="127" spans="1:15" ht="18" customHeight="1">
      <c r="A127" s="504" t="str">
        <f>IF(F127=0,"",IF(A126="",IF(V$87&gt;=MAX(A$90:A126)+1,MAX(A$90:A126)+1,""),A126+1))</f>
        <v/>
      </c>
      <c r="B127" s="505" t="str">
        <f t="shared" si="83"/>
        <v/>
      </c>
      <c r="C127" s="506" t="str">
        <f>IF(A127="","",IF(Espesor!$J$3="Techo","Lt-","Le-"))</f>
        <v/>
      </c>
      <c r="D127" s="507"/>
      <c r="E127" s="506" t="str">
        <f>IF(A127="","",IF(Espesor!$J$3="Techo","LT-","LE-"))</f>
        <v/>
      </c>
      <c r="F127" s="507"/>
      <c r="G127" s="520" t="str">
        <f>IF(A127="","",Compesaciones!D158)</f>
        <v/>
      </c>
      <c r="H127" s="509" t="str">
        <f>IF(F127=0,"",MAX(LOOKUP(D127,Espesor!C$8:C$41,Espesor!O$8:O$41),LOOKUP(F127,Espesor!C$8:C$41,Espesor!O$8:O$41)))</f>
        <v/>
      </c>
      <c r="I127" s="510" t="str">
        <f>IF(G127="","",IF(G127&lt;=0," ",0.848-SQRT(0.719-G127/(0.53*100*(H127-Espesor!L$4)^2*Espesor!E$4))))</f>
        <v/>
      </c>
      <c r="J127" s="510" t="str">
        <f>IF(G127="","",IF(G127&lt;=0," ",IF(I127*Espesor!E$4/Espesor!H$4&lt;0.002,0.002,I127*Espesor!E$4/Espesor!H$4)))</f>
        <v/>
      </c>
      <c r="K127" s="511" t="str">
        <f>IF(G127="","",IF(G127&lt;=0,"------",ROUND(J127*(H127-Espesor!L$4)*100,2)))</f>
        <v/>
      </c>
      <c r="L127" s="508">
        <f>IF(A127="",0,LOOKUP(D127,'M+'!$A$4:$A$71,'M+'!$N$4:$N$71))</f>
        <v>0</v>
      </c>
      <c r="M127" s="508">
        <f>IF(A127="",0,LOOKUP(F127,'M+'!$A$4:$A$71,'M+'!$N$4:$N$71))</f>
        <v>0</v>
      </c>
      <c r="N127" s="517" t="str">
        <f t="shared" si="75"/>
        <v/>
      </c>
      <c r="O127" s="512" t="str">
        <f t="shared" si="76"/>
        <v/>
      </c>
    </row>
    <row r="128" spans="1:15" ht="18" customHeight="1">
      <c r="A128" s="504" t="str">
        <f>IF(F128=0,"",IF(A127="",IF(V$87&gt;=MAX(A$90:A127)+1,MAX(A$90:A127)+1,""),A127+1))</f>
        <v/>
      </c>
      <c r="B128" s="505" t="str">
        <f t="shared" si="83"/>
        <v/>
      </c>
      <c r="C128" s="506" t="str">
        <f>IF(A128="","",IF(Espesor!$J$3="Techo","Lt-","Le-"))</f>
        <v/>
      </c>
      <c r="D128" s="507"/>
      <c r="E128" s="506" t="str">
        <f>IF(A128="","",IF(Espesor!$J$3="Techo","LT-","LE-"))</f>
        <v/>
      </c>
      <c r="F128" s="507"/>
      <c r="G128" s="520" t="str">
        <f>IF(A128="","",Compesaciones!D159)</f>
        <v/>
      </c>
      <c r="H128" s="509" t="str">
        <f>IF(F128=0,"",MAX(LOOKUP(D128,Espesor!C$8:C$41,Espesor!O$8:O$41),LOOKUP(F128,Espesor!C$8:C$41,Espesor!O$8:O$41)))</f>
        <v/>
      </c>
      <c r="I128" s="510" t="str">
        <f>IF(G128="","",IF(G128&lt;=0," ",0.848-SQRT(0.719-G128/(0.53*100*(H128-Espesor!L$4)^2*Espesor!E$4))))</f>
        <v/>
      </c>
      <c r="J128" s="510" t="str">
        <f>IF(G128="","",IF(G128&lt;=0," ",IF(I128*Espesor!E$4/Espesor!H$4&lt;0.002,0.002,I128*Espesor!E$4/Espesor!H$4)))</f>
        <v/>
      </c>
      <c r="K128" s="511" t="str">
        <f>IF(G128="","",IF(G128&lt;=0,"------",ROUND(J128*(H128-Espesor!L$4)*100,2)))</f>
        <v/>
      </c>
      <c r="L128" s="508">
        <f>IF(A128="",0,LOOKUP(D128,'M+'!$A$4:$A$71,'M+'!$N$4:$N$71))</f>
        <v>0</v>
      </c>
      <c r="M128" s="508">
        <f>IF(A128="",0,LOOKUP(F128,'M+'!$A$4:$A$71,'M+'!$N$4:$N$71))</f>
        <v>0</v>
      </c>
      <c r="N128" s="517" t="str">
        <f t="shared" si="75"/>
        <v/>
      </c>
      <c r="O128" s="512" t="str">
        <f t="shared" si="76"/>
        <v/>
      </c>
    </row>
    <row r="129" spans="1:15" ht="18" customHeight="1">
      <c r="A129" s="504" t="str">
        <f>IF(F129=0,"",IF(A128="",IF(V$87&gt;=MAX(A$90:A128)+1,MAX(A$90:A128)+1,""),A128+1))</f>
        <v/>
      </c>
      <c r="B129" s="505" t="str">
        <f t="shared" si="83"/>
        <v/>
      </c>
      <c r="C129" s="506" t="str">
        <f>IF(A129="","",IF(Espesor!$J$3="Techo","Lt-","Le-"))</f>
        <v/>
      </c>
      <c r="D129" s="507"/>
      <c r="E129" s="506" t="str">
        <f>IF(A129="","",IF(Espesor!$J$3="Techo","LT-","LE-"))</f>
        <v/>
      </c>
      <c r="F129" s="507"/>
      <c r="G129" s="520" t="str">
        <f>IF(A129="","",Compesaciones!D160)</f>
        <v/>
      </c>
      <c r="H129" s="509" t="str">
        <f>IF(F129=0,"",MAX(LOOKUP(D129,Espesor!C$8:C$41,Espesor!O$8:O$41),LOOKUP(F129,Espesor!C$8:C$41,Espesor!O$8:O$41)))</f>
        <v/>
      </c>
      <c r="I129" s="510" t="str">
        <f>IF(G129="","",IF(G129&lt;=0," ",0.848-SQRT(0.719-G129/(0.53*100*(H129-Espesor!L$4)^2*Espesor!E$4))))</f>
        <v/>
      </c>
      <c r="J129" s="510" t="str">
        <f>IF(G129="","",IF(G129&lt;=0," ",IF(I129*Espesor!E$4/Espesor!H$4&lt;0.002,0.002,I129*Espesor!E$4/Espesor!H$4)))</f>
        <v/>
      </c>
      <c r="K129" s="511" t="str">
        <f>IF(G129="","",IF(G129&lt;=0,"------",ROUND(J129*(H129-Espesor!L$4)*100,2)))</f>
        <v/>
      </c>
      <c r="L129" s="508">
        <f>IF(A129="",0,LOOKUP(D129,'M+'!$A$4:$A$71,'M+'!$N$4:$N$71))</f>
        <v>0</v>
      </c>
      <c r="M129" s="508">
        <f>IF(A129="",0,LOOKUP(F129,'M+'!$A$4:$A$71,'M+'!$N$4:$N$71))</f>
        <v>0</v>
      </c>
      <c r="N129" s="517" t="str">
        <f t="shared" si="75"/>
        <v/>
      </c>
      <c r="O129" s="512" t="str">
        <f t="shared" si="76"/>
        <v/>
      </c>
    </row>
    <row r="130" spans="1:15" ht="18" customHeight="1">
      <c r="A130" s="504" t="str">
        <f>IF(F130=0,"",IF(A129="",IF(V$87&gt;=MAX(A$90:A129)+1,MAX(A$90:A129)+1,""),A129+1))</f>
        <v/>
      </c>
      <c r="B130" s="505" t="str">
        <f t="shared" si="83"/>
        <v/>
      </c>
      <c r="C130" s="506" t="str">
        <f>IF(A130="","",IF(Espesor!$J$3="Techo","Lt-","Le-"))</f>
        <v/>
      </c>
      <c r="D130" s="507"/>
      <c r="E130" s="506" t="str">
        <f>IF(A130="","",IF(Espesor!$J$3="Techo","LT-","LE-"))</f>
        <v/>
      </c>
      <c r="F130" s="507"/>
      <c r="G130" s="520" t="str">
        <f>IF(A130="","",Compesaciones!D161)</f>
        <v/>
      </c>
      <c r="H130" s="509" t="str">
        <f>IF(F130=0,"",MAX(LOOKUP(D130,Espesor!C$8:C$41,Espesor!O$8:O$41),LOOKUP(F130,Espesor!C$8:C$41,Espesor!O$8:O$41)))</f>
        <v/>
      </c>
      <c r="I130" s="510" t="str">
        <f>IF(G130="","",IF(G130&lt;=0," ",0.848-SQRT(0.719-G130/(0.53*100*(H130-Espesor!L$4)^2*Espesor!E$4))))</f>
        <v/>
      </c>
      <c r="J130" s="510" t="str">
        <f>IF(G130="","",IF(G130&lt;=0," ",IF(I130*Espesor!E$4/Espesor!H$4&lt;0.002,0.002,I130*Espesor!E$4/Espesor!H$4)))</f>
        <v/>
      </c>
      <c r="K130" s="511" t="str">
        <f>IF(G130="","",IF(G130&lt;=0,"------",ROUND(J130*(H130-Espesor!L$4)*100,2)))</f>
        <v/>
      </c>
      <c r="L130" s="508">
        <f>IF(A130="",0,LOOKUP(D130,'M+'!$A$4:$A$71,'M+'!$N$4:$N$71))</f>
        <v>0</v>
      </c>
      <c r="M130" s="508">
        <f>IF(A130="",0,LOOKUP(F130,'M+'!$A$4:$A$71,'M+'!$N$4:$N$71))</f>
        <v>0</v>
      </c>
      <c r="N130" s="517" t="str">
        <f t="shared" si="75"/>
        <v/>
      </c>
      <c r="O130" s="512" t="str">
        <f t="shared" si="76"/>
        <v/>
      </c>
    </row>
    <row r="131" spans="1:15" ht="18" customHeight="1">
      <c r="A131" s="504" t="str">
        <f>IF(F131=0,"",IF(A130="",IF(V$87&gt;=MAX(A$90:A130)+1,MAX(A$90:A130)+1,""),A130+1))</f>
        <v/>
      </c>
      <c r="B131" s="505" t="str">
        <f t="shared" si="83"/>
        <v/>
      </c>
      <c r="C131" s="506" t="str">
        <f>IF(A131="","",IF(Espesor!$J$3="Techo","Lt-","Le-"))</f>
        <v/>
      </c>
      <c r="D131" s="507"/>
      <c r="E131" s="506" t="str">
        <f>IF(A131="","",IF(Espesor!$J$3="Techo","LT-","LE-"))</f>
        <v/>
      </c>
      <c r="F131" s="507"/>
      <c r="G131" s="520" t="str">
        <f>IF(A131="","",Compesaciones!D162)</f>
        <v/>
      </c>
      <c r="H131" s="509" t="str">
        <f>IF(F131=0,"",MAX(LOOKUP(D131,Espesor!C$8:C$41,Espesor!O$8:O$41),LOOKUP(F131,Espesor!C$8:C$41,Espesor!O$8:O$41)))</f>
        <v/>
      </c>
      <c r="I131" s="510" t="str">
        <f>IF(G131="","",IF(G131&lt;=0," ",0.848-SQRT(0.719-G131/(0.53*100*(H131-Espesor!L$4)^2*Espesor!E$4))))</f>
        <v/>
      </c>
      <c r="J131" s="510" t="str">
        <f>IF(G131="","",IF(G131&lt;=0," ",IF(I131*Espesor!E$4/Espesor!H$4&lt;0.002,0.002,I131*Espesor!E$4/Espesor!H$4)))</f>
        <v/>
      </c>
      <c r="K131" s="511" t="str">
        <f>IF(G131="","",IF(G131&lt;=0,"------",ROUND(J131*(H131-Espesor!L$4)*100,2)))</f>
        <v/>
      </c>
      <c r="L131" s="508">
        <f>IF(A131="",0,LOOKUP(D131,'M+'!$A$4:$A$71,'M+'!$N$4:$N$71))</f>
        <v>0</v>
      </c>
      <c r="M131" s="508">
        <f>IF(A131="",0,LOOKUP(F131,'M+'!$A$4:$A$71,'M+'!$N$4:$N$71))</f>
        <v>0</v>
      </c>
      <c r="N131" s="517" t="str">
        <f t="shared" si="75"/>
        <v/>
      </c>
      <c r="O131" s="512" t="str">
        <f t="shared" si="76"/>
        <v/>
      </c>
    </row>
    <row r="132" spans="1:15" ht="18" customHeight="1">
      <c r="A132" s="504" t="str">
        <f>IF(F132=0,"",IF(A131="",IF(V$87&gt;=MAX(A$90:A131)+1,MAX(A$90:A131)+1,""),A131+1))</f>
        <v/>
      </c>
      <c r="B132" s="505" t="str">
        <f t="shared" si="83"/>
        <v/>
      </c>
      <c r="C132" s="506" t="str">
        <f>IF(A132="","",IF(Espesor!$J$3="Techo","Lt-","Le-"))</f>
        <v/>
      </c>
      <c r="D132" s="507"/>
      <c r="E132" s="506" t="str">
        <f>IF(A132="","",IF(Espesor!$J$3="Techo","LT-","LE-"))</f>
        <v/>
      </c>
      <c r="F132" s="507"/>
      <c r="G132" s="520" t="str">
        <f>IF(A132="","",Compesaciones!D163)</f>
        <v/>
      </c>
      <c r="H132" s="509" t="str">
        <f>IF(F132=0,"",MAX(LOOKUP(D132,Espesor!C$8:C$41,Espesor!O$8:O$41),LOOKUP(F132,Espesor!C$8:C$41,Espesor!O$8:O$41)))</f>
        <v/>
      </c>
      <c r="I132" s="510" t="str">
        <f>IF(G132="","",IF(G132&lt;=0," ",0.848-SQRT(0.719-G132/(0.53*100*(H132-Espesor!L$4)^2*Espesor!E$4))))</f>
        <v/>
      </c>
      <c r="J132" s="510" t="str">
        <f>IF(G132="","",IF(G132&lt;=0," ",IF(I132*Espesor!E$4/Espesor!H$4&lt;0.002,0.002,I132*Espesor!E$4/Espesor!H$4)))</f>
        <v/>
      </c>
      <c r="K132" s="511" t="str">
        <f>IF(G132="","",IF(G132&lt;=0,"------",ROUND(J132*(H132-Espesor!L$4)*100,2)))</f>
        <v/>
      </c>
      <c r="L132" s="508">
        <f>IF(A132="",0,LOOKUP(D132,'M+'!$A$4:$A$71,'M+'!$N$4:$N$71))</f>
        <v>0</v>
      </c>
      <c r="M132" s="508">
        <f>IF(A132="",0,LOOKUP(F132,'M+'!$A$4:$A$71,'M+'!$N$4:$N$71))</f>
        <v>0</v>
      </c>
      <c r="N132" s="517" t="str">
        <f t="shared" si="75"/>
        <v/>
      </c>
      <c r="O132" s="512" t="str">
        <f t="shared" si="76"/>
        <v/>
      </c>
    </row>
    <row r="133" spans="1:15" ht="18" customHeight="1">
      <c r="A133" s="504" t="str">
        <f>IF(F133=0,"",IF(A132="",IF(V$87&gt;=MAX(A$90:A132)+1,MAX(A$90:A132)+1,""),A132+1))</f>
        <v/>
      </c>
      <c r="B133" s="505" t="str">
        <f t="shared" si="83"/>
        <v/>
      </c>
      <c r="C133" s="506" t="str">
        <f>IF(A133="","",IF(Espesor!$J$3="Techo","Lt-","Le-"))</f>
        <v/>
      </c>
      <c r="D133" s="507"/>
      <c r="E133" s="506" t="str">
        <f>IF(A133="","",IF(Espesor!$J$3="Techo","LT-","LE-"))</f>
        <v/>
      </c>
      <c r="F133" s="507"/>
      <c r="G133" s="520" t="str">
        <f>IF(A133="","",Compesaciones!D164)</f>
        <v/>
      </c>
      <c r="H133" s="509" t="str">
        <f>IF(F133=0,"",MAX(LOOKUP(D133,Espesor!C$8:C$41,Espesor!O$8:O$41),LOOKUP(F133,Espesor!C$8:C$41,Espesor!O$8:O$41)))</f>
        <v/>
      </c>
      <c r="I133" s="510" t="str">
        <f>IF(G133="","",IF(G133&lt;=0," ",0.848-SQRT(0.719-G133/(0.53*100*(H133-Espesor!L$4)^2*Espesor!E$4))))</f>
        <v/>
      </c>
      <c r="J133" s="510" t="str">
        <f>IF(G133="","",IF(G133&lt;=0," ",IF(I133*Espesor!E$4/Espesor!H$4&lt;0.002,0.002,I133*Espesor!E$4/Espesor!H$4)))</f>
        <v/>
      </c>
      <c r="K133" s="511" t="str">
        <f>IF(G133="","",IF(G133&lt;=0,"------",ROUND(J133*(H133-Espesor!L$4)*100,2)))</f>
        <v/>
      </c>
      <c r="L133" s="508">
        <f>IF(A133="",0,LOOKUP(D133,'M+'!$A$4:$A$71,'M+'!$N$4:$N$71))</f>
        <v>0</v>
      </c>
      <c r="M133" s="508">
        <f>IF(A133="",0,LOOKUP(F133,'M+'!$A$4:$A$71,'M+'!$N$4:$N$71))</f>
        <v>0</v>
      </c>
      <c r="N133" s="517" t="str">
        <f t="shared" si="75"/>
        <v/>
      </c>
      <c r="O133" s="512" t="str">
        <f t="shared" si="76"/>
        <v/>
      </c>
    </row>
    <row r="134" spans="1:15" ht="18" customHeight="1">
      <c r="A134" s="504" t="str">
        <f>IF(F134=0,"",IF(A133="",IF(V$87&gt;=MAX(A$90:A133)+1,MAX(A$90:A133)+1,""),A133+1))</f>
        <v/>
      </c>
      <c r="B134" s="505" t="str">
        <f t="shared" si="83"/>
        <v/>
      </c>
      <c r="C134" s="506" t="str">
        <f>IF(A134="","",IF(Espesor!$J$3="Techo","Lt-","Le-"))</f>
        <v/>
      </c>
      <c r="D134" s="507"/>
      <c r="E134" s="506" t="str">
        <f>IF(A134="","",IF(Espesor!$J$3="Techo","LT-","LE-"))</f>
        <v/>
      </c>
      <c r="F134" s="507"/>
      <c r="G134" s="520" t="str">
        <f>IF(A134="","",Compesaciones!D165)</f>
        <v/>
      </c>
      <c r="H134" s="509" t="str">
        <f>IF(F134=0,"",MAX(LOOKUP(D134,Espesor!C$8:C$41,Espesor!O$8:O$41),LOOKUP(F134,Espesor!C$8:C$41,Espesor!O$8:O$41)))</f>
        <v/>
      </c>
      <c r="I134" s="510" t="str">
        <f>IF(G134="","",IF(G134&lt;=0," ",0.848-SQRT(0.719-G134/(0.53*100*(H134-Espesor!L$4)^2*Espesor!E$4))))</f>
        <v/>
      </c>
      <c r="J134" s="510" t="str">
        <f>IF(G134="","",IF(G134&lt;=0," ",IF(I134*Espesor!E$4/Espesor!H$4&lt;0.002,0.002,I134*Espesor!E$4/Espesor!H$4)))</f>
        <v/>
      </c>
      <c r="K134" s="511" t="str">
        <f>IF(G134="","",IF(G134&lt;=0,"------",ROUND(J134*(H134-Espesor!L$4)*100,2)))</f>
        <v/>
      </c>
      <c r="L134" s="508">
        <f>IF(A134="",0,LOOKUP(D134,'M+'!$A$4:$A$71,'M+'!$N$4:$N$71))</f>
        <v>0</v>
      </c>
      <c r="M134" s="508">
        <f>IF(A134="",0,LOOKUP(F134,'M+'!$A$4:$A$71,'M+'!$N$4:$N$71))</f>
        <v>0</v>
      </c>
      <c r="N134" s="517" t="str">
        <f t="shared" si="75"/>
        <v/>
      </c>
      <c r="O134" s="512" t="str">
        <f t="shared" si="76"/>
        <v/>
      </c>
    </row>
    <row r="135" spans="1:15" ht="18" customHeight="1">
      <c r="A135" s="504" t="str">
        <f>IF(F135=0,"",IF(A134="",IF(V$87&gt;=MAX(A$90:A134)+1,MAX(A$90:A134)+1,""),A134+1))</f>
        <v/>
      </c>
      <c r="B135" s="505" t="str">
        <f t="shared" si="83"/>
        <v/>
      </c>
      <c r="C135" s="506" t="str">
        <f>IF(A135="","",IF(Espesor!$J$3="Techo","Lt-","Le-"))</f>
        <v/>
      </c>
      <c r="D135" s="507"/>
      <c r="E135" s="506" t="str">
        <f>IF(A135="","",IF(Espesor!$J$3="Techo","LT-","LE-"))</f>
        <v/>
      </c>
      <c r="F135" s="507"/>
      <c r="G135" s="520" t="str">
        <f>IF(A135="","",Compesaciones!D166)</f>
        <v/>
      </c>
      <c r="H135" s="509" t="str">
        <f>IF(F135=0,"",MAX(LOOKUP(D135,Espesor!C$8:C$41,Espesor!O$8:O$41),LOOKUP(F135,Espesor!C$8:C$41,Espesor!O$8:O$41)))</f>
        <v/>
      </c>
      <c r="I135" s="510" t="str">
        <f>IF(G135="","",IF(G135&lt;=0," ",0.848-SQRT(0.719-G135/(0.53*100*(H135-Espesor!L$4)^2*Espesor!E$4))))</f>
        <v/>
      </c>
      <c r="J135" s="510" t="str">
        <f>IF(G135="","",IF(G135&lt;=0," ",IF(I135*Espesor!E$4/Espesor!H$4&lt;0.002,0.002,I135*Espesor!E$4/Espesor!H$4)))</f>
        <v/>
      </c>
      <c r="K135" s="511" t="str">
        <f>IF(G135="","",IF(G135&lt;=0,"------",ROUND(J135*(H135-Espesor!L$4)*100,2)))</f>
        <v/>
      </c>
      <c r="L135" s="508">
        <f>IF(A135="",0,LOOKUP(D135,'M+'!$A$4:$A$71,'M+'!$N$4:$N$71))</f>
        <v>0</v>
      </c>
      <c r="M135" s="508">
        <f>IF(A135="",0,LOOKUP(F135,'M+'!$A$4:$A$71,'M+'!$N$4:$N$71))</f>
        <v>0</v>
      </c>
      <c r="N135" s="517" t="str">
        <f t="shared" si="75"/>
        <v/>
      </c>
      <c r="O135" s="512" t="str">
        <f t="shared" si="76"/>
        <v/>
      </c>
    </row>
    <row r="136" spans="1:15" ht="18" customHeight="1">
      <c r="A136" s="504" t="str">
        <f>IF(F136=0,"",IF(A135="",IF(V$87&gt;=MAX(A$90:A135)+1,MAX(A$90:A135)+1,""),A135+1))</f>
        <v/>
      </c>
      <c r="B136" s="505" t="str">
        <f t="shared" si="83"/>
        <v/>
      </c>
      <c r="C136" s="506" t="str">
        <f>IF(A136="","",IF(Espesor!$J$3="Techo","Lt-","Le-"))</f>
        <v/>
      </c>
      <c r="D136" s="507"/>
      <c r="E136" s="506" t="str">
        <f>IF(A136="","",IF(Espesor!$J$3="Techo","LT-","LE-"))</f>
        <v/>
      </c>
      <c r="F136" s="507"/>
      <c r="G136" s="520" t="str">
        <f>IF(A136="","",Compesaciones!D167)</f>
        <v/>
      </c>
      <c r="H136" s="509" t="str">
        <f>IF(F136=0,"",MAX(LOOKUP(D136,Espesor!C$8:C$41,Espesor!O$8:O$41),LOOKUP(F136,Espesor!C$8:C$41,Espesor!O$8:O$41)))</f>
        <v/>
      </c>
      <c r="I136" s="510" t="str">
        <f>IF(G136="","",IF(G136&lt;=0," ",0.848-SQRT(0.719-G136/(0.53*100*(H136-Espesor!L$4)^2*Espesor!E$4))))</f>
        <v/>
      </c>
      <c r="J136" s="510" t="str">
        <f>IF(G136="","",IF(G136&lt;=0," ",IF(I136*Espesor!E$4/Espesor!H$4&lt;0.002,0.002,I136*Espesor!E$4/Espesor!H$4)))</f>
        <v/>
      </c>
      <c r="K136" s="511" t="str">
        <f>IF(G136="","",IF(G136&lt;=0,"------",ROUND(J136*(H136-Espesor!L$4)*100,2)))</f>
        <v/>
      </c>
      <c r="L136" s="508">
        <f>IF(A136="",0,LOOKUP(D136,'M+'!$A$4:$A$71,'M+'!$N$4:$N$71))</f>
        <v>0</v>
      </c>
      <c r="M136" s="508">
        <f>IF(A136="",0,LOOKUP(F136,'M+'!$A$4:$A$71,'M+'!$N$4:$N$71))</f>
        <v>0</v>
      </c>
      <c r="N136" s="517" t="str">
        <f t="shared" si="75"/>
        <v/>
      </c>
      <c r="O136" s="512" t="str">
        <f t="shared" si="76"/>
        <v/>
      </c>
    </row>
    <row r="137" spans="1:15" ht="18" customHeight="1">
      <c r="A137" s="504" t="str">
        <f>IF(F137=0,"",IF(A136="",IF(V$87&gt;=MAX(A$90:A136)+1,MAX(A$90:A136)+1,""),A136+1))</f>
        <v/>
      </c>
      <c r="B137" s="505" t="str">
        <f t="shared" si="83"/>
        <v/>
      </c>
      <c r="C137" s="506" t="str">
        <f>IF(A137="","",IF(Espesor!$J$3="Techo","Lt-","Le-"))</f>
        <v/>
      </c>
      <c r="D137" s="507"/>
      <c r="E137" s="506" t="str">
        <f>IF(A137="","",IF(Espesor!$J$3="Techo","LT-","LE-"))</f>
        <v/>
      </c>
      <c r="F137" s="507"/>
      <c r="G137" s="520" t="str">
        <f>IF(A137="","",Compesaciones!D168)</f>
        <v/>
      </c>
      <c r="H137" s="509" t="str">
        <f>IF(F137=0,"",MAX(LOOKUP(D137,Espesor!C$8:C$41,Espesor!O$8:O$41),LOOKUP(F137,Espesor!C$8:C$41,Espesor!O$8:O$41)))</f>
        <v/>
      </c>
      <c r="I137" s="510" t="str">
        <f>IF(G137="","",IF(G137&lt;=0," ",0.848-SQRT(0.719-G137/(0.53*100*(H137-Espesor!L$4)^2*Espesor!E$4))))</f>
        <v/>
      </c>
      <c r="J137" s="510" t="str">
        <f>IF(G137="","",IF(G137&lt;=0," ",IF(I137*Espesor!E$4/Espesor!H$4&lt;0.002,0.002,I137*Espesor!E$4/Espesor!H$4)))</f>
        <v/>
      </c>
      <c r="K137" s="511" t="str">
        <f>IF(G137="","",IF(G137&lt;=0,"------",ROUND(J137*(H137-Espesor!L$4)*100,2)))</f>
        <v/>
      </c>
      <c r="L137" s="508">
        <f>IF(A137="",0,LOOKUP(D137,'M+'!$A$4:$A$71,'M+'!$N$4:$N$71))</f>
        <v>0</v>
      </c>
      <c r="M137" s="508">
        <f>IF(A137="",0,LOOKUP(F137,'M+'!$A$4:$A$71,'M+'!$N$4:$N$71))</f>
        <v>0</v>
      </c>
      <c r="N137" s="517" t="str">
        <f t="shared" si="75"/>
        <v/>
      </c>
      <c r="O137" s="512" t="str">
        <f t="shared" si="76"/>
        <v/>
      </c>
    </row>
    <row r="138" spans="1:15" ht="18" customHeight="1">
      <c r="A138" s="504" t="str">
        <f>IF(F138=0,"",IF(A137="",IF(V$87&gt;=MAX(A$90:A137)+1,MAX(A$90:A137)+1,""),A137+1))</f>
        <v/>
      </c>
      <c r="B138" s="505" t="str">
        <f t="shared" si="83"/>
        <v/>
      </c>
      <c r="C138" s="506" t="str">
        <f>IF(A138="","",IF(Espesor!$J$3="Techo","Lt-","Le-"))</f>
        <v/>
      </c>
      <c r="D138" s="507"/>
      <c r="E138" s="506" t="str">
        <f>IF(A138="","",IF(Espesor!$J$3="Techo","LT-","LE-"))</f>
        <v/>
      </c>
      <c r="F138" s="507"/>
      <c r="G138" s="520" t="str">
        <f>IF(A138="","",Compesaciones!D169)</f>
        <v/>
      </c>
      <c r="H138" s="509" t="str">
        <f>IF(F138=0,"",MAX(LOOKUP(D138,Espesor!C$8:C$41,Espesor!O$8:O$41),LOOKUP(F138,Espesor!C$8:C$41,Espesor!O$8:O$41)))</f>
        <v/>
      </c>
      <c r="I138" s="510" t="str">
        <f>IF(G138="","",IF(G138&lt;=0," ",0.848-SQRT(0.719-G138/(0.53*100*(H138-Espesor!L$4)^2*Espesor!E$4))))</f>
        <v/>
      </c>
      <c r="J138" s="510" t="str">
        <f>IF(G138="","",IF(G138&lt;=0," ",IF(I138*Espesor!E$4/Espesor!H$4&lt;0.002,0.002,I138*Espesor!E$4/Espesor!H$4)))</f>
        <v/>
      </c>
      <c r="K138" s="511" t="str">
        <f>IF(G138="","",IF(G138&lt;=0,"------",ROUND(J138*(H138-Espesor!L$4)*100,2)))</f>
        <v/>
      </c>
      <c r="L138" s="508">
        <f>IF(A138="",0,LOOKUP(D138,'M+'!$A$4:$A$71,'M+'!$N$4:$N$71))</f>
        <v>0</v>
      </c>
      <c r="M138" s="508">
        <f>IF(A138="",0,LOOKUP(F138,'M+'!$A$4:$A$71,'M+'!$N$4:$N$71))</f>
        <v>0</v>
      </c>
      <c r="N138" s="517" t="str">
        <f t="shared" si="75"/>
        <v/>
      </c>
      <c r="O138" s="512" t="str">
        <f t="shared" si="76"/>
        <v/>
      </c>
    </row>
    <row r="139" spans="1:15" ht="18" customHeight="1">
      <c r="A139" s="504" t="str">
        <f>IF(F139=0,"",IF(A138="",IF(V$87&gt;=MAX(A$90:A138)+1,MAX(A$90:A138)+1,""),A138+1))</f>
        <v/>
      </c>
      <c r="B139" s="505" t="str">
        <f t="shared" si="83"/>
        <v/>
      </c>
      <c r="C139" s="506" t="str">
        <f>IF(A139="","",IF(Espesor!$J$3="Techo","Lt-","Le-"))</f>
        <v/>
      </c>
      <c r="D139" s="507"/>
      <c r="E139" s="506" t="str">
        <f>IF(A139="","",IF(Espesor!$J$3="Techo","LT-","LE-"))</f>
        <v/>
      </c>
      <c r="F139" s="507"/>
      <c r="G139" s="520" t="str">
        <f>IF(A139="","",Compesaciones!D170)</f>
        <v/>
      </c>
      <c r="H139" s="509" t="str">
        <f>IF(F139=0,"",MAX(LOOKUP(D139,Espesor!C$8:C$41,Espesor!O$8:O$41),LOOKUP(F139,Espesor!C$8:C$41,Espesor!O$8:O$41)))</f>
        <v/>
      </c>
      <c r="I139" s="510" t="str">
        <f>IF(G139="","",IF(G139&lt;=0," ",0.848-SQRT(0.719-G139/(0.53*100*(H139-Espesor!L$4)^2*Espesor!E$4))))</f>
        <v/>
      </c>
      <c r="J139" s="510" t="str">
        <f>IF(G139="","",IF(G139&lt;=0," ",IF(I139*Espesor!E$4/Espesor!H$4&lt;0.002,0.002,I139*Espesor!E$4/Espesor!H$4)))</f>
        <v/>
      </c>
      <c r="K139" s="511" t="str">
        <f>IF(G139="","",IF(G139&lt;=0,"------",ROUND(J139*(H139-Espesor!L$4)*100,2)))</f>
        <v/>
      </c>
      <c r="L139" s="508">
        <f>IF(A139="",0,LOOKUP(D139,'M+'!$A$4:$A$71,'M+'!$N$4:$N$71))</f>
        <v>0</v>
      </c>
      <c r="M139" s="508">
        <f>IF(A139="",0,LOOKUP(F139,'M+'!$A$4:$A$71,'M+'!$N$4:$N$71))</f>
        <v>0</v>
      </c>
      <c r="N139" s="517" t="str">
        <f t="shared" si="75"/>
        <v/>
      </c>
      <c r="O139" s="512" t="str">
        <f t="shared" si="76"/>
        <v/>
      </c>
    </row>
    <row r="140" spans="1:15" ht="18" customHeight="1">
      <c r="A140" s="504" t="str">
        <f>IF(F140=0,"",IF(A139="",IF(V$87&gt;=MAX(A$90:A139)+1,MAX(A$90:A139)+1,""),A139+1))</f>
        <v/>
      </c>
      <c r="B140" s="505" t="str">
        <f t="shared" si="83"/>
        <v/>
      </c>
      <c r="C140" s="506" t="str">
        <f>IF(A140="","",IF(Espesor!$J$3="Techo","Lt-","Le-"))</f>
        <v/>
      </c>
      <c r="D140" s="507"/>
      <c r="E140" s="506" t="str">
        <f>IF(A140="","",IF(Espesor!$J$3="Techo","LT-","LE-"))</f>
        <v/>
      </c>
      <c r="F140" s="507"/>
      <c r="G140" s="520" t="str">
        <f>IF(A140="","",Compesaciones!D171)</f>
        <v/>
      </c>
      <c r="H140" s="509" t="str">
        <f>IF(F140=0,"",MAX(LOOKUP(D140,Espesor!C$8:C$41,Espesor!O$8:O$41),LOOKUP(F140,Espesor!C$8:C$41,Espesor!O$8:O$41)))</f>
        <v/>
      </c>
      <c r="I140" s="510" t="str">
        <f>IF(G140="","",IF(G140&lt;=0," ",0.848-SQRT(0.719-G140/(0.53*100*(H140-Espesor!L$4)^2*Espesor!E$4))))</f>
        <v/>
      </c>
      <c r="J140" s="510" t="str">
        <f>IF(G140="","",IF(G140&lt;=0," ",IF(I140*Espesor!E$4/Espesor!H$4&lt;0.002,0.002,I140*Espesor!E$4/Espesor!H$4)))</f>
        <v/>
      </c>
      <c r="K140" s="511" t="str">
        <f>IF(G140="","",IF(G140&lt;=0,"------",ROUND(J140*(H140-Espesor!L$4)*100,2)))</f>
        <v/>
      </c>
      <c r="L140" s="508">
        <f>IF(A140="",0,LOOKUP(D140,'M+'!$A$4:$A$71,'M+'!$N$4:$N$71))</f>
        <v>0</v>
      </c>
      <c r="M140" s="508">
        <f>IF(A140="",0,LOOKUP(F140,'M+'!$A$4:$A$71,'M+'!$N$4:$N$71))</f>
        <v>0</v>
      </c>
      <c r="N140" s="517" t="str">
        <f t="shared" si="75"/>
        <v/>
      </c>
      <c r="O140" s="512" t="str">
        <f t="shared" si="76"/>
        <v/>
      </c>
    </row>
    <row r="141" spans="1:15" ht="18" customHeight="1">
      <c r="A141" s="504" t="str">
        <f>IF(F141=0,"",IF(A140="",IF(V$87&gt;=MAX(A$90:A140)+1,MAX(A$90:A140)+1,""),A140+1))</f>
        <v/>
      </c>
      <c r="B141" s="505" t="str">
        <f t="shared" si="83"/>
        <v/>
      </c>
      <c r="C141" s="506" t="str">
        <f>IF(A141="","",IF(Espesor!$J$3="Techo","Lt-","Le-"))</f>
        <v/>
      </c>
      <c r="D141" s="507"/>
      <c r="E141" s="506" t="str">
        <f>IF(A141="","",IF(Espesor!$J$3="Techo","LT-","LE-"))</f>
        <v/>
      </c>
      <c r="F141" s="507"/>
      <c r="G141" s="520" t="str">
        <f>IF(A141="","",Compesaciones!D172)</f>
        <v/>
      </c>
      <c r="H141" s="509" t="str">
        <f>IF(F141=0,"",MAX(LOOKUP(D141,Espesor!C$8:C$41,Espesor!O$8:O$41),LOOKUP(F141,Espesor!C$8:C$41,Espesor!O$8:O$41)))</f>
        <v/>
      </c>
      <c r="I141" s="510" t="str">
        <f>IF(G141="","",IF(G141&lt;=0," ",0.848-SQRT(0.719-G141/(0.53*100*(H141-Espesor!L$4)^2*Espesor!E$4))))</f>
        <v/>
      </c>
      <c r="J141" s="510" t="str">
        <f>IF(G141="","",IF(G141&lt;=0," ",IF(I141*Espesor!E$4/Espesor!H$4&lt;0.002,0.002,I141*Espesor!E$4/Espesor!H$4)))</f>
        <v/>
      </c>
      <c r="K141" s="511" t="str">
        <f>IF(G141="","",IF(G141&lt;=0,"------",ROUND(J141*(H141-Espesor!L$4)*100,2)))</f>
        <v/>
      </c>
      <c r="L141" s="508">
        <f>IF(A141="",0,LOOKUP(D141,'M+'!$A$4:$A$71,'M+'!$N$4:$N$71))</f>
        <v>0</v>
      </c>
      <c r="M141" s="508">
        <f>IF(A141="",0,LOOKUP(F141,'M+'!$A$4:$A$71,'M+'!$N$4:$N$71))</f>
        <v>0</v>
      </c>
      <c r="N141" s="517" t="str">
        <f t="shared" si="75"/>
        <v/>
      </c>
      <c r="O141" s="512" t="str">
        <f t="shared" si="76"/>
        <v/>
      </c>
    </row>
    <row r="142" spans="1:15" ht="18" customHeight="1">
      <c r="A142" s="504" t="str">
        <f>IF(F142=0,"",IF(A141="",IF(V$87&gt;=MAX(A$90:A141)+1,MAX(A$90:A141)+1,""),A141+1))</f>
        <v/>
      </c>
      <c r="B142" s="505" t="str">
        <f t="shared" si="83"/>
        <v/>
      </c>
      <c r="C142" s="506" t="str">
        <f>IF(A142="","",IF(Espesor!$J$3="Techo","Lt-","Le-"))</f>
        <v/>
      </c>
      <c r="D142" s="507"/>
      <c r="E142" s="506" t="str">
        <f>IF(A142="","",IF(Espesor!$J$3="Techo","LT-","LE-"))</f>
        <v/>
      </c>
      <c r="F142" s="507"/>
      <c r="G142" s="520" t="str">
        <f>IF(A142="","",Compesaciones!D173)</f>
        <v/>
      </c>
      <c r="H142" s="509" t="str">
        <f>IF(F142=0,"",MAX(LOOKUP(D142,Espesor!C$8:C$41,Espesor!O$8:O$41),LOOKUP(F142,Espesor!C$8:C$41,Espesor!O$8:O$41)))</f>
        <v/>
      </c>
      <c r="I142" s="510" t="str">
        <f>IF(G142="","",IF(G142&lt;=0," ",0.848-SQRT(0.719-G142/(0.53*100*(H142-Espesor!L$4)^2*Espesor!E$4))))</f>
        <v/>
      </c>
      <c r="J142" s="510" t="str">
        <f>IF(G142="","",IF(G142&lt;=0," ",IF(I142*Espesor!E$4/Espesor!H$4&lt;0.002,0.002,I142*Espesor!E$4/Espesor!H$4)))</f>
        <v/>
      </c>
      <c r="K142" s="511" t="str">
        <f>IF(G142="","",IF(G142&lt;=0,"------",ROUND(J142*(H142-Espesor!L$4)*100,2)))</f>
        <v/>
      </c>
      <c r="L142" s="508">
        <f>IF(A142="",0,LOOKUP(D142,'M+'!$A$4:$A$71,'M+'!$N$4:$N$71))</f>
        <v>0</v>
      </c>
      <c r="M142" s="508">
        <f>IF(A142="",0,LOOKUP(F142,'M+'!$A$4:$A$71,'M+'!$N$4:$N$71))</f>
        <v>0</v>
      </c>
      <c r="N142" s="517" t="str">
        <f t="shared" si="75"/>
        <v/>
      </c>
      <c r="O142" s="512" t="str">
        <f t="shared" si="76"/>
        <v/>
      </c>
    </row>
    <row r="143" spans="1:15" ht="18" customHeight="1">
      <c r="A143" s="504" t="str">
        <f>IF(F143=0,"",IF(A142="",IF(V$87&gt;=MAX(A$90:A142)+1,MAX(A$90:A142)+1,""),A142+1))</f>
        <v/>
      </c>
      <c r="B143" s="505" t="str">
        <f t="shared" si="83"/>
        <v/>
      </c>
      <c r="C143" s="506" t="str">
        <f>IF(A143="","",IF(Espesor!$J$3="Techo","Lt-","Le-"))</f>
        <v/>
      </c>
      <c r="D143" s="507"/>
      <c r="E143" s="506" t="str">
        <f>IF(A143="","",IF(Espesor!$J$3="Techo","LT-","LE-"))</f>
        <v/>
      </c>
      <c r="F143" s="507"/>
      <c r="G143" s="520" t="str">
        <f>IF(A143="","",Compesaciones!D174)</f>
        <v/>
      </c>
      <c r="H143" s="509" t="str">
        <f>IF(F143=0,"",MAX(LOOKUP(D143,Espesor!C$8:C$41,Espesor!O$8:O$41),LOOKUP(F143,Espesor!C$8:C$41,Espesor!O$8:O$41)))</f>
        <v/>
      </c>
      <c r="I143" s="510" t="str">
        <f>IF(G143="","",IF(G143&lt;=0," ",0.848-SQRT(0.719-G143/(0.53*100*(H143-Espesor!L$4)^2*Espesor!E$4))))</f>
        <v/>
      </c>
      <c r="J143" s="510" t="str">
        <f>IF(G143="","",IF(G143&lt;=0," ",IF(I143*Espesor!E$4/Espesor!H$4&lt;0.002,0.002,I143*Espesor!E$4/Espesor!H$4)))</f>
        <v/>
      </c>
      <c r="K143" s="511" t="str">
        <f>IF(G143="","",IF(G143&lt;=0,"------",ROUND(J143*(H143-Espesor!L$4)*100,2)))</f>
        <v/>
      </c>
      <c r="L143" s="508">
        <f>IF(A143="",0,LOOKUP(D143,'M+'!$A$4:$A$71,'M+'!$N$4:$N$71))</f>
        <v>0</v>
      </c>
      <c r="M143" s="508">
        <f>IF(A143="",0,LOOKUP(F143,'M+'!$A$4:$A$71,'M+'!$N$4:$N$71))</f>
        <v>0</v>
      </c>
      <c r="N143" s="517" t="str">
        <f t="shared" si="75"/>
        <v/>
      </c>
      <c r="O143" s="512" t="str">
        <f t="shared" si="76"/>
        <v/>
      </c>
    </row>
    <row r="144" spans="1:15" ht="18" customHeight="1">
      <c r="A144" s="504" t="str">
        <f>IF(F144=0,"",IF(A143="",IF(V$87&gt;=MAX(A$90:A143)+1,MAX(A$90:A143)+1,""),A143+1))</f>
        <v/>
      </c>
      <c r="B144" s="505" t="str">
        <f t="shared" si="83"/>
        <v/>
      </c>
      <c r="C144" s="506" t="str">
        <f>IF(A144="","",IF(Espesor!$J$3="Techo","Lt-","Le-"))</f>
        <v/>
      </c>
      <c r="D144" s="507"/>
      <c r="E144" s="506" t="str">
        <f>IF(A144="","",IF(Espesor!$J$3="Techo","LT-","LE-"))</f>
        <v/>
      </c>
      <c r="F144" s="507"/>
      <c r="G144" s="520" t="str">
        <f>IF(A144="","",Compesaciones!D175)</f>
        <v/>
      </c>
      <c r="H144" s="509" t="str">
        <f>IF(F144=0,"",MAX(LOOKUP(D144,Espesor!C$8:C$41,Espesor!O$8:O$41),LOOKUP(F144,Espesor!C$8:C$41,Espesor!O$8:O$41)))</f>
        <v/>
      </c>
      <c r="I144" s="510" t="str">
        <f>IF(G144="","",IF(G144&lt;=0," ",0.848-SQRT(0.719-G144/(0.53*100*(H144-Espesor!L$4)^2*Espesor!E$4))))</f>
        <v/>
      </c>
      <c r="J144" s="510" t="str">
        <f>IF(G144="","",IF(G144&lt;=0," ",IF(I144*Espesor!E$4/Espesor!H$4&lt;0.002,0.002,I144*Espesor!E$4/Espesor!H$4)))</f>
        <v/>
      </c>
      <c r="K144" s="511" t="str">
        <f>IF(G144="","",IF(G144&lt;=0,"------",ROUND(J144*(H144-Espesor!L$4)*100,2)))</f>
        <v/>
      </c>
      <c r="L144" s="508">
        <f>IF(A144="",0,LOOKUP(D144,'M+'!$A$4:$A$71,'M+'!$N$4:$N$71))</f>
        <v>0</v>
      </c>
      <c r="M144" s="508">
        <f>IF(A144="",0,LOOKUP(F144,'M+'!$A$4:$A$71,'M+'!$N$4:$N$71))</f>
        <v>0</v>
      </c>
      <c r="N144" s="517" t="str">
        <f t="shared" si="75"/>
        <v/>
      </c>
      <c r="O144" s="512" t="str">
        <f t="shared" si="76"/>
        <v/>
      </c>
    </row>
    <row r="145" spans="1:15" ht="18" customHeight="1">
      <c r="A145" s="504" t="str">
        <f>IF(F145=0,"",IF(A144="",IF(V$87&gt;=MAX(A$90:A144)+1,MAX(A$90:A144)+1,""),A144+1))</f>
        <v/>
      </c>
      <c r="B145" s="505" t="str">
        <f t="shared" si="83"/>
        <v/>
      </c>
      <c r="C145" s="506" t="str">
        <f>IF(A145="","",IF(Espesor!$J$3="Techo","Lt-","Le-"))</f>
        <v/>
      </c>
      <c r="D145" s="507"/>
      <c r="E145" s="506" t="str">
        <f>IF(A145="","",IF(Espesor!$J$3="Techo","LT-","LE-"))</f>
        <v/>
      </c>
      <c r="F145" s="507"/>
      <c r="G145" s="520" t="str">
        <f>IF(A145="","",Compesaciones!D176)</f>
        <v/>
      </c>
      <c r="H145" s="509" t="str">
        <f>IF(F145=0,"",MAX(LOOKUP(D145,Espesor!C$8:C$41,Espesor!O$8:O$41),LOOKUP(F145,Espesor!C$8:C$41,Espesor!O$8:O$41)))</f>
        <v/>
      </c>
      <c r="I145" s="510" t="str">
        <f>IF(G145="","",IF(G145&lt;=0," ",0.848-SQRT(0.719-G145/(0.53*100*(H145-Espesor!L$4)^2*Espesor!E$4))))</f>
        <v/>
      </c>
      <c r="J145" s="510" t="str">
        <f>IF(G145="","",IF(G145&lt;=0," ",IF(I145*Espesor!E$4/Espesor!H$4&lt;0.002,0.002,I145*Espesor!E$4/Espesor!H$4)))</f>
        <v/>
      </c>
      <c r="K145" s="511" t="str">
        <f>IF(G145="","",IF(G145&lt;=0,"------",ROUND(J145*(H145-Espesor!L$4)*100,2)))</f>
        <v/>
      </c>
      <c r="L145" s="508">
        <f>IF(A145="",0,LOOKUP(D145,'M+'!$A$4:$A$71,'M+'!$N$4:$N$71))</f>
        <v>0</v>
      </c>
      <c r="M145" s="508">
        <f>IF(A145="",0,LOOKUP(F145,'M+'!$A$4:$A$71,'M+'!$N$4:$N$71))</f>
        <v>0</v>
      </c>
      <c r="N145" s="517" t="str">
        <f t="shared" si="75"/>
        <v/>
      </c>
      <c r="O145" s="512" t="str">
        <f t="shared" si="76"/>
        <v/>
      </c>
    </row>
    <row r="146" spans="1:15" ht="18" customHeight="1">
      <c r="A146" s="504" t="str">
        <f>IF(F146=0,"",IF(A145="",IF(V$87&gt;=MAX(A$90:A145)+1,MAX(A$90:A145)+1,""),A145+1))</f>
        <v/>
      </c>
      <c r="B146" s="505" t="str">
        <f t="shared" si="83"/>
        <v/>
      </c>
      <c r="C146" s="506" t="str">
        <f>IF(A146="","",IF(Espesor!$J$3="Techo","Lt-","Le-"))</f>
        <v/>
      </c>
      <c r="D146" s="507"/>
      <c r="E146" s="506" t="str">
        <f>IF(A146="","",IF(Espesor!$J$3="Techo","LT-","LE-"))</f>
        <v/>
      </c>
      <c r="F146" s="507"/>
      <c r="G146" s="520" t="str">
        <f>IF(A146="","",Compesaciones!D177)</f>
        <v/>
      </c>
      <c r="H146" s="509" t="str">
        <f>IF(F146=0,"",MAX(LOOKUP(D146,Espesor!C$8:C$41,Espesor!O$8:O$41),LOOKUP(F146,Espesor!C$8:C$41,Espesor!O$8:O$41)))</f>
        <v/>
      </c>
      <c r="I146" s="510" t="str">
        <f>IF(G146="","",IF(G146&lt;=0," ",0.848-SQRT(0.719-G146/(0.53*100*(H146-Espesor!L$4)^2*Espesor!E$4))))</f>
        <v/>
      </c>
      <c r="J146" s="510" t="str">
        <f>IF(G146="","",IF(G146&lt;=0," ",IF(I146*Espesor!E$4/Espesor!H$4&lt;0.002,0.002,I146*Espesor!E$4/Espesor!H$4)))</f>
        <v/>
      </c>
      <c r="K146" s="511" t="str">
        <f>IF(G146="","",IF(G146&lt;=0,"------",ROUND(J146*(H146-Espesor!L$4)*100,2)))</f>
        <v/>
      </c>
      <c r="L146" s="508">
        <f>IF(A146="",0,LOOKUP(D146,'M+'!$A$4:$A$71,'M+'!$N$4:$N$71))</f>
        <v>0</v>
      </c>
      <c r="M146" s="508">
        <f>IF(A146="",0,LOOKUP(F146,'M+'!$A$4:$A$71,'M+'!$N$4:$N$71))</f>
        <v>0</v>
      </c>
      <c r="N146" s="517" t="str">
        <f t="shared" si="75"/>
        <v/>
      </c>
      <c r="O146" s="512" t="str">
        <f t="shared" si="76"/>
        <v/>
      </c>
    </row>
    <row r="147" spans="1:15" ht="18" customHeight="1">
      <c r="A147" s="504" t="str">
        <f>IF(F147=0,"",IF(A146="",IF(V$87&gt;=MAX(A$90:A146)+1,MAX(A$90:A146)+1,""),A146+1))</f>
        <v/>
      </c>
      <c r="B147" s="505" t="str">
        <f t="shared" si="83"/>
        <v/>
      </c>
      <c r="C147" s="506" t="str">
        <f>IF(A147="","",IF(Espesor!$J$3="Techo","Lt-","Le-"))</f>
        <v/>
      </c>
      <c r="D147" s="507"/>
      <c r="E147" s="506" t="str">
        <f>IF(A147="","",IF(Espesor!$J$3="Techo","LT-","LE-"))</f>
        <v/>
      </c>
      <c r="F147" s="507"/>
      <c r="G147" s="520" t="str">
        <f>IF(A147="","",Compesaciones!D178)</f>
        <v/>
      </c>
      <c r="H147" s="509" t="str">
        <f>IF(F147=0,"",MAX(LOOKUP(D147,Espesor!C$8:C$41,Espesor!O$8:O$41),LOOKUP(F147,Espesor!C$8:C$41,Espesor!O$8:O$41)))</f>
        <v/>
      </c>
      <c r="I147" s="510" t="str">
        <f>IF(G147="","",IF(G147&lt;=0," ",0.848-SQRT(0.719-G147/(0.53*100*(H147-Espesor!L$4)^2*Espesor!E$4))))</f>
        <v/>
      </c>
      <c r="J147" s="510" t="str">
        <f>IF(G147="","",IF(G147&lt;=0," ",IF(I147*Espesor!E$4/Espesor!H$4&lt;0.002,0.002,I147*Espesor!E$4/Espesor!H$4)))</f>
        <v/>
      </c>
      <c r="K147" s="511" t="str">
        <f>IF(G147="","",IF(G147&lt;=0,"------",ROUND(J147*(H147-Espesor!L$4)*100,2)))</f>
        <v/>
      </c>
      <c r="L147" s="508">
        <f>IF(A147="",0,LOOKUP(D147,'M+'!$A$4:$A$71,'M+'!$N$4:$N$71))</f>
        <v>0</v>
      </c>
      <c r="M147" s="508">
        <f>IF(A147="",0,LOOKUP(F147,'M+'!$A$4:$A$71,'M+'!$N$4:$N$71))</f>
        <v>0</v>
      </c>
      <c r="N147" s="517" t="str">
        <f t="shared" si="75"/>
        <v/>
      </c>
      <c r="O147" s="512" t="str">
        <f t="shared" si="76"/>
        <v/>
      </c>
    </row>
    <row r="148" spans="1:15" ht="18" customHeight="1">
      <c r="A148" s="504" t="str">
        <f>IF(F148=0,"",IF(A147="",IF(V$87&gt;=MAX(A$90:A147)+1,MAX(A$90:A147)+1,""),A147+1))</f>
        <v/>
      </c>
      <c r="B148" s="505" t="str">
        <f t="shared" si="83"/>
        <v/>
      </c>
      <c r="C148" s="506" t="str">
        <f>IF(A148="","",IF(Espesor!$J$3="Techo","Lt-","Le-"))</f>
        <v/>
      </c>
      <c r="D148" s="507"/>
      <c r="E148" s="506" t="str">
        <f>IF(A148="","",IF(Espesor!$J$3="Techo","LT-","LE-"))</f>
        <v/>
      </c>
      <c r="F148" s="507"/>
      <c r="G148" s="520" t="str">
        <f>IF(A148="","",Compesaciones!D179)</f>
        <v/>
      </c>
      <c r="H148" s="509" t="str">
        <f>IF(F148=0,"",MAX(LOOKUP(D148,Espesor!C$8:C$41,Espesor!O$8:O$41),LOOKUP(F148,Espesor!C$8:C$41,Espesor!O$8:O$41)))</f>
        <v/>
      </c>
      <c r="I148" s="510" t="str">
        <f>IF(G148="","",IF(G148&lt;=0," ",0.848-SQRT(0.719-G148/(0.53*100*(H148-Espesor!L$4)^2*Espesor!E$4))))</f>
        <v/>
      </c>
      <c r="J148" s="510" t="str">
        <f>IF(G148="","",IF(G148&lt;=0," ",IF(I148*Espesor!E$4/Espesor!H$4&lt;0.002,0.002,I148*Espesor!E$4/Espesor!H$4)))</f>
        <v/>
      </c>
      <c r="K148" s="511" t="str">
        <f>IF(G148="","",IF(G148&lt;=0,"------",ROUND(J148*(H148-Espesor!L$4)*100,2)))</f>
        <v/>
      </c>
      <c r="L148" s="508">
        <f>IF(A148="",0,LOOKUP(D148,'M+'!$A$4:$A$71,'M+'!$N$4:$N$71))</f>
        <v>0</v>
      </c>
      <c r="M148" s="508">
        <f>IF(A148="",0,LOOKUP(F148,'M+'!$A$4:$A$71,'M+'!$N$4:$N$71))</f>
        <v>0</v>
      </c>
      <c r="N148" s="517" t="str">
        <f t="shared" si="75"/>
        <v/>
      </c>
      <c r="O148" s="512" t="str">
        <f t="shared" si="76"/>
        <v/>
      </c>
    </row>
    <row r="149" spans="1:15" ht="18" customHeight="1">
      <c r="A149" s="504" t="str">
        <f>IF(F149=0,"",IF(A148="",IF(V$87&gt;=MAX(A$90:A148)+1,MAX(A$90:A148)+1,""),A148+1))</f>
        <v/>
      </c>
      <c r="B149" s="505" t="str">
        <f t="shared" si="83"/>
        <v/>
      </c>
      <c r="C149" s="506" t="str">
        <f>IF(A149="","",IF(Espesor!$J$3="Techo","Lt-","Le-"))</f>
        <v/>
      </c>
      <c r="D149" s="507"/>
      <c r="E149" s="506" t="str">
        <f>IF(A149="","",IF(Espesor!$J$3="Techo","LT-","LE-"))</f>
        <v/>
      </c>
      <c r="F149" s="507"/>
      <c r="G149" s="520" t="str">
        <f>IF(A149="","",Compesaciones!D180)</f>
        <v/>
      </c>
      <c r="H149" s="509" t="str">
        <f>IF(F149=0,"",MAX(LOOKUP(D149,Espesor!C$8:C$41,Espesor!O$8:O$41),LOOKUP(F149,Espesor!C$8:C$41,Espesor!O$8:O$41)))</f>
        <v/>
      </c>
      <c r="I149" s="510" t="str">
        <f>IF(G149="","",IF(G149&lt;=0," ",0.848-SQRT(0.719-G149/(0.53*100*(H149-Espesor!L$4)^2*Espesor!E$4))))</f>
        <v/>
      </c>
      <c r="J149" s="510" t="str">
        <f>IF(G149="","",IF(G149&lt;=0," ",IF(I149*Espesor!E$4/Espesor!H$4&lt;0.002,0.002,I149*Espesor!E$4/Espesor!H$4)))</f>
        <v/>
      </c>
      <c r="K149" s="511" t="str">
        <f>IF(G149="","",IF(G149&lt;=0,"------",ROUND(J149*(H149-Espesor!L$4)*100,2)))</f>
        <v/>
      </c>
      <c r="L149" s="508">
        <f>IF(A149="",0,LOOKUP(D149,'M+'!$A$4:$A$71,'M+'!$N$4:$N$71))</f>
        <v>0</v>
      </c>
      <c r="M149" s="508">
        <f>IF(A149="",0,LOOKUP(F149,'M+'!$A$4:$A$71,'M+'!$N$4:$N$71))</f>
        <v>0</v>
      </c>
      <c r="N149" s="517" t="str">
        <f t="shared" si="75"/>
        <v/>
      </c>
      <c r="O149" s="512" t="str">
        <f t="shared" si="76"/>
        <v/>
      </c>
    </row>
    <row r="150" spans="1:15" ht="18" customHeight="1">
      <c r="A150" s="504" t="str">
        <f>IF(F150=0,"",IF(A149="",IF(V$87&gt;=MAX(A$90:A149)+1,MAX(A$90:A149)+1,""),A149+1))</f>
        <v/>
      </c>
      <c r="B150" s="505" t="str">
        <f t="shared" si="83"/>
        <v/>
      </c>
      <c r="C150" s="506" t="str">
        <f>IF(A150="","",IF(Espesor!$J$3="Techo","Lt-","Le-"))</f>
        <v/>
      </c>
      <c r="D150" s="507"/>
      <c r="E150" s="506" t="str">
        <f>IF(A150="","",IF(Espesor!$J$3="Techo","LT-","LE-"))</f>
        <v/>
      </c>
      <c r="F150" s="507"/>
      <c r="G150" s="520" t="str">
        <f>IF(A150="","",Compesaciones!D181)</f>
        <v/>
      </c>
      <c r="H150" s="509" t="str">
        <f>IF(F150=0,"",MAX(LOOKUP(D150,Espesor!C$8:C$41,Espesor!O$8:O$41),LOOKUP(F150,Espesor!C$8:C$41,Espesor!O$8:O$41)))</f>
        <v/>
      </c>
      <c r="I150" s="510" t="str">
        <f>IF(G150="","",IF(G150&lt;=0," ",0.848-SQRT(0.719-G150/(0.53*100*(H150-Espesor!L$4)^2*Espesor!E$4))))</f>
        <v/>
      </c>
      <c r="J150" s="510" t="str">
        <f>IF(G150="","",IF(G150&lt;=0," ",IF(I150*Espesor!E$4/Espesor!H$4&lt;0.002,0.002,I150*Espesor!E$4/Espesor!H$4)))</f>
        <v/>
      </c>
      <c r="K150" s="511" t="str">
        <f>IF(G150="","",IF(G150&lt;=0,"------",ROUND(J150*(H150-Espesor!L$4)*100,2)))</f>
        <v/>
      </c>
      <c r="L150" s="508">
        <f>IF(A150="",0,LOOKUP(D150,'M+'!$A$4:$A$71,'M+'!$N$4:$N$71))</f>
        <v>0</v>
      </c>
      <c r="M150" s="508">
        <f>IF(A150="",0,LOOKUP(F150,'M+'!$A$4:$A$71,'M+'!$N$4:$N$71))</f>
        <v>0</v>
      </c>
      <c r="N150" s="517" t="str">
        <f t="shared" si="75"/>
        <v/>
      </c>
      <c r="O150" s="512" t="str">
        <f t="shared" si="76"/>
        <v/>
      </c>
    </row>
    <row r="151" spans="1:15" ht="18" customHeight="1">
      <c r="A151" s="504" t="str">
        <f>IF(F151=0,"",IF(A150="",IF(V$87&gt;=MAX(A$90:A150)+1,MAX(A$90:A150)+1,""),A150+1))</f>
        <v/>
      </c>
      <c r="B151" s="505" t="str">
        <f t="shared" si="83"/>
        <v/>
      </c>
      <c r="C151" s="506" t="str">
        <f>IF(A151="","",IF(Espesor!$J$3="Techo","Lt-","Le-"))</f>
        <v/>
      </c>
      <c r="D151" s="507"/>
      <c r="E151" s="506" t="str">
        <f>IF(A151="","",IF(Espesor!$J$3="Techo","LT-","LE-"))</f>
        <v/>
      </c>
      <c r="F151" s="507"/>
      <c r="G151" s="520" t="str">
        <f>IF(A151="","",Compesaciones!D182)</f>
        <v/>
      </c>
      <c r="H151" s="509" t="str">
        <f>IF(F151=0,"",MAX(LOOKUP(D151,Espesor!C$8:C$41,Espesor!O$8:O$41),LOOKUP(F151,Espesor!C$8:C$41,Espesor!O$8:O$41)))</f>
        <v/>
      </c>
      <c r="I151" s="510" t="str">
        <f>IF(G151="","",IF(G151&lt;=0," ",0.848-SQRT(0.719-G151/(0.53*100*(H151-Espesor!L$4)^2*Espesor!E$4))))</f>
        <v/>
      </c>
      <c r="J151" s="510" t="str">
        <f>IF(G151="","",IF(G151&lt;=0," ",IF(I151*Espesor!E$4/Espesor!H$4&lt;0.002,0.002,I151*Espesor!E$4/Espesor!H$4)))</f>
        <v/>
      </c>
      <c r="K151" s="511" t="str">
        <f>IF(G151="","",IF(G151&lt;=0,"------",ROUND(J151*(H151-Espesor!L$4)*100,2)))</f>
        <v/>
      </c>
      <c r="L151" s="508">
        <f>IF(A151="",0,LOOKUP(D151,'M+'!$A$4:$A$71,'M+'!$N$4:$N$71))</f>
        <v>0</v>
      </c>
      <c r="M151" s="508">
        <f>IF(A151="",0,LOOKUP(F151,'M+'!$A$4:$A$71,'M+'!$N$4:$N$71))</f>
        <v>0</v>
      </c>
      <c r="N151" s="517" t="str">
        <f t="shared" si="75"/>
        <v/>
      </c>
      <c r="O151" s="512" t="str">
        <f t="shared" si="76"/>
        <v/>
      </c>
    </row>
    <row r="152" spans="1:15" ht="18" customHeight="1">
      <c r="A152" s="504" t="str">
        <f>IF(F152=0,"",IF(A151="",IF(V$87&gt;=MAX(A$90:A151)+1,MAX(A$90:A151)+1,""),A151+1))</f>
        <v/>
      </c>
      <c r="B152" s="505" t="str">
        <f t="shared" si="83"/>
        <v/>
      </c>
      <c r="C152" s="506" t="str">
        <f>IF(A152="","",IF(Espesor!$J$3="Techo","Lt-","Le-"))</f>
        <v/>
      </c>
      <c r="D152" s="507"/>
      <c r="E152" s="506" t="str">
        <f>IF(A152="","",IF(Espesor!$J$3="Techo","LT-","LE-"))</f>
        <v/>
      </c>
      <c r="F152" s="507"/>
      <c r="G152" s="520" t="str">
        <f>IF(A152="","",Compesaciones!D183)</f>
        <v/>
      </c>
      <c r="H152" s="509" t="str">
        <f>IF(F152=0,"",MAX(LOOKUP(D152,Espesor!C$8:C$41,Espesor!O$8:O$41),LOOKUP(F152,Espesor!C$8:C$41,Espesor!O$8:O$41)))</f>
        <v/>
      </c>
      <c r="I152" s="510" t="str">
        <f>IF(G152="","",IF(G152&lt;=0," ",0.848-SQRT(0.719-G152/(0.53*100*(H152-Espesor!L$4)^2*Espesor!E$4))))</f>
        <v/>
      </c>
      <c r="J152" s="510" t="str">
        <f>IF(G152="","",IF(G152&lt;=0," ",IF(I152*Espesor!E$4/Espesor!H$4&lt;0.002,0.002,I152*Espesor!E$4/Espesor!H$4)))</f>
        <v/>
      </c>
      <c r="K152" s="511" t="str">
        <f>IF(G152="","",IF(G152&lt;=0,"------",ROUND(J152*(H152-Espesor!L$4)*100,2)))</f>
        <v/>
      </c>
      <c r="L152" s="508">
        <f>IF(A152="",0,LOOKUP(D152,'M+'!$A$4:$A$71,'M+'!$N$4:$N$71))</f>
        <v>0</v>
      </c>
      <c r="M152" s="508">
        <f>IF(A152="",0,LOOKUP(F152,'M+'!$A$4:$A$71,'M+'!$N$4:$N$71))</f>
        <v>0</v>
      </c>
      <c r="N152" s="517" t="str">
        <f t="shared" si="75"/>
        <v/>
      </c>
      <c r="O152" s="512" t="str">
        <f t="shared" si="76"/>
        <v/>
      </c>
    </row>
    <row r="153" spans="1:15" ht="18" customHeight="1">
      <c r="A153" s="504" t="str">
        <f>IF(F153=0,"",IF(A152="",IF(V$87&gt;=MAX(A$90:A152)+1,MAX(A$90:A152)+1,""),A152+1))</f>
        <v/>
      </c>
      <c r="B153" s="505" t="str">
        <f t="shared" si="83"/>
        <v/>
      </c>
      <c r="C153" s="506" t="str">
        <f>IF(A153="","",IF(Espesor!$J$3="Techo","Lt-","Le-"))</f>
        <v/>
      </c>
      <c r="D153" s="507"/>
      <c r="E153" s="506" t="str">
        <f>IF(A153="","",IF(Espesor!$J$3="Techo","LT-","LE-"))</f>
        <v/>
      </c>
      <c r="F153" s="507"/>
      <c r="G153" s="520" t="str">
        <f>IF(A153="","",Compesaciones!D184)</f>
        <v/>
      </c>
      <c r="H153" s="509" t="str">
        <f>IF(F153=0,"",MAX(LOOKUP(D153,Espesor!C$8:C$41,Espesor!O$8:O$41),LOOKUP(F153,Espesor!C$8:C$41,Espesor!O$8:O$41)))</f>
        <v/>
      </c>
      <c r="I153" s="510" t="str">
        <f>IF(G153="","",IF(G153&lt;=0," ",0.848-SQRT(0.719-G153/(0.53*100*(H153-Espesor!L$4)^2*Espesor!E$4))))</f>
        <v/>
      </c>
      <c r="J153" s="510" t="str">
        <f>IF(G153="","",IF(G153&lt;=0," ",IF(I153*Espesor!E$4/Espesor!H$4&lt;0.002,0.002,I153*Espesor!E$4/Espesor!H$4)))</f>
        <v/>
      </c>
      <c r="K153" s="511" t="str">
        <f>IF(G153="","",IF(G153&lt;=0,"------",ROUND(J153*(H153-Espesor!L$4)*100,2)))</f>
        <v/>
      </c>
      <c r="L153" s="508">
        <f>IF(A153="",0,LOOKUP(D153,'M+'!$A$4:$A$71,'M+'!$N$4:$N$71))</f>
        <v>0</v>
      </c>
      <c r="M153" s="508">
        <f>IF(A153="",0,LOOKUP(F153,'M+'!$A$4:$A$71,'M+'!$N$4:$N$71))</f>
        <v>0</v>
      </c>
      <c r="N153" s="517" t="str">
        <f t="shared" si="75"/>
        <v/>
      </c>
      <c r="O153" s="512" t="str">
        <f t="shared" si="76"/>
        <v/>
      </c>
    </row>
    <row r="154" spans="1:15" ht="18" customHeight="1">
      <c r="A154" s="504" t="str">
        <f>IF(F154=0,"",IF(A153="",IF(V$87&gt;=MAX(A$90:A153)+1,MAX(A$90:A153)+1,""),A153+1))</f>
        <v/>
      </c>
      <c r="B154" s="505" t="str">
        <f t="shared" si="83"/>
        <v/>
      </c>
      <c r="C154" s="506" t="str">
        <f>IF(A154="","",IF(Espesor!$J$3="Techo","Lt-","Le-"))</f>
        <v/>
      </c>
      <c r="D154" s="507"/>
      <c r="E154" s="506" t="str">
        <f>IF(A154="","",IF(Espesor!$J$3="Techo","LT-","LE-"))</f>
        <v/>
      </c>
      <c r="F154" s="507"/>
      <c r="G154" s="520" t="str">
        <f>IF(A154="","",Compesaciones!D185)</f>
        <v/>
      </c>
      <c r="H154" s="509" t="str">
        <f>IF(F154=0,"",MAX(LOOKUP(D154,Espesor!C$8:C$41,Espesor!O$8:O$41),LOOKUP(F154,Espesor!C$8:C$41,Espesor!O$8:O$41)))</f>
        <v/>
      </c>
      <c r="I154" s="510" t="str">
        <f>IF(G154="","",IF(G154&lt;=0," ",0.848-SQRT(0.719-G154/(0.53*100*(H154-Espesor!L$4)^2*Espesor!E$4))))</f>
        <v/>
      </c>
      <c r="J154" s="510" t="str">
        <f>IF(G154="","",IF(G154&lt;=0," ",IF(I154*Espesor!E$4/Espesor!H$4&lt;0.002,0.002,I154*Espesor!E$4/Espesor!H$4)))</f>
        <v/>
      </c>
      <c r="K154" s="511" t="str">
        <f>IF(G154="","",IF(G154&lt;=0,"------",ROUND(J154*(H154-Espesor!L$4)*100,2)))</f>
        <v/>
      </c>
      <c r="L154" s="508">
        <f>IF(A154="",0,LOOKUP(D154,'M+'!$A$4:$A$71,'M+'!$N$4:$N$71))</f>
        <v>0</v>
      </c>
      <c r="M154" s="508">
        <f>IF(A154="",0,LOOKUP(F154,'M+'!$A$4:$A$71,'M+'!$N$4:$N$71))</f>
        <v>0</v>
      </c>
      <c r="N154" s="517" t="str">
        <f t="shared" si="75"/>
        <v/>
      </c>
      <c r="O154" s="512" t="str">
        <f t="shared" si="76"/>
        <v/>
      </c>
    </row>
    <row r="155" spans="1:15" ht="18" customHeight="1">
      <c r="A155" s="504" t="str">
        <f>IF(F155=0,"",IF(A154="",IF(V$87&gt;=MAX(A$90:A154)+1,MAX(A$90:A154)+1,""),A154+1))</f>
        <v/>
      </c>
      <c r="B155" s="505" t="str">
        <f t="shared" si="83"/>
        <v/>
      </c>
      <c r="C155" s="506" t="str">
        <f>IF(A155="","",IF(Espesor!$J$3="Techo","Lt-","Le-"))</f>
        <v/>
      </c>
      <c r="D155" s="507"/>
      <c r="E155" s="506" t="str">
        <f>IF(A155="","",IF(Espesor!$J$3="Techo","LT-","LE-"))</f>
        <v/>
      </c>
      <c r="F155" s="507"/>
      <c r="G155" s="520" t="str">
        <f>IF(A155="","",Compesaciones!D186)</f>
        <v/>
      </c>
      <c r="H155" s="509" t="str">
        <f>IF(F155=0,"",MAX(LOOKUP(D155,Espesor!C$8:C$41,Espesor!O$8:O$41),LOOKUP(F155,Espesor!C$8:C$41,Espesor!O$8:O$41)))</f>
        <v/>
      </c>
      <c r="I155" s="510" t="str">
        <f>IF(G155="","",IF(G155&lt;=0," ",0.848-SQRT(0.719-G155/(0.53*100*(H155-Espesor!L$4)^2*Espesor!E$4))))</f>
        <v/>
      </c>
      <c r="J155" s="510" t="str">
        <f>IF(G155="","",IF(G155&lt;=0," ",IF(I155*Espesor!E$4/Espesor!H$4&lt;0.002,0.002,I155*Espesor!E$4/Espesor!H$4)))</f>
        <v/>
      </c>
      <c r="K155" s="511" t="str">
        <f>IF(G155="","",IF(G155&lt;=0,"------",ROUND(J155*(H155-Espesor!L$4)*100,2)))</f>
        <v/>
      </c>
      <c r="L155" s="508">
        <f>IF(A155="",0,LOOKUP(D155,'M+'!$A$4:$A$71,'M+'!$N$4:$N$71))</f>
        <v>0</v>
      </c>
      <c r="M155" s="508">
        <f>IF(A155="",0,LOOKUP(F155,'M+'!$A$4:$A$71,'M+'!$N$4:$N$71))</f>
        <v>0</v>
      </c>
      <c r="N155" s="517" t="str">
        <f t="shared" si="75"/>
        <v/>
      </c>
      <c r="O155" s="512" t="str">
        <f t="shared" si="76"/>
        <v/>
      </c>
    </row>
    <row r="156" spans="1:15" ht="18" customHeight="1">
      <c r="A156" s="504" t="str">
        <f>IF(F156=0,"",IF(A155="",IF(V$87&gt;=MAX(A$90:A155)+1,MAX(A$90:A155)+1,""),A155+1))</f>
        <v/>
      </c>
      <c r="B156" s="505" t="str">
        <f t="shared" si="83"/>
        <v/>
      </c>
      <c r="C156" s="506" t="str">
        <f>IF(A156="","",IF(Espesor!$J$3="Techo","Lt-","Le-"))</f>
        <v/>
      </c>
      <c r="D156" s="507"/>
      <c r="E156" s="506" t="str">
        <f>IF(A156="","",IF(Espesor!$J$3="Techo","LT-","LE-"))</f>
        <v/>
      </c>
      <c r="F156" s="507"/>
      <c r="G156" s="520" t="str">
        <f>IF(A156="","",Compesaciones!D187)</f>
        <v/>
      </c>
      <c r="H156" s="509" t="str">
        <f>IF(F156=0,"",MAX(LOOKUP(D156,Espesor!C$8:C$41,Espesor!O$8:O$41),LOOKUP(F156,Espesor!C$8:C$41,Espesor!O$8:O$41)))</f>
        <v/>
      </c>
      <c r="I156" s="510" t="str">
        <f>IF(G156="","",IF(G156&lt;=0," ",0.848-SQRT(0.719-G156/(0.53*100*(H156-Espesor!L$4)^2*Espesor!E$4))))</f>
        <v/>
      </c>
      <c r="J156" s="510" t="str">
        <f>IF(G156="","",IF(G156&lt;=0," ",IF(I156*Espesor!E$4/Espesor!H$4&lt;0.002,0.002,I156*Espesor!E$4/Espesor!H$4)))</f>
        <v/>
      </c>
      <c r="K156" s="511" t="str">
        <f>IF(G156="","",IF(G156&lt;=0,"------",ROUND(J156*(H156-Espesor!L$4)*100,2)))</f>
        <v/>
      </c>
      <c r="L156" s="508">
        <f>IF(A156="",0,LOOKUP(D156,'M+'!$A$4:$A$71,'M+'!$N$4:$N$71))</f>
        <v>0</v>
      </c>
      <c r="M156" s="508">
        <f>IF(A156="",0,LOOKUP(F156,'M+'!$A$4:$A$71,'M+'!$N$4:$N$71))</f>
        <v>0</v>
      </c>
      <c r="N156" s="517" t="str">
        <f t="shared" si="75"/>
        <v/>
      </c>
      <c r="O156" s="512" t="str">
        <f t="shared" si="76"/>
        <v/>
      </c>
    </row>
    <row r="157" spans="1:15" ht="18" customHeight="1">
      <c r="A157" s="504" t="str">
        <f>IF(F157=0,"",IF(A156="",IF(V$87&gt;=MAX(A$90:A156)+1,MAX(A$90:A156)+1,""),A156+1))</f>
        <v/>
      </c>
      <c r="B157" s="505" t="str">
        <f t="shared" si="83"/>
        <v/>
      </c>
      <c r="C157" s="506" t="str">
        <f>IF(A157="","",IF(Espesor!$J$3="Techo","Lt-","Le-"))</f>
        <v/>
      </c>
      <c r="D157" s="507"/>
      <c r="E157" s="506" t="str">
        <f>IF(A157="","",IF(Espesor!$J$3="Techo","LT-","LE-"))</f>
        <v/>
      </c>
      <c r="F157" s="507"/>
      <c r="G157" s="520" t="str">
        <f>IF(A157="","",Compesaciones!D188)</f>
        <v/>
      </c>
      <c r="H157" s="509" t="str">
        <f>IF(F157=0,"",MAX(LOOKUP(D157,Espesor!C$8:C$41,Espesor!O$8:O$41),LOOKUP(F157,Espesor!C$8:C$41,Espesor!O$8:O$41)))</f>
        <v/>
      </c>
      <c r="I157" s="510" t="str">
        <f>IF(G157="","",IF(G157&lt;=0," ",0.848-SQRT(0.719-G157/(0.53*100*(H157-Espesor!L$4)^2*Espesor!E$4))))</f>
        <v/>
      </c>
      <c r="J157" s="510" t="str">
        <f>IF(G157="","",IF(G157&lt;=0," ",IF(I157*Espesor!E$4/Espesor!H$4&lt;0.002,0.002,I157*Espesor!E$4/Espesor!H$4)))</f>
        <v/>
      </c>
      <c r="K157" s="511" t="str">
        <f>IF(G157="","",IF(G157&lt;=0,"------",ROUND(J157*(H157-Espesor!L$4)*100,2)))</f>
        <v/>
      </c>
      <c r="L157" s="508">
        <f>IF(A157="",0,LOOKUP(D157,'M+'!$A$4:$A$71,'M+'!$N$4:$N$71))</f>
        <v>0</v>
      </c>
      <c r="M157" s="508">
        <f>IF(A157="",0,LOOKUP(F157,'M+'!$A$4:$A$71,'M+'!$N$4:$N$71))</f>
        <v>0</v>
      </c>
      <c r="N157" s="517" t="str">
        <f t="shared" si="75"/>
        <v/>
      </c>
      <c r="O157" s="512" t="str">
        <f t="shared" si="76"/>
        <v/>
      </c>
    </row>
    <row r="158" spans="1:15" ht="18" customHeight="1">
      <c r="A158" s="504" t="str">
        <f>IF(F158=0,"",IF(A157="",IF(V$87&gt;=MAX(A$90:A157)+1,MAX(A$90:A157)+1,""),A157+1))</f>
        <v/>
      </c>
      <c r="B158" s="505" t="str">
        <f t="shared" si="83"/>
        <v/>
      </c>
      <c r="C158" s="506" t="str">
        <f>IF(A158="","",IF(Espesor!$J$3="Techo","Lt-","Le-"))</f>
        <v/>
      </c>
      <c r="D158" s="507"/>
      <c r="E158" s="506" t="str">
        <f>IF(A158="","",IF(Espesor!$J$3="Techo","LT-","LE-"))</f>
        <v/>
      </c>
      <c r="F158" s="507"/>
      <c r="G158" s="520" t="str">
        <f>IF(A158="","",Compesaciones!D189)</f>
        <v/>
      </c>
      <c r="H158" s="509" t="str">
        <f>IF(F158=0,"",MAX(LOOKUP(D158,Espesor!C$8:C$41,Espesor!O$8:O$41),LOOKUP(F158,Espesor!C$8:C$41,Espesor!O$8:O$41)))</f>
        <v/>
      </c>
      <c r="I158" s="510" t="str">
        <f>IF(G158="","",IF(G158&lt;=0," ",0.848-SQRT(0.719-G158/(0.53*100*(H158-Espesor!L$4)^2*Espesor!E$4))))</f>
        <v/>
      </c>
      <c r="J158" s="510" t="str">
        <f>IF(G158="","",IF(G158&lt;=0," ",IF(I158*Espesor!E$4/Espesor!H$4&lt;0.002,0.002,I158*Espesor!E$4/Espesor!H$4)))</f>
        <v/>
      </c>
      <c r="K158" s="511" t="str">
        <f>IF(G158="","",IF(G158&lt;=0,"------",ROUND(J158*(H158-Espesor!L$4)*100,2)))</f>
        <v/>
      </c>
      <c r="L158" s="508">
        <f>IF(A158="",0,LOOKUP(D158,'M+'!$A$4:$A$71,'M+'!$N$4:$N$71))</f>
        <v>0</v>
      </c>
      <c r="M158" s="508">
        <f>IF(A158="",0,LOOKUP(F158,'M+'!$A$4:$A$71,'M+'!$N$4:$N$71))</f>
        <v>0</v>
      </c>
      <c r="N158" s="517" t="str">
        <f t="shared" si="75"/>
        <v/>
      </c>
      <c r="O158" s="512" t="str">
        <f t="shared" si="76"/>
        <v/>
      </c>
    </row>
    <row r="159" spans="1:15" ht="18" customHeight="1">
      <c r="A159" s="504" t="str">
        <f>IF(F159=0,"",IF(A158="",IF(V$87&gt;=MAX(A$90:A158)+1,MAX(A$90:A158)+1,""),A158+1))</f>
        <v/>
      </c>
      <c r="B159" s="505" t="str">
        <f t="shared" si="83"/>
        <v/>
      </c>
      <c r="C159" s="506" t="str">
        <f>IF(A159="","",IF(Espesor!$J$3="Techo","Lt-","Le-"))</f>
        <v/>
      </c>
      <c r="D159" s="507"/>
      <c r="E159" s="506" t="str">
        <f>IF(A159="","",IF(Espesor!$J$3="Techo","LT-","LE-"))</f>
        <v/>
      </c>
      <c r="F159" s="507"/>
      <c r="G159" s="520" t="str">
        <f>IF(A159="","",Compesaciones!D190)</f>
        <v/>
      </c>
      <c r="H159" s="509" t="str">
        <f>IF(F159=0,"",MAX(LOOKUP(D159,Espesor!C$8:C$41,Espesor!O$8:O$41),LOOKUP(F159,Espesor!C$8:C$41,Espesor!O$8:O$41)))</f>
        <v/>
      </c>
      <c r="I159" s="510" t="str">
        <f>IF(G159="","",IF(G159&lt;=0," ",0.848-SQRT(0.719-G159/(0.53*100*(H159-Espesor!L$4)^2*Espesor!E$4))))</f>
        <v/>
      </c>
      <c r="J159" s="510" t="str">
        <f>IF(G159="","",IF(G159&lt;=0," ",IF(I159*Espesor!E$4/Espesor!H$4&lt;0.002,0.002,I159*Espesor!E$4/Espesor!H$4)))</f>
        <v/>
      </c>
      <c r="K159" s="511" t="str">
        <f>IF(G159="","",IF(G159&lt;=0,"------",ROUND(J159*(H159-Espesor!L$4)*100,2)))</f>
        <v/>
      </c>
      <c r="L159" s="508">
        <f>IF(A159="",0,LOOKUP(D159,'M+'!$A$4:$A$71,'M+'!$N$4:$N$71))</f>
        <v>0</v>
      </c>
      <c r="M159" s="508">
        <f>IF(A159="",0,LOOKUP(F159,'M+'!$A$4:$A$71,'M+'!$N$4:$N$71))</f>
        <v>0</v>
      </c>
      <c r="N159" s="517" t="str">
        <f t="shared" si="75"/>
        <v/>
      </c>
      <c r="O159" s="512" t="str">
        <f t="shared" si="76"/>
        <v/>
      </c>
    </row>
    <row r="160" spans="1:15" ht="18" customHeight="1">
      <c r="A160" s="504" t="str">
        <f>IF(F160=0,"",IF(A159="",IF(V$87&gt;=MAX(A$90:A159)+1,MAX(A$90:A159)+1,""),A159+1))</f>
        <v/>
      </c>
      <c r="B160" s="505" t="str">
        <f t="shared" si="83"/>
        <v/>
      </c>
      <c r="C160" s="506" t="str">
        <f>IF(A160="","",IF(Espesor!$J$3="Techo","Lt-","Le-"))</f>
        <v/>
      </c>
      <c r="D160" s="507"/>
      <c r="E160" s="506" t="str">
        <f>IF(A160="","",IF(Espesor!$J$3="Techo","LT-","LE-"))</f>
        <v/>
      </c>
      <c r="F160" s="507"/>
      <c r="G160" s="520" t="str">
        <f>IF(A160="","",Compesaciones!D191)</f>
        <v/>
      </c>
      <c r="H160" s="509" t="str">
        <f>IF(F160=0,"",MAX(LOOKUP(D160,Espesor!C$8:C$41,Espesor!O$8:O$41),LOOKUP(F160,Espesor!C$8:C$41,Espesor!O$8:O$41)))</f>
        <v/>
      </c>
      <c r="I160" s="510" t="str">
        <f>IF(G160="","",IF(G160&lt;=0," ",0.848-SQRT(0.719-G160/(0.53*100*(H160-Espesor!L$4)^2*Espesor!E$4))))</f>
        <v/>
      </c>
      <c r="J160" s="510" t="str">
        <f>IF(G160="","",IF(G160&lt;=0," ",IF(I160*Espesor!E$4/Espesor!H$4&lt;0.002,0.002,I160*Espesor!E$4/Espesor!H$4)))</f>
        <v/>
      </c>
      <c r="K160" s="511" t="str">
        <f>IF(G160="","",IF(G160&lt;=0,"------",ROUND(J160*(H160-Espesor!L$4)*100,2)))</f>
        <v/>
      </c>
      <c r="L160" s="508">
        <f>IF(A160="",0,LOOKUP(D160,'M+'!$A$4:$A$71,'M+'!$N$4:$N$71))</f>
        <v>0</v>
      </c>
      <c r="M160" s="508">
        <f>IF(A160="",0,LOOKUP(F160,'M+'!$A$4:$A$71,'M+'!$N$4:$N$71))</f>
        <v>0</v>
      </c>
      <c r="N160" s="517" t="str">
        <f t="shared" si="75"/>
        <v/>
      </c>
      <c r="O160" s="512" t="str">
        <f t="shared" si="76"/>
        <v/>
      </c>
    </row>
    <row r="161" spans="1:15" ht="18" customHeight="1">
      <c r="A161" s="504" t="str">
        <f>IF(F161=0,"",IF(A160="",IF(V$87&gt;=MAX(A$90:A160)+1,MAX(A$90:A160)+1,""),A160+1))</f>
        <v/>
      </c>
      <c r="B161" s="505" t="str">
        <f t="shared" si="83"/>
        <v/>
      </c>
      <c r="C161" s="506" t="str">
        <f>IF(A161="","",IF(Espesor!$J$3="Techo","Lt-","Le-"))</f>
        <v/>
      </c>
      <c r="D161" s="507"/>
      <c r="E161" s="506" t="str">
        <f>IF(A161="","",IF(Espesor!$J$3="Techo","LT-","LE-"))</f>
        <v/>
      </c>
      <c r="F161" s="507"/>
      <c r="G161" s="520" t="str">
        <f>IF(A161="","",Compesaciones!D192)</f>
        <v/>
      </c>
      <c r="H161" s="509" t="str">
        <f>IF(F161=0,"",MAX(LOOKUP(D161,Espesor!C$8:C$41,Espesor!O$8:O$41),LOOKUP(F161,Espesor!C$8:C$41,Espesor!O$8:O$41)))</f>
        <v/>
      </c>
      <c r="I161" s="510" t="str">
        <f>IF(G161="","",IF(G161&lt;=0," ",0.848-SQRT(0.719-G161/(0.53*100*(H161-Espesor!L$4)^2*Espesor!E$4))))</f>
        <v/>
      </c>
      <c r="J161" s="510" t="str">
        <f>IF(G161="","",IF(G161&lt;=0," ",IF(I161*Espesor!E$4/Espesor!H$4&lt;0.002,0.002,I161*Espesor!E$4/Espesor!H$4)))</f>
        <v/>
      </c>
      <c r="K161" s="511" t="str">
        <f>IF(G161="","",IF(G161&lt;=0,"------",ROUND(J161*(H161-Espesor!L$4)*100,2)))</f>
        <v/>
      </c>
      <c r="L161" s="508">
        <f>IF(A161="",0,LOOKUP(D161,'M+'!$A$4:$A$71,'M+'!$N$4:$N$71))</f>
        <v>0</v>
      </c>
      <c r="M161" s="508">
        <f>IF(A161="",0,LOOKUP(F161,'M+'!$A$4:$A$71,'M+'!$N$4:$N$71))</f>
        <v>0</v>
      </c>
      <c r="N161" s="517" t="str">
        <f t="shared" si="75"/>
        <v/>
      </c>
      <c r="O161" s="512" t="str">
        <f t="shared" si="76"/>
        <v/>
      </c>
    </row>
    <row r="162" spans="1:15" ht="18" customHeight="1">
      <c r="A162" s="504" t="str">
        <f>IF(F162=0,"",IF(A161="",IF(V$87&gt;=MAX(A$90:A161)+1,MAX(A$90:A161)+1,""),A161+1))</f>
        <v/>
      </c>
      <c r="B162" s="505" t="str">
        <f t="shared" si="83"/>
        <v/>
      </c>
      <c r="C162" s="506" t="str">
        <f>IF(A162="","",IF(Espesor!$J$3="Techo","Lt-","Le-"))</f>
        <v/>
      </c>
      <c r="D162" s="507"/>
      <c r="E162" s="506" t="str">
        <f>IF(A162="","",IF(Espesor!$J$3="Techo","LT-","LE-"))</f>
        <v/>
      </c>
      <c r="F162" s="507"/>
      <c r="G162" s="520" t="str">
        <f>IF(A162="","",Compesaciones!D193)</f>
        <v/>
      </c>
      <c r="H162" s="509" t="str">
        <f>IF(F162=0,"",MAX(LOOKUP(D162,Espesor!C$8:C$41,Espesor!O$8:O$41),LOOKUP(F162,Espesor!C$8:C$41,Espesor!O$8:O$41)))</f>
        <v/>
      </c>
      <c r="I162" s="510" t="str">
        <f>IF(G162="","",IF(G162&lt;=0," ",0.848-SQRT(0.719-G162/(0.53*100*(H162-Espesor!L$4)^2*Espesor!E$4))))</f>
        <v/>
      </c>
      <c r="J162" s="510" t="str">
        <f>IF(G162="","",IF(G162&lt;=0," ",IF(I162*Espesor!E$4/Espesor!H$4&lt;0.002,0.002,I162*Espesor!E$4/Espesor!H$4)))</f>
        <v/>
      </c>
      <c r="K162" s="511" t="str">
        <f>IF(G162="","",IF(G162&lt;=0,"------",ROUND(J162*(H162-Espesor!L$4)*100,2)))</f>
        <v/>
      </c>
      <c r="L162" s="508">
        <f>IF(A162="",0,LOOKUP(D162,'M+'!$A$4:$A$71,'M+'!$N$4:$N$71))</f>
        <v>0</v>
      </c>
      <c r="M162" s="508">
        <f>IF(A162="",0,LOOKUP(F162,'M+'!$A$4:$A$71,'M+'!$N$4:$N$71))</f>
        <v>0</v>
      </c>
      <c r="N162" s="517" t="str">
        <f t="shared" ref="N162:N169" si="84">IF(G162="","",IF(G162=0,"",IF(P162&gt;=K162,"------",IF(O162=Q162,"3/8   a",IF(O162=R162,"1/2   a",IF(O162=S162,"3/4   a","1   a"))))))</f>
        <v/>
      </c>
      <c r="O162" s="512" t="str">
        <f t="shared" ref="O162:O169" si="85">IF(G162="","",IF(G162=0,"    ",IF(K162=P162,"------",IF(Q162&lt;0.1,IF(R162&lt;0.1,IF(S162&lt;0.1,T162,S162),R162),Q162))))</f>
        <v/>
      </c>
    </row>
    <row r="163" spans="1:15" ht="18" customHeight="1">
      <c r="A163" s="504" t="str">
        <f>IF(F163=0,"",IF(A162="",IF(V$87&gt;=MAX(A$90:A162)+1,MAX(A$90:A162)+1,""),A162+1))</f>
        <v/>
      </c>
      <c r="B163" s="505" t="str">
        <f t="shared" si="83"/>
        <v/>
      </c>
      <c r="C163" s="506" t="str">
        <f>IF(A163="","",IF(Espesor!$J$3="Techo","Lt-","Le-"))</f>
        <v/>
      </c>
      <c r="D163" s="507"/>
      <c r="E163" s="506" t="str">
        <f>IF(A163="","",IF(Espesor!$J$3="Techo","LT-","LE-"))</f>
        <v/>
      </c>
      <c r="F163" s="507"/>
      <c r="G163" s="520" t="str">
        <f>IF(A163="","",Compesaciones!D194)</f>
        <v/>
      </c>
      <c r="H163" s="509" t="str">
        <f>IF(F163=0,"",MAX(LOOKUP(D163,Espesor!C$8:C$41,Espesor!O$8:O$41),LOOKUP(F163,Espesor!C$8:C$41,Espesor!O$8:O$41)))</f>
        <v/>
      </c>
      <c r="I163" s="510" t="str">
        <f>IF(G163="","",IF(G163&lt;=0," ",0.848-SQRT(0.719-G163/(0.53*100*(H163-Espesor!L$4)^2*Espesor!E$4))))</f>
        <v/>
      </c>
      <c r="J163" s="510" t="str">
        <f>IF(G163="","",IF(G163&lt;=0," ",IF(I163*Espesor!E$4/Espesor!H$4&lt;0.002,0.002,I163*Espesor!E$4/Espesor!H$4)))</f>
        <v/>
      </c>
      <c r="K163" s="511" t="str">
        <f>IF(G163="","",IF(G163&lt;=0,"------",ROUND(J163*(H163-Espesor!L$4)*100,2)))</f>
        <v/>
      </c>
      <c r="L163" s="508">
        <f>IF(A163="",0,LOOKUP(D163,'M+'!$A$4:$A$71,'M+'!$N$4:$N$71))</f>
        <v>0</v>
      </c>
      <c r="M163" s="508">
        <f>IF(A163="",0,LOOKUP(F163,'M+'!$A$4:$A$71,'M+'!$N$4:$N$71))</f>
        <v>0</v>
      </c>
      <c r="N163" s="517" t="str">
        <f t="shared" si="84"/>
        <v/>
      </c>
      <c r="O163" s="512" t="str">
        <f t="shared" si="85"/>
        <v/>
      </c>
    </row>
    <row r="164" spans="1:15" ht="18" customHeight="1">
      <c r="A164" s="504" t="str">
        <f>IF(F164=0,"",IF(A163="",IF(V$87&gt;=MAX(A$90:A163)+1,MAX(A$90:A163)+1,""),A163+1))</f>
        <v/>
      </c>
      <c r="B164" s="505" t="str">
        <f t="shared" si="83"/>
        <v/>
      </c>
      <c r="C164" s="506" t="str">
        <f>IF(A164="","",IF(Espesor!$J$3="Techo","Lt-","Le-"))</f>
        <v/>
      </c>
      <c r="D164" s="507"/>
      <c r="E164" s="506" t="str">
        <f>IF(A164="","",IF(Espesor!$J$3="Techo","LT-","LE-"))</f>
        <v/>
      </c>
      <c r="F164" s="507"/>
      <c r="G164" s="520" t="str">
        <f>IF(A164="","",Compesaciones!D195)</f>
        <v/>
      </c>
      <c r="H164" s="509" t="str">
        <f>IF(F164=0,"",MAX(LOOKUP(D164,Espesor!C$8:C$41,Espesor!O$8:O$41),LOOKUP(F164,Espesor!C$8:C$41,Espesor!O$8:O$41)))</f>
        <v/>
      </c>
      <c r="I164" s="510" t="str">
        <f>IF(G164="","",IF(G164&lt;=0," ",0.848-SQRT(0.719-G164/(0.53*100*(H164-Espesor!L$4)^2*Espesor!E$4))))</f>
        <v/>
      </c>
      <c r="J164" s="510" t="str">
        <f>IF(G164="","",IF(G164&lt;=0," ",IF(I164*Espesor!E$4/Espesor!H$4&lt;0.002,0.002,I164*Espesor!E$4/Espesor!H$4)))</f>
        <v/>
      </c>
      <c r="K164" s="511" t="str">
        <f>IF(G164="","",IF(G164&lt;=0,"------",ROUND(J164*(H164-Espesor!L$4)*100,2)))</f>
        <v/>
      </c>
      <c r="L164" s="508">
        <f>IF(A164="",0,LOOKUP(D164,'M+'!$A$4:$A$71,'M+'!$N$4:$N$71))</f>
        <v>0</v>
      </c>
      <c r="M164" s="508">
        <f>IF(A164="",0,LOOKUP(F164,'M+'!$A$4:$A$71,'M+'!$N$4:$N$71))</f>
        <v>0</v>
      </c>
      <c r="N164" s="517" t="str">
        <f t="shared" si="84"/>
        <v/>
      </c>
      <c r="O164" s="512" t="str">
        <f t="shared" si="85"/>
        <v/>
      </c>
    </row>
    <row r="165" spans="1:15" ht="18" customHeight="1">
      <c r="A165" s="504" t="str">
        <f>IF(F165=0,"",IF(A164="",IF(V$87&gt;=MAX(A$90:A164)+1,MAX(A$90:A164)+1,""),A164+1))</f>
        <v/>
      </c>
      <c r="B165" s="505" t="str">
        <f t="shared" si="83"/>
        <v/>
      </c>
      <c r="C165" s="506" t="str">
        <f>IF(A165="","",IF(Espesor!$J$3="Techo","Lt-","Le-"))</f>
        <v/>
      </c>
      <c r="D165" s="507"/>
      <c r="E165" s="506" t="str">
        <f>IF(A165="","",IF(Espesor!$J$3="Techo","LT-","LE-"))</f>
        <v/>
      </c>
      <c r="F165" s="507"/>
      <c r="G165" s="520" t="str">
        <f>IF(A165="","",Compesaciones!D196)</f>
        <v/>
      </c>
      <c r="H165" s="509" t="str">
        <f>IF(F165=0,"",MAX(LOOKUP(D165,Espesor!C$8:C$41,Espesor!O$8:O$41),LOOKUP(F165,Espesor!C$8:C$41,Espesor!O$8:O$41)))</f>
        <v/>
      </c>
      <c r="I165" s="510" t="str">
        <f>IF(G165="","",IF(G165&lt;=0," ",0.848-SQRT(0.719-G165/(0.53*100*(H165-Espesor!L$4)^2*Espesor!E$4))))</f>
        <v/>
      </c>
      <c r="J165" s="510" t="str">
        <f>IF(G165="","",IF(G165&lt;=0," ",IF(I165*Espesor!E$4/Espesor!H$4&lt;0.002,0.002,I165*Espesor!E$4/Espesor!H$4)))</f>
        <v/>
      </c>
      <c r="K165" s="511" t="str">
        <f>IF(G165="","",IF(G165&lt;=0,"------",ROUND(J165*(H165-Espesor!L$4)*100,2)))</f>
        <v/>
      </c>
      <c r="L165" s="508">
        <f>IF(A165="",0,LOOKUP(D165,'M+'!$A$4:$A$71,'M+'!$N$4:$N$71))</f>
        <v>0</v>
      </c>
      <c r="M165" s="508">
        <f>IF(A165="",0,LOOKUP(F165,'M+'!$A$4:$A$71,'M+'!$N$4:$N$71))</f>
        <v>0</v>
      </c>
      <c r="N165" s="517" t="str">
        <f t="shared" si="84"/>
        <v/>
      </c>
      <c r="O165" s="512" t="str">
        <f t="shared" si="85"/>
        <v/>
      </c>
    </row>
    <row r="166" spans="1:15" ht="18" customHeight="1">
      <c r="A166" s="504" t="str">
        <f>IF(F166=0,"",IF(A165="",IF(V$87&gt;=MAX(A$90:A165)+1,MAX(A$90:A165)+1,""),A165+1))</f>
        <v/>
      </c>
      <c r="B166" s="505" t="str">
        <f t="shared" si="83"/>
        <v/>
      </c>
      <c r="C166" s="506" t="str">
        <f>IF(A166="","",IF(Espesor!$J$3="Techo","Lt-","Le-"))</f>
        <v/>
      </c>
      <c r="D166" s="507"/>
      <c r="E166" s="506" t="str">
        <f>IF(A166="","",IF(Espesor!$J$3="Techo","LT-","LE-"))</f>
        <v/>
      </c>
      <c r="F166" s="507"/>
      <c r="G166" s="520" t="str">
        <f>IF(A166="","",Compesaciones!D197)</f>
        <v/>
      </c>
      <c r="H166" s="509" t="str">
        <f>IF(F166=0,"",MAX(LOOKUP(D166,Espesor!C$8:C$41,Espesor!O$8:O$41),LOOKUP(F166,Espesor!C$8:C$41,Espesor!O$8:O$41)))</f>
        <v/>
      </c>
      <c r="I166" s="510" t="str">
        <f>IF(G166="","",IF(G166&lt;=0," ",0.848-SQRT(0.719-G166/(0.53*100*(H166-Espesor!L$4)^2*Espesor!E$4))))</f>
        <v/>
      </c>
      <c r="J166" s="510" t="str">
        <f>IF(G166="","",IF(G166&lt;=0," ",IF(I166*Espesor!E$4/Espesor!H$4&lt;0.002,0.002,I166*Espesor!E$4/Espesor!H$4)))</f>
        <v/>
      </c>
      <c r="K166" s="511" t="str">
        <f>IF(G166="","",IF(G166&lt;=0,"------",ROUND(J166*(H166-Espesor!L$4)*100,2)))</f>
        <v/>
      </c>
      <c r="L166" s="508">
        <f>IF(A166="",0,LOOKUP(D166,'M+'!$A$4:$A$71,'M+'!$N$4:$N$71))</f>
        <v>0</v>
      </c>
      <c r="M166" s="508">
        <f>IF(A166="",0,LOOKUP(F166,'M+'!$A$4:$A$71,'M+'!$N$4:$N$71))</f>
        <v>0</v>
      </c>
      <c r="N166" s="517" t="str">
        <f t="shared" si="84"/>
        <v/>
      </c>
      <c r="O166" s="512" t="str">
        <f t="shared" si="85"/>
        <v/>
      </c>
    </row>
    <row r="167" spans="1:15" ht="18" customHeight="1">
      <c r="A167" s="504" t="str">
        <f>IF(F167=0,"",IF(A166="",IF(V$87&gt;=MAX(A$90:A166)+1,MAX(A$90:A166)+1,""),A166+1))</f>
        <v/>
      </c>
      <c r="B167" s="505" t="str">
        <f t="shared" si="83"/>
        <v/>
      </c>
      <c r="C167" s="506" t="str">
        <f>IF(A167="","",IF(Espesor!$J$3="Techo","Lt-","Le-"))</f>
        <v/>
      </c>
      <c r="D167" s="507"/>
      <c r="E167" s="506" t="str">
        <f>IF(A167="","",IF(Espesor!$J$3="Techo","LT-","LE-"))</f>
        <v/>
      </c>
      <c r="F167" s="507"/>
      <c r="G167" s="520" t="str">
        <f>IF(A167="","",Compesaciones!D198)</f>
        <v/>
      </c>
      <c r="H167" s="509" t="str">
        <f>IF(F167=0,"",MAX(LOOKUP(D167,Espesor!C$8:C$41,Espesor!O$8:O$41),LOOKUP(F167,Espesor!C$8:C$41,Espesor!O$8:O$41)))</f>
        <v/>
      </c>
      <c r="I167" s="510" t="str">
        <f>IF(G167="","",IF(G167&lt;=0," ",0.848-SQRT(0.719-G167/(0.53*100*(H167-Espesor!L$4)^2*Espesor!E$4))))</f>
        <v/>
      </c>
      <c r="J167" s="510" t="str">
        <f>IF(G167="","",IF(G167&lt;=0," ",IF(I167*Espesor!E$4/Espesor!H$4&lt;0.002,0.002,I167*Espesor!E$4/Espesor!H$4)))</f>
        <v/>
      </c>
      <c r="K167" s="511" t="str">
        <f>IF(G167="","",IF(G167&lt;=0,"------",ROUND(J167*(H167-Espesor!L$4)*100,2)))</f>
        <v/>
      </c>
      <c r="L167" s="508">
        <f>IF(A167="",0,LOOKUP(D167,'M+'!$A$4:$A$71,'M+'!$N$4:$N$71))</f>
        <v>0</v>
      </c>
      <c r="M167" s="508">
        <f>IF(A167="",0,LOOKUP(F167,'M+'!$A$4:$A$71,'M+'!$N$4:$N$71))</f>
        <v>0</v>
      </c>
      <c r="N167" s="517" t="str">
        <f t="shared" si="84"/>
        <v/>
      </c>
      <c r="O167" s="512" t="str">
        <f t="shared" si="85"/>
        <v/>
      </c>
    </row>
    <row r="168" spans="1:15" ht="18" customHeight="1">
      <c r="A168" s="504" t="str">
        <f>IF(F168=0,"",IF(A167="",IF(V$87&gt;=MAX(A$90:A167)+1,MAX(A$90:A167)+1,""),A167+1))</f>
        <v/>
      </c>
      <c r="B168" s="505" t="str">
        <f t="shared" si="83"/>
        <v/>
      </c>
      <c r="C168" s="506" t="str">
        <f>IF(A168="","",IF(Espesor!$J$3="Techo","Lt-","Le-"))</f>
        <v/>
      </c>
      <c r="D168" s="507"/>
      <c r="E168" s="506" t="str">
        <f>IF(A168="","",IF(Espesor!$J$3="Techo","LT-","LE-"))</f>
        <v/>
      </c>
      <c r="F168" s="507"/>
      <c r="G168" s="520" t="str">
        <f>IF(A168="","",Compesaciones!D199)</f>
        <v/>
      </c>
      <c r="H168" s="509" t="str">
        <f>IF(F168=0,"",MAX(LOOKUP(D168,Espesor!C$8:C$41,Espesor!O$8:O$41),LOOKUP(F168,Espesor!C$8:C$41,Espesor!O$8:O$41)))</f>
        <v/>
      </c>
      <c r="I168" s="510" t="str">
        <f>IF(G168="","",IF(G168&lt;=0," ",0.848-SQRT(0.719-G168/(0.53*100*(H168-Espesor!L$4)^2*Espesor!E$4))))</f>
        <v/>
      </c>
      <c r="J168" s="510" t="str">
        <f>IF(G168="","",IF(G168&lt;=0," ",IF(I168*Espesor!E$4/Espesor!H$4&lt;0.002,0.002,I168*Espesor!E$4/Espesor!H$4)))</f>
        <v/>
      </c>
      <c r="K168" s="511" t="str">
        <f>IF(G168="","",IF(G168&lt;=0,"------",ROUND(J168*(H168-Espesor!L$4)*100,2)))</f>
        <v/>
      </c>
      <c r="L168" s="508">
        <f>IF(A168="",0,LOOKUP(D168,'M+'!$A$4:$A$71,'M+'!$N$4:$N$71))</f>
        <v>0</v>
      </c>
      <c r="M168" s="508">
        <f>IF(A168="",0,LOOKUP(F168,'M+'!$A$4:$A$71,'M+'!$N$4:$N$71))</f>
        <v>0</v>
      </c>
      <c r="N168" s="517" t="str">
        <f t="shared" si="84"/>
        <v/>
      </c>
      <c r="O168" s="512" t="str">
        <f t="shared" si="85"/>
        <v/>
      </c>
    </row>
    <row r="169" spans="1:15" ht="18" customHeight="1">
      <c r="A169" s="504" t="str">
        <f>IF(F169=0,"",IF(A168="",IF(V$87&gt;=MAX(A$90:A168)+1,MAX(A$90:A168)+1,""),A168+1))</f>
        <v/>
      </c>
      <c r="B169" s="505" t="str">
        <f t="shared" si="83"/>
        <v/>
      </c>
      <c r="C169" s="506" t="str">
        <f>IF(A169="","",IF(Espesor!$J$3="Techo","Lt-","Le-"))</f>
        <v/>
      </c>
      <c r="D169" s="507"/>
      <c r="E169" s="506" t="str">
        <f>IF(A169="","",IF(Espesor!$J$3="Techo","LT-","LE-"))</f>
        <v/>
      </c>
      <c r="F169" s="507"/>
      <c r="G169" s="520" t="str">
        <f>IF(A169="","",Compesaciones!D200)</f>
        <v/>
      </c>
      <c r="H169" s="509" t="str">
        <f>IF(F169=0,"",MAX(LOOKUP(D169,Espesor!C$8:C$41,Espesor!O$8:O$41),LOOKUP(F169,Espesor!C$8:C$41,Espesor!O$8:O$41)))</f>
        <v/>
      </c>
      <c r="I169" s="510" t="str">
        <f>IF(G169="","",IF(G169&lt;=0," ",0.848-SQRT(0.719-G169/(0.53*100*(H169-Espesor!L$4)^2*Espesor!E$4))))</f>
        <v/>
      </c>
      <c r="J169" s="510" t="str">
        <f>IF(G169="","",IF(G169&lt;=0," ",IF(I169*Espesor!E$4/Espesor!H$4&lt;0.002,0.002,I169*Espesor!E$4/Espesor!H$4)))</f>
        <v/>
      </c>
      <c r="K169" s="511" t="str">
        <f>IF(G169="","",IF(G169&lt;=0,"------",ROUND(J169*(H169-Espesor!L$4)*100,2)))</f>
        <v/>
      </c>
      <c r="L169" s="508">
        <f>IF(A169="",0,LOOKUP(D169,'M+'!$A$4:$A$71,'M+'!$N$4:$N$71))</f>
        <v>0</v>
      </c>
      <c r="M169" s="508">
        <f>IF(A169="",0,LOOKUP(F169,'M+'!$A$4:$A$71,'M+'!$N$4:$N$71))</f>
        <v>0</v>
      </c>
      <c r="N169" s="517" t="str">
        <f t="shared" si="84"/>
        <v/>
      </c>
      <c r="O169" s="512" t="str">
        <f t="shared" si="85"/>
        <v/>
      </c>
    </row>
  </sheetData>
  <mergeCells count="29">
    <mergeCell ref="Q88:Q89"/>
    <mergeCell ref="R88:R89"/>
    <mergeCell ref="S88:S89"/>
    <mergeCell ref="T88:T89"/>
    <mergeCell ref="K88:M88"/>
    <mergeCell ref="N88:O89"/>
    <mergeCell ref="C89:D89"/>
    <mergeCell ref="E89:F89"/>
    <mergeCell ref="P88:P89"/>
    <mergeCell ref="A88:F88"/>
    <mergeCell ref="G88:G89"/>
    <mergeCell ref="H88:H89"/>
    <mergeCell ref="I88:I89"/>
    <mergeCell ref="J88:J89"/>
    <mergeCell ref="A2:U2"/>
    <mergeCell ref="A3:F3"/>
    <mergeCell ref="G3:G4"/>
    <mergeCell ref="H3:H4"/>
    <mergeCell ref="I3:I4"/>
    <mergeCell ref="J3:J4"/>
    <mergeCell ref="C4:D4"/>
    <mergeCell ref="E4:F4"/>
    <mergeCell ref="P3:P4"/>
    <mergeCell ref="Q3:Q4"/>
    <mergeCell ref="S3:S4"/>
    <mergeCell ref="T3:T4"/>
    <mergeCell ref="K3:M3"/>
    <mergeCell ref="N3:O4"/>
    <mergeCell ref="R3:R4"/>
  </mergeCells>
  <pageMargins left="1.38" right="0.39" top="0.71" bottom="0.49" header="0" footer="0"/>
  <pageSetup orientation="portrait" horizontalDpi="300" verticalDpi="300" r:id="rId1"/>
  <headerFooter alignWithMargins="0">
    <oddFooter>&amp;C&amp;11Cell Orange: 809-883-7811
e-mail: estrosingenieros@gmail.com, prosario@ucateci.edu.do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P80"/>
  <sheetViews>
    <sheetView workbookViewId="0">
      <selection activeCell="A59" sqref="A59:P59"/>
    </sheetView>
  </sheetViews>
  <sheetFormatPr defaultColWidth="7.109375" defaultRowHeight="10.5"/>
  <cols>
    <col min="1" max="1" width="4.77734375" style="88" customWidth="1"/>
    <col min="2" max="3" width="5.77734375" style="88" customWidth="1"/>
    <col min="4" max="4" width="5.44140625" style="88" customWidth="1"/>
    <col min="5" max="10" width="5.77734375" style="88" customWidth="1"/>
    <col min="11" max="11" width="5.5546875" style="88" customWidth="1"/>
    <col min="12" max="16" width="5.77734375" style="88" customWidth="1"/>
    <col min="17" max="16384" width="7.109375" style="88"/>
  </cols>
  <sheetData>
    <row r="1" spans="1:16" ht="16.5" customHeight="1">
      <c r="A1" s="738" t="s">
        <v>88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</row>
    <row r="2" spans="1:16" ht="16.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7.25" customHeight="1" thickBot="1">
      <c r="A3" s="738" t="s">
        <v>89</v>
      </c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</row>
    <row r="4" spans="1:16" s="90" customFormat="1" ht="24" customHeight="1" thickTop="1" thickBot="1">
      <c r="A4" s="739" t="s">
        <v>90</v>
      </c>
      <c r="B4" s="741">
        <v>4</v>
      </c>
      <c r="C4" s="741"/>
      <c r="D4" s="742">
        <v>3</v>
      </c>
      <c r="E4" s="743"/>
      <c r="F4" s="744"/>
      <c r="G4" s="742">
        <v>2</v>
      </c>
      <c r="H4" s="743"/>
      <c r="I4" s="744"/>
      <c r="J4" s="745">
        <v>1</v>
      </c>
      <c r="K4" s="746"/>
      <c r="L4" s="747"/>
      <c r="M4" s="745">
        <v>0</v>
      </c>
      <c r="N4" s="746"/>
      <c r="O4" s="748" t="s">
        <v>5</v>
      </c>
      <c r="P4" s="739" t="s">
        <v>90</v>
      </c>
    </row>
    <row r="5" spans="1:16" s="90" customFormat="1" ht="28.5" customHeight="1" thickTop="1" thickBot="1">
      <c r="A5" s="740"/>
      <c r="B5" s="91" t="s">
        <v>91</v>
      </c>
      <c r="C5" s="91" t="s">
        <v>92</v>
      </c>
      <c r="D5" s="91" t="s">
        <v>91</v>
      </c>
      <c r="E5" s="91" t="s">
        <v>92</v>
      </c>
      <c r="F5" s="91" t="s">
        <v>93</v>
      </c>
      <c r="G5" s="91" t="s">
        <v>91</v>
      </c>
      <c r="H5" s="91" t="s">
        <v>92</v>
      </c>
      <c r="I5" s="91" t="s">
        <v>94</v>
      </c>
      <c r="J5" s="91" t="s">
        <v>91</v>
      </c>
      <c r="K5" s="91" t="s">
        <v>95</v>
      </c>
      <c r="L5" s="91" t="s">
        <v>94</v>
      </c>
      <c r="M5" s="91" t="s">
        <v>91</v>
      </c>
      <c r="N5" s="91" t="s">
        <v>94</v>
      </c>
      <c r="O5" s="749"/>
      <c r="P5" s="740"/>
    </row>
    <row r="6" spans="1:16" s="90" customFormat="1" ht="28.5" customHeight="1" thickTop="1" thickBot="1">
      <c r="A6" s="92"/>
      <c r="B6" s="750">
        <v>4</v>
      </c>
      <c r="C6" s="751"/>
      <c r="D6" s="750">
        <v>3</v>
      </c>
      <c r="E6" s="752"/>
      <c r="F6" s="751"/>
      <c r="G6" s="750">
        <v>2</v>
      </c>
      <c r="H6" s="752"/>
      <c r="I6" s="751"/>
      <c r="J6" s="750">
        <v>1</v>
      </c>
      <c r="K6" s="752"/>
      <c r="L6" s="751"/>
      <c r="M6" s="750">
        <v>0</v>
      </c>
      <c r="N6" s="751"/>
      <c r="O6" s="93"/>
      <c r="P6" s="92"/>
    </row>
    <row r="7" spans="1:16" s="90" customFormat="1" ht="28.5" customHeight="1" thickTop="1" thickBot="1">
      <c r="A7" s="94" t="s">
        <v>96</v>
      </c>
      <c r="B7" s="95" t="s">
        <v>97</v>
      </c>
      <c r="C7" s="95" t="s">
        <v>98</v>
      </c>
      <c r="D7" s="95" t="s">
        <v>97</v>
      </c>
      <c r="E7" s="95" t="s">
        <v>98</v>
      </c>
      <c r="F7" s="95" t="s">
        <v>98</v>
      </c>
      <c r="G7" s="95" t="s">
        <v>97</v>
      </c>
      <c r="H7" s="95" t="s">
        <v>98</v>
      </c>
      <c r="I7" s="95" t="s">
        <v>98</v>
      </c>
      <c r="J7" s="95" t="s">
        <v>97</v>
      </c>
      <c r="K7" s="95" t="s">
        <v>98</v>
      </c>
      <c r="L7" s="95" t="s">
        <v>98</v>
      </c>
      <c r="M7" s="95" t="s">
        <v>97</v>
      </c>
      <c r="N7" s="95" t="s">
        <v>98</v>
      </c>
      <c r="O7" s="95" t="s">
        <v>99</v>
      </c>
      <c r="P7" s="94" t="s">
        <v>96</v>
      </c>
    </row>
    <row r="8" spans="1:16" s="90" customFormat="1" ht="14.25" customHeight="1" thickTop="1">
      <c r="A8" s="96">
        <v>0.5</v>
      </c>
      <c r="B8" s="97">
        <v>8.3000000000000004E-2</v>
      </c>
      <c r="C8" s="98">
        <v>5.5E-2</v>
      </c>
      <c r="D8" s="98">
        <v>7.3999999999999996E-2</v>
      </c>
      <c r="E8" s="98">
        <v>4.9000000000000002E-2</v>
      </c>
      <c r="F8" s="98">
        <v>9.8000000000000004E-2</v>
      </c>
      <c r="G8" s="98">
        <v>6.8000000000000005E-2</v>
      </c>
      <c r="H8" s="98">
        <v>4.4999999999999998E-2</v>
      </c>
      <c r="I8" s="98">
        <v>8.9999999999999206E-2</v>
      </c>
      <c r="J8" s="98">
        <v>6.4000000000000001E-2</v>
      </c>
      <c r="K8" s="98">
        <v>4.2000000000000003E-2</v>
      </c>
      <c r="L8" s="98">
        <v>8.5000000000000006E-2</v>
      </c>
      <c r="M8" s="98">
        <v>6.2E-2</v>
      </c>
      <c r="N8" s="99">
        <v>8.3000000000000004E-2</v>
      </c>
      <c r="O8" s="100">
        <f t="shared" ref="O8:O58" si="0">+(3-P8*P8)/2</f>
        <v>1.375</v>
      </c>
      <c r="P8" s="101">
        <v>0.5</v>
      </c>
    </row>
    <row r="9" spans="1:16" s="90" customFormat="1" ht="14.25" customHeight="1">
      <c r="A9" s="102">
        <f t="shared" ref="A9:A58" si="1">+A8+0.01</f>
        <v>0.51</v>
      </c>
      <c r="B9" s="103">
        <v>8.2699999999999996E-2</v>
      </c>
      <c r="C9" s="104">
        <v>5.4800000000000001E-2</v>
      </c>
      <c r="D9" s="104">
        <v>7.3400000000000007E-2</v>
      </c>
      <c r="E9" s="104">
        <v>4.8599999999999997E-2</v>
      </c>
      <c r="F9" s="104">
        <v>9.7199999999999995E-2</v>
      </c>
      <c r="G9" s="104">
        <v>6.7100000000000007E-2</v>
      </c>
      <c r="H9" s="104">
        <v>4.4400000000000002E-2</v>
      </c>
      <c r="I9" s="104">
        <v>8.8799999999999296E-2</v>
      </c>
      <c r="J9" s="104">
        <v>6.2799999999999995E-2</v>
      </c>
      <c r="K9" s="104">
        <v>4.1300000000000003E-2</v>
      </c>
      <c r="L9" s="104">
        <v>8.3400000000000002E-2</v>
      </c>
      <c r="M9" s="104">
        <v>6.0499999999999998E-2</v>
      </c>
      <c r="N9" s="105">
        <v>8.1000000000000003E-2</v>
      </c>
      <c r="O9" s="106">
        <f t="shared" si="0"/>
        <v>1.36995</v>
      </c>
      <c r="P9" s="107">
        <f t="shared" ref="P9:P58" si="2">+P8+0.01</f>
        <v>0.51</v>
      </c>
    </row>
    <row r="10" spans="1:16" s="90" customFormat="1" ht="14.25" customHeight="1">
      <c r="A10" s="102">
        <f t="shared" si="1"/>
        <v>0.52</v>
      </c>
      <c r="B10" s="103">
        <v>8.2400000000000001E-2</v>
      </c>
      <c r="C10" s="104">
        <v>5.4600000000000003E-2</v>
      </c>
      <c r="D10" s="104">
        <v>7.2800000000000004E-2</v>
      </c>
      <c r="E10" s="104">
        <v>4.82E-2</v>
      </c>
      <c r="F10" s="104">
        <v>9.64E-2</v>
      </c>
      <c r="G10" s="104">
        <v>6.6199999999999995E-2</v>
      </c>
      <c r="H10" s="104">
        <v>4.3799999999999999E-2</v>
      </c>
      <c r="I10" s="104">
        <v>8.7599999999999401E-2</v>
      </c>
      <c r="J10" s="104">
        <v>6.1600000000000002E-2</v>
      </c>
      <c r="K10" s="104">
        <v>4.0599999999999997E-2</v>
      </c>
      <c r="L10" s="104">
        <v>8.1799999999999998E-2</v>
      </c>
      <c r="M10" s="104">
        <v>5.8999999999999997E-2</v>
      </c>
      <c r="N10" s="105">
        <v>7.9000000000000001E-2</v>
      </c>
      <c r="O10" s="106">
        <f t="shared" si="0"/>
        <v>1.3648</v>
      </c>
      <c r="P10" s="107">
        <f t="shared" si="2"/>
        <v>0.52</v>
      </c>
    </row>
    <row r="11" spans="1:16" s="90" customFormat="1" ht="14.25" customHeight="1">
      <c r="A11" s="102">
        <f t="shared" si="1"/>
        <v>0.53</v>
      </c>
      <c r="B11" s="103">
        <v>8.2100000000000006E-2</v>
      </c>
      <c r="C11" s="104">
        <v>5.4399999999999997E-2</v>
      </c>
      <c r="D11" s="104">
        <v>7.22E-2</v>
      </c>
      <c r="E11" s="104">
        <v>4.7800000000000002E-2</v>
      </c>
      <c r="F11" s="104">
        <v>9.5600000000000004E-2</v>
      </c>
      <c r="G11" s="104">
        <v>6.5299999999999997E-2</v>
      </c>
      <c r="H11" s="104">
        <v>4.3200000000000002E-2</v>
      </c>
      <c r="I11" s="104">
        <v>8.6399999999999505E-2</v>
      </c>
      <c r="J11" s="104">
        <v>6.0400000000000002E-2</v>
      </c>
      <c r="K11" s="104">
        <v>3.9899999999999998E-2</v>
      </c>
      <c r="L11" s="104">
        <v>8.0199999999999994E-2</v>
      </c>
      <c r="M11" s="104">
        <v>5.7500000000000002E-2</v>
      </c>
      <c r="N11" s="105">
        <v>7.6999999999999999E-2</v>
      </c>
      <c r="O11" s="106">
        <f t="shared" si="0"/>
        <v>1.35955</v>
      </c>
      <c r="P11" s="107">
        <f t="shared" si="2"/>
        <v>0.53</v>
      </c>
    </row>
    <row r="12" spans="1:16" s="90" customFormat="1" ht="14.25" customHeight="1">
      <c r="A12" s="102">
        <f t="shared" si="1"/>
        <v>0.54</v>
      </c>
      <c r="B12" s="103">
        <v>8.1799999999999998E-2</v>
      </c>
      <c r="C12" s="104">
        <v>5.4199999999999998E-2</v>
      </c>
      <c r="D12" s="104">
        <v>7.1599999999999997E-2</v>
      </c>
      <c r="E12" s="104">
        <v>4.7399999999999998E-2</v>
      </c>
      <c r="F12" s="104">
        <v>9.4799999999999995E-2</v>
      </c>
      <c r="G12" s="104">
        <v>6.4399999999999999E-2</v>
      </c>
      <c r="H12" s="104">
        <v>4.2599999999999999E-2</v>
      </c>
      <c r="I12" s="104">
        <v>8.5199999999999596E-2</v>
      </c>
      <c r="J12" s="104">
        <v>5.9200000000000003E-2</v>
      </c>
      <c r="K12" s="104">
        <v>3.9199999999999999E-2</v>
      </c>
      <c r="L12" s="104">
        <v>7.8600000000000003E-2</v>
      </c>
      <c r="M12" s="104">
        <v>5.6000000000000001E-2</v>
      </c>
      <c r="N12" s="105">
        <v>7.4999999999999997E-2</v>
      </c>
      <c r="O12" s="106">
        <f t="shared" si="0"/>
        <v>1.3542000000000001</v>
      </c>
      <c r="P12" s="107">
        <f t="shared" si="2"/>
        <v>0.54</v>
      </c>
    </row>
    <row r="13" spans="1:16" s="90" customFormat="1" ht="14.25" customHeight="1">
      <c r="A13" s="102">
        <f t="shared" si="1"/>
        <v>0.55000000000000004</v>
      </c>
      <c r="B13" s="103">
        <v>8.1500000000000003E-2</v>
      </c>
      <c r="C13" s="104">
        <v>5.3999999999999999E-2</v>
      </c>
      <c r="D13" s="104">
        <v>7.0999999999999994E-2</v>
      </c>
      <c r="E13" s="104">
        <v>4.7E-2</v>
      </c>
      <c r="F13" s="104">
        <v>9.4E-2</v>
      </c>
      <c r="G13" s="104">
        <v>6.3500000000000001E-2</v>
      </c>
      <c r="H13" s="104">
        <v>4.2000000000000003E-2</v>
      </c>
      <c r="I13" s="104">
        <v>8.3999999999999603E-2</v>
      </c>
      <c r="J13" s="104">
        <v>5.8000000000000003E-2</v>
      </c>
      <c r="K13" s="104">
        <v>3.85E-2</v>
      </c>
      <c r="L13" s="104">
        <v>7.6999999999999999E-2</v>
      </c>
      <c r="M13" s="104">
        <v>5.45E-2</v>
      </c>
      <c r="N13" s="105">
        <v>7.2999999999999995E-2</v>
      </c>
      <c r="O13" s="106">
        <f t="shared" si="0"/>
        <v>1.3487499999999999</v>
      </c>
      <c r="P13" s="107">
        <f t="shared" si="2"/>
        <v>0.55000000000000004</v>
      </c>
    </row>
    <row r="14" spans="1:16" s="90" customFormat="1" ht="14.25" customHeight="1">
      <c r="A14" s="102">
        <f t="shared" si="1"/>
        <v>0.56000000000000005</v>
      </c>
      <c r="B14" s="103">
        <v>8.1199999999999994E-2</v>
      </c>
      <c r="C14" s="104">
        <v>5.3800000000000001E-2</v>
      </c>
      <c r="D14" s="104">
        <v>7.0400000000000101E-2</v>
      </c>
      <c r="E14" s="104">
        <v>4.6600000000000003E-2</v>
      </c>
      <c r="F14" s="104">
        <v>9.3199999999999894E-2</v>
      </c>
      <c r="G14" s="104">
        <v>6.2600000000000003E-2</v>
      </c>
      <c r="H14" s="104">
        <v>4.1399999999999999E-2</v>
      </c>
      <c r="I14" s="104">
        <v>8.2799999999999693E-2</v>
      </c>
      <c r="J14" s="104">
        <v>5.6800000000000003E-2</v>
      </c>
      <c r="K14" s="104">
        <v>3.78E-2</v>
      </c>
      <c r="L14" s="104">
        <v>7.5399999999999995E-2</v>
      </c>
      <c r="M14" s="104">
        <v>5.2999999999999999E-2</v>
      </c>
      <c r="N14" s="105">
        <v>7.0999999999999994E-2</v>
      </c>
      <c r="O14" s="106">
        <f t="shared" si="0"/>
        <v>1.3431999999999999</v>
      </c>
      <c r="P14" s="107">
        <f t="shared" si="2"/>
        <v>0.56000000000000005</v>
      </c>
    </row>
    <row r="15" spans="1:16" s="90" customFormat="1" ht="14.25" customHeight="1">
      <c r="A15" s="102">
        <f t="shared" si="1"/>
        <v>0.57000000000000006</v>
      </c>
      <c r="B15" s="103">
        <v>8.09E-2</v>
      </c>
      <c r="C15" s="104">
        <v>5.3600000000000002E-2</v>
      </c>
      <c r="D15" s="104">
        <v>6.9800000000000098E-2</v>
      </c>
      <c r="E15" s="104">
        <v>4.6199999999999998E-2</v>
      </c>
      <c r="F15" s="104">
        <v>9.2399999999999899E-2</v>
      </c>
      <c r="G15" s="104">
        <v>6.1699999999999998E-2</v>
      </c>
      <c r="H15" s="104">
        <v>4.0800000000000003E-2</v>
      </c>
      <c r="I15" s="104">
        <v>8.1599999999999798E-2</v>
      </c>
      <c r="J15" s="104">
        <v>5.5599999999999997E-2</v>
      </c>
      <c r="K15" s="104">
        <v>3.7100000000000001E-2</v>
      </c>
      <c r="L15" s="104">
        <v>7.3800000000000004E-2</v>
      </c>
      <c r="M15" s="104">
        <v>5.1499999999999997E-2</v>
      </c>
      <c r="N15" s="105">
        <v>6.9000000000000006E-2</v>
      </c>
      <c r="O15" s="106">
        <f t="shared" si="0"/>
        <v>1.33755</v>
      </c>
      <c r="P15" s="107">
        <f t="shared" si="2"/>
        <v>0.57000000000000006</v>
      </c>
    </row>
    <row r="16" spans="1:16" s="90" customFormat="1" ht="14.25" customHeight="1">
      <c r="A16" s="102">
        <f>+A15+0.01</f>
        <v>0.58000000000000007</v>
      </c>
      <c r="B16" s="103">
        <v>8.0600000000000005E-2</v>
      </c>
      <c r="C16" s="104">
        <v>5.3400000000000003E-2</v>
      </c>
      <c r="D16" s="104">
        <v>6.9200000000000095E-2</v>
      </c>
      <c r="E16" s="104">
        <v>4.58E-2</v>
      </c>
      <c r="F16" s="104">
        <v>9.1599999999999904E-2</v>
      </c>
      <c r="G16" s="104">
        <v>6.08E-2</v>
      </c>
      <c r="H16" s="104">
        <v>4.02E-2</v>
      </c>
      <c r="I16" s="104">
        <v>8.0399999999999902E-2</v>
      </c>
      <c r="J16" s="104">
        <v>5.43999999999999E-2</v>
      </c>
      <c r="K16" s="104">
        <v>3.6400000000000002E-2</v>
      </c>
      <c r="L16" s="104">
        <v>7.22E-2</v>
      </c>
      <c r="M16" s="104">
        <v>0.05</v>
      </c>
      <c r="N16" s="105">
        <v>6.7000000000000004E-2</v>
      </c>
      <c r="O16" s="106">
        <f t="shared" si="0"/>
        <v>1.3317999999999999</v>
      </c>
      <c r="P16" s="107">
        <f t="shared" si="2"/>
        <v>0.58000000000000007</v>
      </c>
    </row>
    <row r="17" spans="1:16" s="90" customFormat="1" ht="14.25" customHeight="1">
      <c r="A17" s="102">
        <f t="shared" si="1"/>
        <v>0.59000000000000008</v>
      </c>
      <c r="B17" s="103">
        <v>8.0299999999999996E-2</v>
      </c>
      <c r="C17" s="104">
        <v>5.3199999999999997E-2</v>
      </c>
      <c r="D17" s="104">
        <v>6.8600000000000105E-2</v>
      </c>
      <c r="E17" s="104">
        <v>4.5400000000000003E-2</v>
      </c>
      <c r="F17" s="104">
        <v>9.0799999999999895E-2</v>
      </c>
      <c r="G17" s="104">
        <v>5.9900000000000002E-2</v>
      </c>
      <c r="H17" s="104">
        <v>3.9600000000000003E-2</v>
      </c>
      <c r="I17" s="104">
        <v>7.9200000000000007E-2</v>
      </c>
      <c r="J17" s="104">
        <v>5.31999999999999E-2</v>
      </c>
      <c r="K17" s="104">
        <v>3.5700000000000003E-2</v>
      </c>
      <c r="L17" s="104">
        <v>7.0599999999999996E-2</v>
      </c>
      <c r="M17" s="104">
        <v>4.8500000000000001E-2</v>
      </c>
      <c r="N17" s="105">
        <v>6.5000000000000002E-2</v>
      </c>
      <c r="O17" s="106">
        <f t="shared" si="0"/>
        <v>1.32595</v>
      </c>
      <c r="P17" s="107">
        <f t="shared" si="2"/>
        <v>0.59000000000000008</v>
      </c>
    </row>
    <row r="18" spans="1:16" s="90" customFormat="1" ht="14.25" customHeight="1">
      <c r="A18" s="102">
        <f t="shared" si="1"/>
        <v>0.60000000000000009</v>
      </c>
      <c r="B18" s="103">
        <v>0.08</v>
      </c>
      <c r="C18" s="104">
        <v>5.2999999999999999E-2</v>
      </c>
      <c r="D18" s="104">
        <v>6.8000000000000102E-2</v>
      </c>
      <c r="E18" s="104">
        <v>4.4999999999999998E-2</v>
      </c>
      <c r="F18" s="104">
        <v>8.99999999999999E-2</v>
      </c>
      <c r="G18" s="104">
        <v>5.8999999999999997E-2</v>
      </c>
      <c r="H18" s="104">
        <v>3.9E-2</v>
      </c>
      <c r="I18" s="104">
        <v>7.8000000000000097E-2</v>
      </c>
      <c r="J18" s="104">
        <v>5.19999999999999E-2</v>
      </c>
      <c r="K18" s="104">
        <v>3.5000000000000003E-2</v>
      </c>
      <c r="L18" s="104">
        <v>6.9000000000000006E-2</v>
      </c>
      <c r="M18" s="104">
        <v>4.7E-2</v>
      </c>
      <c r="N18" s="105">
        <v>6.3E-2</v>
      </c>
      <c r="O18" s="106">
        <f t="shared" si="0"/>
        <v>1.3199999999999998</v>
      </c>
      <c r="P18" s="107">
        <f t="shared" si="2"/>
        <v>0.60000000000000009</v>
      </c>
    </row>
    <row r="19" spans="1:16" s="90" customFormat="1" ht="14.25" customHeight="1">
      <c r="A19" s="102">
        <f t="shared" si="1"/>
        <v>0.6100000000000001</v>
      </c>
      <c r="B19" s="108">
        <v>7.9200000000000007E-2</v>
      </c>
      <c r="C19" s="109">
        <v>5.2400000000000002E-2</v>
      </c>
      <c r="D19" s="104">
        <v>6.7400000000000099E-2</v>
      </c>
      <c r="E19" s="104">
        <v>4.4600000000000001E-2</v>
      </c>
      <c r="F19" s="104">
        <v>8.9199999999999904E-2</v>
      </c>
      <c r="G19" s="109">
        <v>5.8500000000000003E-2</v>
      </c>
      <c r="H19" s="109">
        <v>3.8699999999999998E-2</v>
      </c>
      <c r="I19" s="109">
        <v>7.7300000000000105E-2</v>
      </c>
      <c r="J19" s="109">
        <v>5.1499999999999997E-2</v>
      </c>
      <c r="K19" s="109">
        <v>3.4599999999999999E-2</v>
      </c>
      <c r="L19" s="109">
        <v>6.83E-2</v>
      </c>
      <c r="M19" s="109">
        <v>4.6399999999999997E-2</v>
      </c>
      <c r="N19" s="110">
        <v>6.2199999999999998E-2</v>
      </c>
      <c r="O19" s="106">
        <f t="shared" si="0"/>
        <v>1.31395</v>
      </c>
      <c r="P19" s="107">
        <f t="shared" si="2"/>
        <v>0.6100000000000001</v>
      </c>
    </row>
    <row r="20" spans="1:16" s="90" customFormat="1" ht="14.25" customHeight="1">
      <c r="A20" s="102">
        <f t="shared" si="1"/>
        <v>0.62000000000000011</v>
      </c>
      <c r="B20" s="108">
        <v>7.8399999999999997E-2</v>
      </c>
      <c r="C20" s="109">
        <v>5.1799999999999999E-2</v>
      </c>
      <c r="D20" s="104">
        <v>6.6800000000000095E-2</v>
      </c>
      <c r="E20" s="104">
        <v>4.4200000000000003E-2</v>
      </c>
      <c r="F20" s="104">
        <v>8.8399999999999895E-2</v>
      </c>
      <c r="G20" s="109">
        <v>5.8000000000000003E-2</v>
      </c>
      <c r="H20" s="109">
        <v>3.8399999999999997E-2</v>
      </c>
      <c r="I20" s="109">
        <v>7.6600000000000099E-2</v>
      </c>
      <c r="J20" s="109">
        <v>5.1000000000000101E-2</v>
      </c>
      <c r="K20" s="109">
        <v>3.4200000000000001E-2</v>
      </c>
      <c r="L20" s="109">
        <v>6.7599999999999993E-2</v>
      </c>
      <c r="M20" s="109">
        <v>4.58E-2</v>
      </c>
      <c r="N20" s="110">
        <v>6.1400000000000003E-2</v>
      </c>
      <c r="O20" s="106">
        <f t="shared" si="0"/>
        <v>1.3077999999999999</v>
      </c>
      <c r="P20" s="107">
        <f t="shared" si="2"/>
        <v>0.62000000000000011</v>
      </c>
    </row>
    <row r="21" spans="1:16" s="90" customFormat="1" ht="14.25" customHeight="1">
      <c r="A21" s="102">
        <f t="shared" si="1"/>
        <v>0.63000000000000012</v>
      </c>
      <c r="B21" s="108">
        <v>7.7600000000000002E-2</v>
      </c>
      <c r="C21" s="109">
        <v>5.1200000000000002E-2</v>
      </c>
      <c r="D21" s="104">
        <v>6.6200000000000106E-2</v>
      </c>
      <c r="E21" s="104">
        <v>4.3799999999999999E-2</v>
      </c>
      <c r="F21" s="104">
        <v>8.75999999999999E-2</v>
      </c>
      <c r="G21" s="109">
        <v>5.7500000000000002E-2</v>
      </c>
      <c r="H21" s="109">
        <v>3.8100000000000002E-2</v>
      </c>
      <c r="I21" s="109">
        <v>7.5900000000000106E-2</v>
      </c>
      <c r="J21" s="109">
        <v>5.0500000000000198E-2</v>
      </c>
      <c r="K21" s="109">
        <v>3.3799999999999997E-2</v>
      </c>
      <c r="L21" s="109">
        <v>6.6900000000000001E-2</v>
      </c>
      <c r="M21" s="109">
        <v>4.5199999999999997E-2</v>
      </c>
      <c r="N21" s="110">
        <v>6.0600000000000001E-2</v>
      </c>
      <c r="O21" s="106">
        <f t="shared" si="0"/>
        <v>1.30155</v>
      </c>
      <c r="P21" s="107">
        <f t="shared" si="2"/>
        <v>0.63000000000000012</v>
      </c>
    </row>
    <row r="22" spans="1:16" s="90" customFormat="1" ht="14.25" customHeight="1">
      <c r="A22" s="102">
        <f t="shared" si="1"/>
        <v>0.64000000000000012</v>
      </c>
      <c r="B22" s="108">
        <v>7.6799999999999993E-2</v>
      </c>
      <c r="C22" s="109">
        <v>5.0599999999999999E-2</v>
      </c>
      <c r="D22" s="104">
        <v>6.5600000000000103E-2</v>
      </c>
      <c r="E22" s="104">
        <v>4.3400000000000001E-2</v>
      </c>
      <c r="F22" s="104">
        <v>8.6799999999999905E-2</v>
      </c>
      <c r="G22" s="109">
        <v>5.7000000000000002E-2</v>
      </c>
      <c r="H22" s="109">
        <v>3.78E-2</v>
      </c>
      <c r="I22" s="109">
        <v>7.52000000000001E-2</v>
      </c>
      <c r="J22" s="109">
        <v>5.0000000000000301E-2</v>
      </c>
      <c r="K22" s="109">
        <v>3.3399999999999999E-2</v>
      </c>
      <c r="L22" s="109">
        <v>6.6199999999999995E-2</v>
      </c>
      <c r="M22" s="109">
        <v>4.4600000000000001E-2</v>
      </c>
      <c r="N22" s="110">
        <v>5.9799999999999999E-2</v>
      </c>
      <c r="O22" s="106">
        <f t="shared" si="0"/>
        <v>1.2951999999999999</v>
      </c>
      <c r="P22" s="107">
        <f t="shared" si="2"/>
        <v>0.64000000000000012</v>
      </c>
    </row>
    <row r="23" spans="1:16" s="90" customFormat="1" ht="14.25" customHeight="1">
      <c r="A23" s="102">
        <f t="shared" si="1"/>
        <v>0.65000000000000013</v>
      </c>
      <c r="B23" s="108">
        <v>7.5999999999999998E-2</v>
      </c>
      <c r="C23" s="109">
        <v>0.05</v>
      </c>
      <c r="D23" s="109">
        <v>6.5000000000000099E-2</v>
      </c>
      <c r="E23" s="104">
        <v>4.2999999999999997E-2</v>
      </c>
      <c r="F23" s="104">
        <v>8.5999999999999896E-2</v>
      </c>
      <c r="G23" s="109">
        <v>5.6500000000000002E-2</v>
      </c>
      <c r="H23" s="109">
        <v>3.7499999999999999E-2</v>
      </c>
      <c r="I23" s="109">
        <v>7.4500000000000094E-2</v>
      </c>
      <c r="J23" s="109">
        <v>4.9500000000000398E-2</v>
      </c>
      <c r="K23" s="109">
        <v>3.3000000000000002E-2</v>
      </c>
      <c r="L23" s="109">
        <v>6.5500000000000003E-2</v>
      </c>
      <c r="M23" s="109">
        <v>4.3999999999999997E-2</v>
      </c>
      <c r="N23" s="110">
        <v>5.8999999999999997E-2</v>
      </c>
      <c r="O23" s="106">
        <f t="shared" si="0"/>
        <v>1.2887499999999998</v>
      </c>
      <c r="P23" s="107">
        <f t="shared" si="2"/>
        <v>0.65000000000000013</v>
      </c>
    </row>
    <row r="24" spans="1:16" s="90" customFormat="1" ht="14.25" customHeight="1">
      <c r="A24" s="102">
        <f t="shared" si="1"/>
        <v>0.66000000000000014</v>
      </c>
      <c r="B24" s="108">
        <v>7.5200000000000003E-2</v>
      </c>
      <c r="C24" s="109">
        <v>4.9399999999999999E-2</v>
      </c>
      <c r="D24" s="109">
        <v>6.4400000000000096E-2</v>
      </c>
      <c r="E24" s="104">
        <v>4.2599999999999999E-2</v>
      </c>
      <c r="F24" s="104">
        <v>8.5199999999999901E-2</v>
      </c>
      <c r="G24" s="109">
        <v>5.6000000000000001E-2</v>
      </c>
      <c r="H24" s="109">
        <v>3.7199999999999997E-2</v>
      </c>
      <c r="I24" s="109">
        <v>7.3800000000000102E-2</v>
      </c>
      <c r="J24" s="109">
        <v>4.9000000000000501E-2</v>
      </c>
      <c r="K24" s="109">
        <v>3.2599999999999997E-2</v>
      </c>
      <c r="L24" s="109">
        <v>6.4799999999999996E-2</v>
      </c>
      <c r="M24" s="109">
        <v>4.3400000000000001E-2</v>
      </c>
      <c r="N24" s="110">
        <v>5.8200000000000002E-2</v>
      </c>
      <c r="O24" s="106">
        <f t="shared" si="0"/>
        <v>1.2822</v>
      </c>
      <c r="P24" s="107">
        <f t="shared" si="2"/>
        <v>0.66000000000000014</v>
      </c>
    </row>
    <row r="25" spans="1:16" s="90" customFormat="1" ht="14.25" customHeight="1">
      <c r="A25" s="102">
        <f t="shared" si="1"/>
        <v>0.67000000000000015</v>
      </c>
      <c r="B25" s="108">
        <v>7.4399999999999994E-2</v>
      </c>
      <c r="C25" s="109">
        <v>4.8800000000000003E-2</v>
      </c>
      <c r="D25" s="109">
        <v>6.3800000000000107E-2</v>
      </c>
      <c r="E25" s="104">
        <v>4.2200000000000001E-2</v>
      </c>
      <c r="F25" s="104">
        <v>8.4399999999999795E-2</v>
      </c>
      <c r="G25" s="109">
        <v>5.5500000000000001E-2</v>
      </c>
      <c r="H25" s="109">
        <v>3.6900000000000002E-2</v>
      </c>
      <c r="I25" s="109">
        <v>7.3100000000000095E-2</v>
      </c>
      <c r="J25" s="109">
        <v>4.8500000000000598E-2</v>
      </c>
      <c r="K25" s="109">
        <v>3.2199999999999999E-2</v>
      </c>
      <c r="L25" s="109">
        <v>6.4100000000000004E-2</v>
      </c>
      <c r="M25" s="109">
        <v>4.2799999999999998E-2</v>
      </c>
      <c r="N25" s="110">
        <v>5.74E-2</v>
      </c>
      <c r="O25" s="106">
        <f t="shared" si="0"/>
        <v>1.27555</v>
      </c>
      <c r="P25" s="107">
        <f t="shared" si="2"/>
        <v>0.67000000000000015</v>
      </c>
    </row>
    <row r="26" spans="1:16" s="90" customFormat="1" ht="14.25" customHeight="1">
      <c r="A26" s="102">
        <f t="shared" si="1"/>
        <v>0.68000000000000016</v>
      </c>
      <c r="B26" s="108">
        <v>7.3599999999999902E-2</v>
      </c>
      <c r="C26" s="109">
        <v>4.82E-2</v>
      </c>
      <c r="D26" s="109">
        <v>6.3200000000000103E-2</v>
      </c>
      <c r="E26" s="104">
        <v>4.1799999999999997E-2</v>
      </c>
      <c r="F26" s="104">
        <v>8.3599999999999799E-2</v>
      </c>
      <c r="G26" s="109">
        <v>5.5E-2</v>
      </c>
      <c r="H26" s="109">
        <v>3.6600000000000001E-2</v>
      </c>
      <c r="I26" s="109">
        <v>7.2400000000000103E-2</v>
      </c>
      <c r="J26" s="109">
        <v>4.8000000000000702E-2</v>
      </c>
      <c r="K26" s="109">
        <v>3.1800000000000002E-2</v>
      </c>
      <c r="L26" s="109">
        <v>6.3399999999999998E-2</v>
      </c>
      <c r="M26" s="109">
        <v>4.2200000000000001E-2</v>
      </c>
      <c r="N26" s="110">
        <v>5.6599999999999998E-2</v>
      </c>
      <c r="O26" s="106">
        <f t="shared" si="0"/>
        <v>1.2687999999999999</v>
      </c>
      <c r="P26" s="107">
        <f t="shared" si="2"/>
        <v>0.68000000000000016</v>
      </c>
    </row>
    <row r="27" spans="1:16" s="90" customFormat="1" ht="14.25" customHeight="1">
      <c r="A27" s="102">
        <f t="shared" si="1"/>
        <v>0.69000000000000017</v>
      </c>
      <c r="B27" s="108">
        <v>7.2799999999999906E-2</v>
      </c>
      <c r="C27" s="109">
        <v>4.7600000000000003E-2</v>
      </c>
      <c r="D27" s="109">
        <v>6.26000000000001E-2</v>
      </c>
      <c r="E27" s="104">
        <v>4.1399999999999999E-2</v>
      </c>
      <c r="F27" s="104">
        <v>8.2799999999999804E-2</v>
      </c>
      <c r="G27" s="109">
        <v>5.4500000000000097E-2</v>
      </c>
      <c r="H27" s="109">
        <v>3.6299999999999999E-2</v>
      </c>
      <c r="I27" s="109">
        <v>7.1700000000000097E-2</v>
      </c>
      <c r="J27" s="109">
        <v>4.7500000000000799E-2</v>
      </c>
      <c r="K27" s="109">
        <v>3.1399999999999997E-2</v>
      </c>
      <c r="L27" s="109">
        <v>6.2700000000000006E-2</v>
      </c>
      <c r="M27" s="109">
        <v>4.1599999999999998E-2</v>
      </c>
      <c r="N27" s="110">
        <v>5.5800000000000002E-2</v>
      </c>
      <c r="O27" s="106">
        <f t="shared" si="0"/>
        <v>1.2619499999999999</v>
      </c>
      <c r="P27" s="107">
        <f t="shared" si="2"/>
        <v>0.69000000000000017</v>
      </c>
    </row>
    <row r="28" spans="1:16" s="90" customFormat="1" ht="14.25" customHeight="1">
      <c r="A28" s="102">
        <f t="shared" si="1"/>
        <v>0.70000000000000018</v>
      </c>
      <c r="B28" s="108">
        <v>7.1999999999999897E-2</v>
      </c>
      <c r="C28" s="109">
        <v>4.7E-2</v>
      </c>
      <c r="D28" s="109">
        <v>6.2000000000000097E-2</v>
      </c>
      <c r="E28" s="104">
        <v>4.1000000000000002E-2</v>
      </c>
      <c r="F28" s="104">
        <v>8.1999999999999795E-2</v>
      </c>
      <c r="G28" s="109">
        <v>5.4000000000000097E-2</v>
      </c>
      <c r="H28" s="109">
        <v>3.5999999999999997E-2</v>
      </c>
      <c r="I28" s="109">
        <v>7.1000000000000105E-2</v>
      </c>
      <c r="J28" s="109">
        <v>4.7E-2</v>
      </c>
      <c r="K28" s="109">
        <v>3.1E-2</v>
      </c>
      <c r="L28" s="109">
        <v>6.2E-2</v>
      </c>
      <c r="M28" s="109">
        <v>4.1000000000000002E-2</v>
      </c>
      <c r="N28" s="110">
        <v>5.5E-2</v>
      </c>
      <c r="O28" s="106">
        <f t="shared" si="0"/>
        <v>1.2549999999999999</v>
      </c>
      <c r="P28" s="107">
        <f t="shared" si="2"/>
        <v>0.70000000000000018</v>
      </c>
    </row>
    <row r="29" spans="1:16" s="90" customFormat="1" ht="14.25" customHeight="1">
      <c r="A29" s="102">
        <f t="shared" si="1"/>
        <v>0.71000000000000019</v>
      </c>
      <c r="B29" s="108">
        <v>7.1199999999999902E-2</v>
      </c>
      <c r="C29" s="111">
        <v>4.6600000000000003E-2</v>
      </c>
      <c r="D29" s="109">
        <v>6.14000000000001E-2</v>
      </c>
      <c r="E29" s="104">
        <v>4.0599999999999997E-2</v>
      </c>
      <c r="F29" s="104">
        <v>8.11999999999998E-2</v>
      </c>
      <c r="G29" s="111">
        <v>5.3400000000000003E-2</v>
      </c>
      <c r="H29" s="111">
        <v>3.56E-2</v>
      </c>
      <c r="I29" s="109">
        <v>7.0300000000000099E-2</v>
      </c>
      <c r="J29" s="111">
        <v>4.6399999999999997E-2</v>
      </c>
      <c r="K29" s="111">
        <v>3.0599999999999999E-2</v>
      </c>
      <c r="L29" s="109">
        <v>6.13E-2</v>
      </c>
      <c r="M29" s="111">
        <v>4.0500000000000001E-2</v>
      </c>
      <c r="N29" s="112">
        <v>5.4300000000000001E-2</v>
      </c>
      <c r="O29" s="106">
        <f t="shared" si="0"/>
        <v>1.2479499999999999</v>
      </c>
      <c r="P29" s="107">
        <f t="shared" si="2"/>
        <v>0.71000000000000019</v>
      </c>
    </row>
    <row r="30" spans="1:16" s="90" customFormat="1" ht="14.25" customHeight="1">
      <c r="A30" s="102">
        <f t="shared" si="1"/>
        <v>0.7200000000000002</v>
      </c>
      <c r="B30" s="108">
        <v>7.0399999999999893E-2</v>
      </c>
      <c r="C30" s="111">
        <v>4.6199999999999998E-2</v>
      </c>
      <c r="D30" s="109">
        <v>6.0800000000000097E-2</v>
      </c>
      <c r="E30" s="104">
        <v>4.0199999999999902E-2</v>
      </c>
      <c r="F30" s="104">
        <v>8.0399999999999805E-2</v>
      </c>
      <c r="G30" s="111">
        <v>5.2799999999999903E-2</v>
      </c>
      <c r="H30" s="111">
        <v>3.5200000000000002E-2</v>
      </c>
      <c r="I30" s="109">
        <v>6.9600000000000106E-2</v>
      </c>
      <c r="J30" s="111">
        <v>4.58E-2</v>
      </c>
      <c r="K30" s="111">
        <v>3.0200000000000001E-2</v>
      </c>
      <c r="L30" s="109">
        <v>6.0600000000000001E-2</v>
      </c>
      <c r="M30" s="111">
        <v>0.04</v>
      </c>
      <c r="N30" s="112">
        <v>5.3600000000000002E-2</v>
      </c>
      <c r="O30" s="106">
        <f t="shared" si="0"/>
        <v>1.2407999999999999</v>
      </c>
      <c r="P30" s="107">
        <f t="shared" si="2"/>
        <v>0.7200000000000002</v>
      </c>
    </row>
    <row r="31" spans="1:16" s="90" customFormat="1" ht="14.25" customHeight="1">
      <c r="A31" s="102">
        <f t="shared" si="1"/>
        <v>0.7300000000000002</v>
      </c>
      <c r="B31" s="108">
        <v>6.9599999999999898E-2</v>
      </c>
      <c r="C31" s="111">
        <v>4.58E-2</v>
      </c>
      <c r="D31" s="109">
        <v>6.0200000000000101E-2</v>
      </c>
      <c r="E31" s="104">
        <v>3.9799999999999898E-2</v>
      </c>
      <c r="F31" s="104">
        <v>7.9599999999999796E-2</v>
      </c>
      <c r="G31" s="111">
        <v>5.2199999999999802E-2</v>
      </c>
      <c r="H31" s="111">
        <v>3.4799999999999998E-2</v>
      </c>
      <c r="I31" s="109">
        <v>6.8900000000000003E-2</v>
      </c>
      <c r="J31" s="111">
        <v>4.5199999999999997E-2</v>
      </c>
      <c r="K31" s="111">
        <v>2.98E-2</v>
      </c>
      <c r="L31" s="109">
        <v>5.9900000000000002E-2</v>
      </c>
      <c r="M31" s="111">
        <v>3.95E-2</v>
      </c>
      <c r="N31" s="112">
        <v>5.2900000000000003E-2</v>
      </c>
      <c r="O31" s="106">
        <f t="shared" si="0"/>
        <v>1.2335499999999999</v>
      </c>
      <c r="P31" s="107">
        <f t="shared" si="2"/>
        <v>0.7300000000000002</v>
      </c>
    </row>
    <row r="32" spans="1:16" s="90" customFormat="1" ht="14.25" customHeight="1">
      <c r="A32" s="102">
        <f t="shared" si="1"/>
        <v>0.74000000000000021</v>
      </c>
      <c r="B32" s="108">
        <v>6.8799999999999903E-2</v>
      </c>
      <c r="C32" s="111">
        <v>4.5400000000000003E-2</v>
      </c>
      <c r="D32" s="109">
        <v>5.9600000000000097E-2</v>
      </c>
      <c r="E32" s="104">
        <v>3.93999999999999E-2</v>
      </c>
      <c r="F32" s="104">
        <v>7.8799999999999801E-2</v>
      </c>
      <c r="G32" s="111">
        <v>5.1599999999999702E-2</v>
      </c>
      <c r="H32" s="111">
        <v>3.44E-2</v>
      </c>
      <c r="I32" s="109">
        <v>6.8199999999999997E-2</v>
      </c>
      <c r="J32" s="111">
        <v>4.4600000000000001E-2</v>
      </c>
      <c r="K32" s="111">
        <v>2.9399999999999999E-2</v>
      </c>
      <c r="L32" s="109">
        <v>5.9200000000000003E-2</v>
      </c>
      <c r="M32" s="111">
        <v>3.9E-2</v>
      </c>
      <c r="N32" s="112">
        <v>5.2200000000000003E-2</v>
      </c>
      <c r="O32" s="106">
        <f t="shared" si="0"/>
        <v>1.2262</v>
      </c>
      <c r="P32" s="107">
        <f t="shared" si="2"/>
        <v>0.74000000000000021</v>
      </c>
    </row>
    <row r="33" spans="1:16" s="90" customFormat="1" ht="14.25" customHeight="1">
      <c r="A33" s="102">
        <f t="shared" si="1"/>
        <v>0.75000000000000022</v>
      </c>
      <c r="B33" s="108">
        <v>6.7999999999999894E-2</v>
      </c>
      <c r="C33" s="111">
        <v>4.4999999999999998E-2</v>
      </c>
      <c r="D33" s="109">
        <v>5.9000000000000101E-2</v>
      </c>
      <c r="E33" s="104">
        <v>3.8999999999999903E-2</v>
      </c>
      <c r="F33" s="104">
        <v>7.7999999999999806E-2</v>
      </c>
      <c r="G33" s="111">
        <v>5.0999999999999601E-2</v>
      </c>
      <c r="H33" s="111">
        <v>3.4000000000000002E-2</v>
      </c>
      <c r="I33" s="109">
        <v>6.7500000000000004E-2</v>
      </c>
      <c r="J33" s="111">
        <v>4.3999999999999997E-2</v>
      </c>
      <c r="K33" s="111">
        <v>2.9000000000000001E-2</v>
      </c>
      <c r="L33" s="109">
        <v>5.8500000000000003E-2</v>
      </c>
      <c r="M33" s="111">
        <v>3.85E-2</v>
      </c>
      <c r="N33" s="112">
        <v>5.1499999999999997E-2</v>
      </c>
      <c r="O33" s="106">
        <f t="shared" si="0"/>
        <v>1.2187499999999998</v>
      </c>
      <c r="P33" s="107">
        <f t="shared" si="2"/>
        <v>0.75000000000000022</v>
      </c>
    </row>
    <row r="34" spans="1:16" s="90" customFormat="1" ht="14.25" customHeight="1">
      <c r="A34" s="102">
        <f t="shared" si="1"/>
        <v>0.76000000000000023</v>
      </c>
      <c r="B34" s="108">
        <v>6.7199999999999899E-2</v>
      </c>
      <c r="C34" s="111">
        <v>4.4600000000000001E-2</v>
      </c>
      <c r="D34" s="109">
        <v>5.8400000000000098E-2</v>
      </c>
      <c r="E34" s="104">
        <v>3.8599999999999898E-2</v>
      </c>
      <c r="F34" s="104">
        <v>7.7199999999999797E-2</v>
      </c>
      <c r="G34" s="111">
        <v>5.0399999999999501E-2</v>
      </c>
      <c r="H34" s="111">
        <v>3.3599999999999998E-2</v>
      </c>
      <c r="I34" s="109">
        <v>6.6799999999999998E-2</v>
      </c>
      <c r="J34" s="111">
        <v>4.3400000000000001E-2</v>
      </c>
      <c r="K34" s="111">
        <v>2.86E-2</v>
      </c>
      <c r="L34" s="109">
        <v>5.7799999999999997E-2</v>
      </c>
      <c r="M34" s="111">
        <v>3.7999999999999999E-2</v>
      </c>
      <c r="N34" s="112">
        <v>5.0799999999999998E-2</v>
      </c>
      <c r="O34" s="106">
        <f t="shared" si="0"/>
        <v>1.2111999999999998</v>
      </c>
      <c r="P34" s="107">
        <f t="shared" si="2"/>
        <v>0.76000000000000023</v>
      </c>
    </row>
    <row r="35" spans="1:16" s="90" customFormat="1" ht="14.25" customHeight="1">
      <c r="A35" s="102">
        <f t="shared" si="1"/>
        <v>0.77000000000000024</v>
      </c>
      <c r="B35" s="108">
        <v>6.6399999999999904E-2</v>
      </c>
      <c r="C35" s="111">
        <v>4.4200000000000003E-2</v>
      </c>
      <c r="D35" s="109">
        <v>5.7800000000000101E-2</v>
      </c>
      <c r="E35" s="104">
        <v>3.8199999999999901E-2</v>
      </c>
      <c r="F35" s="104">
        <v>7.6399999999999801E-2</v>
      </c>
      <c r="G35" s="111">
        <v>4.97999999999994E-2</v>
      </c>
      <c r="H35" s="111">
        <v>3.32E-2</v>
      </c>
      <c r="I35" s="109">
        <v>6.6100000000000006E-2</v>
      </c>
      <c r="J35" s="111">
        <v>4.2799999999999998E-2</v>
      </c>
      <c r="K35" s="111">
        <v>2.8199999999999999E-2</v>
      </c>
      <c r="L35" s="109">
        <v>5.7099999999999998E-2</v>
      </c>
      <c r="M35" s="111">
        <v>3.7499999999999999E-2</v>
      </c>
      <c r="N35" s="112">
        <v>5.0099999999999999E-2</v>
      </c>
      <c r="O35" s="106">
        <f t="shared" si="0"/>
        <v>1.2035499999999999</v>
      </c>
      <c r="P35" s="107">
        <f t="shared" si="2"/>
        <v>0.77000000000000024</v>
      </c>
    </row>
    <row r="36" spans="1:16" s="90" customFormat="1" ht="14.25" customHeight="1">
      <c r="A36" s="102">
        <f t="shared" si="1"/>
        <v>0.78000000000000025</v>
      </c>
      <c r="B36" s="108">
        <v>6.5599999999999797E-2</v>
      </c>
      <c r="C36" s="111">
        <v>4.3799999999999999E-2</v>
      </c>
      <c r="D36" s="109">
        <v>5.7200000000000098E-2</v>
      </c>
      <c r="E36" s="104">
        <v>3.7799999999999903E-2</v>
      </c>
      <c r="F36" s="104">
        <v>7.5599999999999695E-2</v>
      </c>
      <c r="G36" s="111">
        <v>4.91999999999993E-2</v>
      </c>
      <c r="H36" s="111">
        <v>3.2800000000000003E-2</v>
      </c>
      <c r="I36" s="109">
        <v>6.54E-2</v>
      </c>
      <c r="J36" s="111">
        <v>4.2200000000000001E-2</v>
      </c>
      <c r="K36" s="111">
        <v>2.7799999999999998E-2</v>
      </c>
      <c r="L36" s="109">
        <v>5.6399999999999999E-2</v>
      </c>
      <c r="M36" s="111">
        <v>3.6999999999999998E-2</v>
      </c>
      <c r="N36" s="112">
        <v>4.9399999999999999E-2</v>
      </c>
      <c r="O36" s="106">
        <f t="shared" si="0"/>
        <v>1.1957999999999998</v>
      </c>
      <c r="P36" s="107">
        <f t="shared" si="2"/>
        <v>0.78000000000000025</v>
      </c>
    </row>
    <row r="37" spans="1:16" s="90" customFormat="1" ht="14.25" customHeight="1">
      <c r="A37" s="102">
        <f t="shared" si="1"/>
        <v>0.79000000000000026</v>
      </c>
      <c r="B37" s="108">
        <v>6.4799999999999802E-2</v>
      </c>
      <c r="C37" s="111">
        <v>4.3400000000000001E-2</v>
      </c>
      <c r="D37" s="109">
        <v>5.6600000000000102E-2</v>
      </c>
      <c r="E37" s="104">
        <v>3.7399999999999899E-2</v>
      </c>
      <c r="F37" s="104">
        <v>7.47999999999997E-2</v>
      </c>
      <c r="G37" s="111">
        <v>4.8599999999999297E-2</v>
      </c>
      <c r="H37" s="111">
        <v>3.2399999999999998E-2</v>
      </c>
      <c r="I37" s="109">
        <v>6.4699999999999994E-2</v>
      </c>
      <c r="J37" s="111">
        <v>4.1599999999999998E-2</v>
      </c>
      <c r="K37" s="111">
        <v>2.7400000000000001E-2</v>
      </c>
      <c r="L37" s="109">
        <v>5.57E-2</v>
      </c>
      <c r="M37" s="111">
        <v>3.6499999999999998E-2</v>
      </c>
      <c r="N37" s="112">
        <v>4.87E-2</v>
      </c>
      <c r="O37" s="106">
        <f t="shared" si="0"/>
        <v>1.1879499999999998</v>
      </c>
      <c r="P37" s="107">
        <f t="shared" si="2"/>
        <v>0.79000000000000026</v>
      </c>
    </row>
    <row r="38" spans="1:16" s="90" customFormat="1" ht="14.25" customHeight="1">
      <c r="A38" s="102">
        <f t="shared" si="1"/>
        <v>0.80000000000000027</v>
      </c>
      <c r="B38" s="108">
        <v>6.3999999999999793E-2</v>
      </c>
      <c r="C38" s="111">
        <v>4.2999999999999997E-2</v>
      </c>
      <c r="D38" s="109">
        <v>5.6000000000000098E-2</v>
      </c>
      <c r="E38" s="104">
        <v>3.6999999999999901E-2</v>
      </c>
      <c r="F38" s="104">
        <v>7.3999999999999705E-2</v>
      </c>
      <c r="G38" s="111">
        <v>4.7999999999999203E-2</v>
      </c>
      <c r="H38" s="111">
        <v>3.2000000000000001E-2</v>
      </c>
      <c r="I38" s="109">
        <v>6.4000000000000001E-2</v>
      </c>
      <c r="J38" s="111">
        <v>4.1000000000000002E-2</v>
      </c>
      <c r="K38" s="111">
        <v>2.7E-2</v>
      </c>
      <c r="L38" s="109">
        <v>5.5E-2</v>
      </c>
      <c r="M38" s="111">
        <v>3.5999999999999997E-2</v>
      </c>
      <c r="N38" s="112">
        <v>4.8000000000000001E-2</v>
      </c>
      <c r="O38" s="106">
        <f t="shared" si="0"/>
        <v>1.1799999999999997</v>
      </c>
      <c r="P38" s="107">
        <f t="shared" si="2"/>
        <v>0.80000000000000027</v>
      </c>
    </row>
    <row r="39" spans="1:16" s="90" customFormat="1" ht="14.25" customHeight="1">
      <c r="A39" s="102">
        <f t="shared" si="1"/>
        <v>0.81000000000000028</v>
      </c>
      <c r="B39" s="113">
        <v>6.3299999999999995E-2</v>
      </c>
      <c r="C39" s="114">
        <v>4.2500000000000003E-2</v>
      </c>
      <c r="D39" s="109">
        <v>5.5400000000000102E-2</v>
      </c>
      <c r="E39" s="104">
        <v>3.6599999999999903E-2</v>
      </c>
      <c r="F39" s="104">
        <v>7.3199999999999696E-2</v>
      </c>
      <c r="G39" s="114">
        <v>4.7500000000000001E-2</v>
      </c>
      <c r="H39" s="111">
        <v>3.1600000000000003E-2</v>
      </c>
      <c r="I39" s="109">
        <v>6.3299999999999995E-2</v>
      </c>
      <c r="J39" s="114">
        <v>4.0500000000000001E-2</v>
      </c>
      <c r="K39" s="114">
        <v>2.6700000000000002E-2</v>
      </c>
      <c r="L39" s="109">
        <v>5.4300000000000001E-2</v>
      </c>
      <c r="M39" s="114">
        <v>3.5400000000000001E-2</v>
      </c>
      <c r="N39" s="115">
        <v>4.7199999999999999E-2</v>
      </c>
      <c r="O39" s="106">
        <f t="shared" si="0"/>
        <v>1.1719499999999998</v>
      </c>
      <c r="P39" s="107">
        <f t="shared" si="2"/>
        <v>0.81000000000000028</v>
      </c>
    </row>
    <row r="40" spans="1:16" s="90" customFormat="1" ht="14.25" customHeight="1">
      <c r="A40" s="102">
        <f t="shared" si="1"/>
        <v>0.82000000000000028</v>
      </c>
      <c r="B40" s="113">
        <v>6.2600000000000197E-2</v>
      </c>
      <c r="C40" s="114">
        <v>4.2000000000000003E-2</v>
      </c>
      <c r="D40" s="109">
        <v>5.4800000000000099E-2</v>
      </c>
      <c r="E40" s="104">
        <v>3.6199999999999899E-2</v>
      </c>
      <c r="F40" s="104">
        <v>7.2399999999999701E-2</v>
      </c>
      <c r="G40" s="114">
        <v>4.7E-2</v>
      </c>
      <c r="H40" s="111">
        <v>3.1199999999999999E-2</v>
      </c>
      <c r="I40" s="109">
        <v>6.2600000000000003E-2</v>
      </c>
      <c r="J40" s="114">
        <v>0.04</v>
      </c>
      <c r="K40" s="114">
        <v>2.64E-2</v>
      </c>
      <c r="L40" s="109">
        <v>5.3600000000000002E-2</v>
      </c>
      <c r="M40" s="114">
        <v>3.4799999999999998E-2</v>
      </c>
      <c r="N40" s="115">
        <v>4.6399999999999997E-2</v>
      </c>
      <c r="O40" s="106">
        <f t="shared" si="0"/>
        <v>1.1637999999999997</v>
      </c>
      <c r="P40" s="107">
        <f t="shared" si="2"/>
        <v>0.82000000000000028</v>
      </c>
    </row>
    <row r="41" spans="1:16" s="90" customFormat="1" ht="14.25" customHeight="1">
      <c r="A41" s="102">
        <f t="shared" si="1"/>
        <v>0.83000000000000029</v>
      </c>
      <c r="B41" s="113">
        <v>6.1900000000000399E-2</v>
      </c>
      <c r="C41" s="114">
        <v>4.1500000000000002E-2</v>
      </c>
      <c r="D41" s="109">
        <v>5.4200000000000102E-2</v>
      </c>
      <c r="E41" s="104">
        <v>3.5799999999999901E-2</v>
      </c>
      <c r="F41" s="104">
        <v>7.1599999999999706E-2</v>
      </c>
      <c r="G41" s="114">
        <v>4.65E-2</v>
      </c>
      <c r="H41" s="111">
        <v>3.0800000000000001E-2</v>
      </c>
      <c r="I41" s="109">
        <v>6.1899999999999997E-2</v>
      </c>
      <c r="J41" s="114">
        <v>3.95E-2</v>
      </c>
      <c r="K41" s="114">
        <v>2.6100000000000002E-2</v>
      </c>
      <c r="L41" s="109">
        <v>5.2900000000000003E-2</v>
      </c>
      <c r="M41" s="114">
        <v>3.4200000000000001E-2</v>
      </c>
      <c r="N41" s="115">
        <v>4.5600000000000002E-2</v>
      </c>
      <c r="O41" s="106">
        <f t="shared" si="0"/>
        <v>1.1555499999999999</v>
      </c>
      <c r="P41" s="107">
        <f t="shared" si="2"/>
        <v>0.83000000000000029</v>
      </c>
    </row>
    <row r="42" spans="1:16" s="90" customFormat="1" ht="14.25" customHeight="1">
      <c r="A42" s="102">
        <f t="shared" si="1"/>
        <v>0.8400000000000003</v>
      </c>
      <c r="B42" s="113">
        <v>6.1200000000000601E-2</v>
      </c>
      <c r="C42" s="114">
        <v>4.1000000000000002E-2</v>
      </c>
      <c r="D42" s="109">
        <v>5.3600000000000099E-2</v>
      </c>
      <c r="E42" s="104">
        <v>3.5399999999999897E-2</v>
      </c>
      <c r="F42" s="104">
        <v>7.0799999999999697E-2</v>
      </c>
      <c r="G42" s="114">
        <v>4.5999999999999999E-2</v>
      </c>
      <c r="H42" s="111">
        <v>3.04E-2</v>
      </c>
      <c r="I42" s="109">
        <v>6.1199999999999997E-2</v>
      </c>
      <c r="J42" s="114">
        <v>3.9E-2</v>
      </c>
      <c r="K42" s="114">
        <v>2.58E-2</v>
      </c>
      <c r="L42" s="109">
        <v>5.2200000000000003E-2</v>
      </c>
      <c r="M42" s="114">
        <v>3.3599999999999998E-2</v>
      </c>
      <c r="N42" s="115">
        <v>4.48E-2</v>
      </c>
      <c r="O42" s="106">
        <f t="shared" si="0"/>
        <v>1.1471999999999998</v>
      </c>
      <c r="P42" s="107">
        <f t="shared" si="2"/>
        <v>0.8400000000000003</v>
      </c>
    </row>
    <row r="43" spans="1:16" s="90" customFormat="1" ht="14.25" customHeight="1">
      <c r="A43" s="102">
        <f t="shared" si="1"/>
        <v>0.85000000000000031</v>
      </c>
      <c r="B43" s="113">
        <v>6.0500000000000803E-2</v>
      </c>
      <c r="C43" s="114">
        <v>4.0500000000000001E-2</v>
      </c>
      <c r="D43" s="109">
        <v>5.2999999999999999E-2</v>
      </c>
      <c r="E43" s="104">
        <v>3.4999999999999899E-2</v>
      </c>
      <c r="F43" s="104">
        <v>6.9999999999999701E-2</v>
      </c>
      <c r="G43" s="114">
        <v>4.5499999999999999E-2</v>
      </c>
      <c r="H43" s="111">
        <v>0.03</v>
      </c>
      <c r="I43" s="109">
        <v>6.0499999999999998E-2</v>
      </c>
      <c r="J43" s="114">
        <v>3.85E-2</v>
      </c>
      <c r="K43" s="114">
        <v>2.5499999999999998E-2</v>
      </c>
      <c r="L43" s="109">
        <v>5.1499999999999997E-2</v>
      </c>
      <c r="M43" s="114">
        <v>3.3000000000000002E-2</v>
      </c>
      <c r="N43" s="115">
        <v>4.3999999999999997E-2</v>
      </c>
      <c r="O43" s="106">
        <f t="shared" si="0"/>
        <v>1.1387499999999997</v>
      </c>
      <c r="P43" s="107">
        <f t="shared" si="2"/>
        <v>0.85000000000000031</v>
      </c>
    </row>
    <row r="44" spans="1:16" s="90" customFormat="1" ht="14.25" customHeight="1">
      <c r="A44" s="102">
        <f t="shared" si="1"/>
        <v>0.86000000000000032</v>
      </c>
      <c r="B44" s="113">
        <v>5.9800000000000998E-2</v>
      </c>
      <c r="C44" s="114">
        <v>0.04</v>
      </c>
      <c r="D44" s="109">
        <v>5.2400000000000002E-2</v>
      </c>
      <c r="E44" s="104">
        <v>3.4599999999999902E-2</v>
      </c>
      <c r="F44" s="104">
        <v>6.9199999999999706E-2</v>
      </c>
      <c r="G44" s="114">
        <v>4.4999999999999998E-2</v>
      </c>
      <c r="H44" s="111">
        <v>2.9600000000000001E-2</v>
      </c>
      <c r="I44" s="109">
        <v>5.9799999999999999E-2</v>
      </c>
      <c r="J44" s="114">
        <v>3.7999999999999999E-2</v>
      </c>
      <c r="K44" s="114">
        <v>2.52E-2</v>
      </c>
      <c r="L44" s="109">
        <v>5.0799999999999998E-2</v>
      </c>
      <c r="M44" s="114">
        <v>3.2399999999999998E-2</v>
      </c>
      <c r="N44" s="115">
        <v>4.3200000000000002E-2</v>
      </c>
      <c r="O44" s="106">
        <f t="shared" si="0"/>
        <v>1.1301999999999996</v>
      </c>
      <c r="P44" s="107">
        <f t="shared" si="2"/>
        <v>0.86000000000000032</v>
      </c>
    </row>
    <row r="45" spans="1:16" s="90" customFormat="1" ht="14.25" customHeight="1">
      <c r="A45" s="102">
        <f t="shared" si="1"/>
        <v>0.87000000000000033</v>
      </c>
      <c r="B45" s="113">
        <v>5.91000000000012E-2</v>
      </c>
      <c r="C45" s="114">
        <v>3.95E-2</v>
      </c>
      <c r="D45" s="109">
        <v>5.1799999999999999E-2</v>
      </c>
      <c r="E45" s="104">
        <v>3.4199999999999897E-2</v>
      </c>
      <c r="F45" s="104">
        <v>6.8399999999999697E-2</v>
      </c>
      <c r="G45" s="114">
        <v>4.4499999999999998E-2</v>
      </c>
      <c r="H45" s="111">
        <v>2.92E-2</v>
      </c>
      <c r="I45" s="109">
        <v>5.91E-2</v>
      </c>
      <c r="J45" s="114">
        <v>3.7499999999999999E-2</v>
      </c>
      <c r="K45" s="114">
        <v>2.4899999999999999E-2</v>
      </c>
      <c r="L45" s="109">
        <v>5.0099999999999999E-2</v>
      </c>
      <c r="M45" s="114">
        <v>3.1800000000000002E-2</v>
      </c>
      <c r="N45" s="115">
        <v>4.24E-2</v>
      </c>
      <c r="O45" s="106">
        <f t="shared" si="0"/>
        <v>1.1215499999999996</v>
      </c>
      <c r="P45" s="107">
        <f t="shared" si="2"/>
        <v>0.87000000000000033</v>
      </c>
    </row>
    <row r="46" spans="1:16" s="90" customFormat="1" ht="14.25" customHeight="1">
      <c r="A46" s="102">
        <f t="shared" si="1"/>
        <v>0.88000000000000034</v>
      </c>
      <c r="B46" s="113">
        <v>5.8400000000001402E-2</v>
      </c>
      <c r="C46" s="114">
        <v>3.9E-2</v>
      </c>
      <c r="D46" s="109">
        <v>5.1200000000000002E-2</v>
      </c>
      <c r="E46" s="104">
        <v>3.37999999999999E-2</v>
      </c>
      <c r="F46" s="104">
        <v>6.7599999999999702E-2</v>
      </c>
      <c r="G46" s="114">
        <v>4.3999999999999997E-2</v>
      </c>
      <c r="H46" s="111">
        <v>2.8799999999999999E-2</v>
      </c>
      <c r="I46" s="109">
        <v>5.8400000000000001E-2</v>
      </c>
      <c r="J46" s="114">
        <v>3.6999999999999998E-2</v>
      </c>
      <c r="K46" s="114">
        <v>2.46E-2</v>
      </c>
      <c r="L46" s="109">
        <v>4.9399999999999999E-2</v>
      </c>
      <c r="M46" s="114">
        <v>3.1199999999999999E-2</v>
      </c>
      <c r="N46" s="115">
        <v>4.1599999999999998E-2</v>
      </c>
      <c r="O46" s="106">
        <f t="shared" si="0"/>
        <v>1.1127999999999996</v>
      </c>
      <c r="P46" s="107">
        <f t="shared" si="2"/>
        <v>0.88000000000000034</v>
      </c>
    </row>
    <row r="47" spans="1:16" s="90" customFormat="1" ht="14.25" customHeight="1">
      <c r="A47" s="102">
        <f t="shared" si="1"/>
        <v>0.89000000000000035</v>
      </c>
      <c r="B47" s="113">
        <v>5.7700000000001597E-2</v>
      </c>
      <c r="C47" s="114">
        <v>3.8500000000000097E-2</v>
      </c>
      <c r="D47" s="109">
        <v>5.0599999999999999E-2</v>
      </c>
      <c r="E47" s="104">
        <v>3.3399999999999902E-2</v>
      </c>
      <c r="F47" s="104">
        <v>6.6799999999999596E-2</v>
      </c>
      <c r="G47" s="114">
        <v>4.3499999999999997E-2</v>
      </c>
      <c r="H47" s="111">
        <v>2.8400000000000002E-2</v>
      </c>
      <c r="I47" s="109">
        <v>5.7700000000000001E-2</v>
      </c>
      <c r="J47" s="114">
        <v>3.6499999999999998E-2</v>
      </c>
      <c r="K47" s="114">
        <v>2.4299999999999999E-2</v>
      </c>
      <c r="L47" s="109">
        <v>4.87E-2</v>
      </c>
      <c r="M47" s="114">
        <v>3.0599999999999999E-2</v>
      </c>
      <c r="N47" s="115">
        <v>4.0800000000000003E-2</v>
      </c>
      <c r="O47" s="106">
        <f t="shared" si="0"/>
        <v>1.1039499999999998</v>
      </c>
      <c r="P47" s="107">
        <f t="shared" si="2"/>
        <v>0.89000000000000035</v>
      </c>
    </row>
    <row r="48" spans="1:16" s="90" customFormat="1" ht="14.25" customHeight="1">
      <c r="A48" s="102">
        <f t="shared" si="1"/>
        <v>0.90000000000000036</v>
      </c>
      <c r="B48" s="113">
        <v>5.7000000000001799E-2</v>
      </c>
      <c r="C48" s="114">
        <v>3.8000000000000103E-2</v>
      </c>
      <c r="D48" s="109">
        <v>0.05</v>
      </c>
      <c r="E48" s="104">
        <v>3.2999999999999897E-2</v>
      </c>
      <c r="F48" s="104">
        <v>6.5999999999999601E-2</v>
      </c>
      <c r="G48" s="114">
        <v>4.2999999999999997E-2</v>
      </c>
      <c r="H48" s="111">
        <v>2.8000000000000001E-2</v>
      </c>
      <c r="I48" s="109">
        <v>5.7000000000000002E-2</v>
      </c>
      <c r="J48" s="114">
        <v>3.5999999999999997E-2</v>
      </c>
      <c r="K48" s="114">
        <v>2.4E-2</v>
      </c>
      <c r="L48" s="109">
        <v>4.8000000000000001E-2</v>
      </c>
      <c r="M48" s="114">
        <v>0.03</v>
      </c>
      <c r="N48" s="115">
        <v>0.04</v>
      </c>
      <c r="O48" s="106">
        <f t="shared" si="0"/>
        <v>1.0949999999999998</v>
      </c>
      <c r="P48" s="107">
        <f t="shared" si="2"/>
        <v>0.90000000000000036</v>
      </c>
    </row>
    <row r="49" spans="1:16" s="90" customFormat="1" ht="14.25" customHeight="1">
      <c r="A49" s="102">
        <f t="shared" si="1"/>
        <v>0.91000000000000036</v>
      </c>
      <c r="B49" s="113">
        <v>5.6300000000002001E-2</v>
      </c>
      <c r="C49" s="114">
        <v>3.7500000000000103E-2</v>
      </c>
      <c r="D49" s="111">
        <v>4.9399999999999999E-2</v>
      </c>
      <c r="E49" s="104">
        <v>3.25999999999999E-2</v>
      </c>
      <c r="F49" s="104">
        <v>6.5199999999999605E-2</v>
      </c>
      <c r="G49" s="116">
        <v>4.24E-2</v>
      </c>
      <c r="H49" s="114">
        <v>2.7699999999999999E-2</v>
      </c>
      <c r="I49" s="114">
        <v>5.62E-2</v>
      </c>
      <c r="J49" s="114">
        <v>3.5499999999999997E-2</v>
      </c>
      <c r="K49" s="114">
        <v>2.3699999999999999E-2</v>
      </c>
      <c r="L49" s="109">
        <v>4.7300000000000002E-2</v>
      </c>
      <c r="M49" s="116">
        <v>2.9499999999999998E-2</v>
      </c>
      <c r="N49" s="117">
        <v>3.9300000000000002E-2</v>
      </c>
      <c r="O49" s="106">
        <f t="shared" si="0"/>
        <v>1.0859499999999997</v>
      </c>
      <c r="P49" s="107">
        <f t="shared" si="2"/>
        <v>0.91000000000000036</v>
      </c>
    </row>
    <row r="50" spans="1:16" s="90" customFormat="1" ht="14.25" customHeight="1">
      <c r="A50" s="102">
        <f t="shared" si="1"/>
        <v>0.92000000000000037</v>
      </c>
      <c r="B50" s="113">
        <v>5.5600000000002203E-2</v>
      </c>
      <c r="C50" s="114">
        <v>3.7000000000000102E-2</v>
      </c>
      <c r="D50" s="111">
        <v>4.8800000000000003E-2</v>
      </c>
      <c r="E50" s="104">
        <v>3.2199999999999902E-2</v>
      </c>
      <c r="F50" s="104">
        <v>6.4399999999999596E-2</v>
      </c>
      <c r="G50" s="116">
        <v>4.1799999999999997E-2</v>
      </c>
      <c r="H50" s="114">
        <v>2.7400000000000001E-2</v>
      </c>
      <c r="I50" s="114">
        <v>5.5399999999999998E-2</v>
      </c>
      <c r="J50" s="114">
        <v>3.5000000000000003E-2</v>
      </c>
      <c r="K50" s="114">
        <v>2.3400000000000001E-2</v>
      </c>
      <c r="L50" s="109">
        <v>4.6600000000000003E-2</v>
      </c>
      <c r="M50" s="116">
        <v>2.9000000000000001E-2</v>
      </c>
      <c r="N50" s="117">
        <v>3.8600000000000002E-2</v>
      </c>
      <c r="O50" s="106">
        <f t="shared" si="0"/>
        <v>1.0767999999999995</v>
      </c>
      <c r="P50" s="107">
        <f t="shared" si="2"/>
        <v>0.92000000000000037</v>
      </c>
    </row>
    <row r="51" spans="1:16" s="90" customFormat="1" ht="14.25" customHeight="1">
      <c r="A51" s="102">
        <f t="shared" si="1"/>
        <v>0.93000000000000038</v>
      </c>
      <c r="B51" s="113">
        <v>5.4900000000002398E-2</v>
      </c>
      <c r="C51" s="114">
        <v>3.6500000000000102E-2</v>
      </c>
      <c r="D51" s="111">
        <v>4.82E-2</v>
      </c>
      <c r="E51" s="104">
        <v>3.1799999999999801E-2</v>
      </c>
      <c r="F51" s="104">
        <v>6.3599999999999601E-2</v>
      </c>
      <c r="G51" s="116">
        <v>4.1200000000000001E-2</v>
      </c>
      <c r="H51" s="114">
        <v>2.7099999999999999E-2</v>
      </c>
      <c r="I51" s="114">
        <v>5.4600000000000003E-2</v>
      </c>
      <c r="J51" s="114">
        <v>3.4500000000000003E-2</v>
      </c>
      <c r="K51" s="114">
        <v>2.3099999999999999E-2</v>
      </c>
      <c r="L51" s="109">
        <v>4.5900000000000003E-2</v>
      </c>
      <c r="M51" s="116">
        <v>2.8500000000000001E-2</v>
      </c>
      <c r="N51" s="117">
        <v>3.7900000000000003E-2</v>
      </c>
      <c r="O51" s="106">
        <f t="shared" si="0"/>
        <v>1.0675499999999998</v>
      </c>
      <c r="P51" s="107">
        <f t="shared" si="2"/>
        <v>0.93000000000000038</v>
      </c>
    </row>
    <row r="52" spans="1:16" s="90" customFormat="1" ht="14.25" customHeight="1">
      <c r="A52" s="102">
        <f t="shared" si="1"/>
        <v>0.94000000000000039</v>
      </c>
      <c r="B52" s="113">
        <v>5.42000000000026E-2</v>
      </c>
      <c r="C52" s="114">
        <v>3.6000000000000101E-2</v>
      </c>
      <c r="D52" s="111">
        <v>4.7600000000000003E-2</v>
      </c>
      <c r="E52" s="104">
        <v>3.1399999999999803E-2</v>
      </c>
      <c r="F52" s="104">
        <v>6.2799999999999606E-2</v>
      </c>
      <c r="G52" s="116">
        <v>4.0599999999999997E-2</v>
      </c>
      <c r="H52" s="114">
        <v>2.6800000000000001E-2</v>
      </c>
      <c r="I52" s="114">
        <v>5.3800000000000001E-2</v>
      </c>
      <c r="J52" s="114">
        <v>3.4000000000000002E-2</v>
      </c>
      <c r="K52" s="114">
        <v>2.2800000000000001E-2</v>
      </c>
      <c r="L52" s="109">
        <v>4.5199999999999997E-2</v>
      </c>
      <c r="M52" s="116">
        <v>2.8000000000000001E-2</v>
      </c>
      <c r="N52" s="117">
        <v>3.7199999999999997E-2</v>
      </c>
      <c r="O52" s="106">
        <f t="shared" si="0"/>
        <v>1.0581999999999996</v>
      </c>
      <c r="P52" s="107">
        <f t="shared" si="2"/>
        <v>0.94000000000000039</v>
      </c>
    </row>
    <row r="53" spans="1:16" s="90" customFormat="1" ht="14.25" customHeight="1">
      <c r="A53" s="102">
        <f t="shared" si="1"/>
        <v>0.9500000000000004</v>
      </c>
      <c r="B53" s="113">
        <v>5.3500000000002802E-2</v>
      </c>
      <c r="C53" s="114">
        <v>3.5500000000000101E-2</v>
      </c>
      <c r="D53" s="111">
        <v>4.7E-2</v>
      </c>
      <c r="E53" s="104">
        <v>3.0999999999999799E-2</v>
      </c>
      <c r="F53" s="104">
        <v>6.1999999999999597E-2</v>
      </c>
      <c r="G53" s="116">
        <v>0.04</v>
      </c>
      <c r="H53" s="114">
        <v>2.6499999999999999E-2</v>
      </c>
      <c r="I53" s="114">
        <v>5.2999999999999999E-2</v>
      </c>
      <c r="J53" s="114">
        <v>3.3500000000000002E-2</v>
      </c>
      <c r="K53" s="114">
        <v>2.2499999999999999E-2</v>
      </c>
      <c r="L53" s="109">
        <v>4.4499999999999998E-2</v>
      </c>
      <c r="M53" s="116">
        <v>2.75E-2</v>
      </c>
      <c r="N53" s="117">
        <v>3.6499999999999998E-2</v>
      </c>
      <c r="O53" s="106">
        <f t="shared" si="0"/>
        <v>1.0487499999999996</v>
      </c>
      <c r="P53" s="107">
        <f t="shared" si="2"/>
        <v>0.9500000000000004</v>
      </c>
    </row>
    <row r="54" spans="1:16" s="90" customFormat="1" ht="14.25" customHeight="1">
      <c r="A54" s="102">
        <f t="shared" si="1"/>
        <v>0.96000000000000041</v>
      </c>
      <c r="B54" s="113">
        <v>5.2800000000002997E-2</v>
      </c>
      <c r="C54" s="114">
        <v>3.50000000000001E-2</v>
      </c>
      <c r="D54" s="111">
        <v>4.6399999999999997E-2</v>
      </c>
      <c r="E54" s="104">
        <v>3.0599999999999801E-2</v>
      </c>
      <c r="F54" s="104">
        <v>6.1199999999999602E-2</v>
      </c>
      <c r="G54" s="116">
        <v>3.9399999999999998E-2</v>
      </c>
      <c r="H54" s="114">
        <v>2.6200000000000001E-2</v>
      </c>
      <c r="I54" s="114">
        <v>5.2200000000000003E-2</v>
      </c>
      <c r="J54" s="114">
        <v>3.3000000000000002E-2</v>
      </c>
      <c r="K54" s="114">
        <v>2.2200000000000001E-2</v>
      </c>
      <c r="L54" s="109">
        <v>4.3799999999999999E-2</v>
      </c>
      <c r="M54" s="116">
        <v>2.7E-2</v>
      </c>
      <c r="N54" s="117">
        <v>3.5799999999999998E-2</v>
      </c>
      <c r="O54" s="106">
        <f t="shared" si="0"/>
        <v>1.0391999999999997</v>
      </c>
      <c r="P54" s="107">
        <f t="shared" si="2"/>
        <v>0.96000000000000041</v>
      </c>
    </row>
    <row r="55" spans="1:16" s="90" customFormat="1" ht="14.25" customHeight="1">
      <c r="A55" s="102">
        <f t="shared" si="1"/>
        <v>0.97000000000000042</v>
      </c>
      <c r="B55" s="113">
        <v>5.2100000000003199E-2</v>
      </c>
      <c r="C55" s="114">
        <v>3.45000000000001E-2</v>
      </c>
      <c r="D55" s="111">
        <v>4.58E-2</v>
      </c>
      <c r="E55" s="104">
        <v>3.01999999999998E-2</v>
      </c>
      <c r="F55" s="104">
        <v>6.03999999999996E-2</v>
      </c>
      <c r="G55" s="116">
        <v>3.8800000000000001E-2</v>
      </c>
      <c r="H55" s="114">
        <v>2.5899999999999999E-2</v>
      </c>
      <c r="I55" s="114">
        <v>5.1400000000000001E-2</v>
      </c>
      <c r="J55" s="114">
        <v>3.2500000000000001E-2</v>
      </c>
      <c r="K55" s="114">
        <v>2.1899999999999999E-2</v>
      </c>
      <c r="L55" s="109">
        <v>4.3099999999999999E-2</v>
      </c>
      <c r="M55" s="116">
        <v>2.6499999999999999E-2</v>
      </c>
      <c r="N55" s="117">
        <v>3.5099999999999999E-2</v>
      </c>
      <c r="O55" s="106">
        <f t="shared" si="0"/>
        <v>1.0295499999999995</v>
      </c>
      <c r="P55" s="107">
        <f t="shared" si="2"/>
        <v>0.97000000000000042</v>
      </c>
    </row>
    <row r="56" spans="1:16" s="90" customFormat="1" ht="14.25" customHeight="1">
      <c r="A56" s="102">
        <f t="shared" si="1"/>
        <v>0.98000000000000043</v>
      </c>
      <c r="B56" s="113">
        <v>5.1400000000003401E-2</v>
      </c>
      <c r="C56" s="114">
        <v>3.40000000000001E-2</v>
      </c>
      <c r="D56" s="111">
        <v>4.5199999999999997E-2</v>
      </c>
      <c r="E56" s="104">
        <v>2.9799999999999799E-2</v>
      </c>
      <c r="F56" s="104">
        <v>5.9599999999999598E-2</v>
      </c>
      <c r="G56" s="116">
        <v>3.8199999999999998E-2</v>
      </c>
      <c r="H56" s="114">
        <v>2.5600000000000001E-2</v>
      </c>
      <c r="I56" s="114">
        <v>5.0599999999999999E-2</v>
      </c>
      <c r="J56" s="114">
        <v>3.2000000000000001E-2</v>
      </c>
      <c r="K56" s="114">
        <v>2.1600000000000001E-2</v>
      </c>
      <c r="L56" s="109">
        <v>4.24E-2</v>
      </c>
      <c r="M56" s="116">
        <v>2.5999999999999999E-2</v>
      </c>
      <c r="N56" s="117">
        <v>3.44E-2</v>
      </c>
      <c r="O56" s="106">
        <f t="shared" si="0"/>
        <v>1.0197999999999996</v>
      </c>
      <c r="P56" s="107">
        <f t="shared" si="2"/>
        <v>0.98000000000000043</v>
      </c>
    </row>
    <row r="57" spans="1:16" s="90" customFormat="1" ht="14.25" customHeight="1">
      <c r="A57" s="102">
        <f t="shared" si="1"/>
        <v>0.99000000000000044</v>
      </c>
      <c r="B57" s="113">
        <v>5.0700000000003603E-2</v>
      </c>
      <c r="C57" s="114">
        <v>3.3500000000000099E-2</v>
      </c>
      <c r="D57" s="111">
        <v>4.4600000000000001E-2</v>
      </c>
      <c r="E57" s="104">
        <v>2.9399999999999801E-2</v>
      </c>
      <c r="F57" s="104">
        <v>5.8799999999999603E-2</v>
      </c>
      <c r="G57" s="116">
        <v>3.7600000000000001E-2</v>
      </c>
      <c r="H57" s="114">
        <v>2.53E-2</v>
      </c>
      <c r="I57" s="114">
        <v>4.9799999999999997E-2</v>
      </c>
      <c r="J57" s="114">
        <v>3.15E-2</v>
      </c>
      <c r="K57" s="114">
        <v>2.1299999999999999E-2</v>
      </c>
      <c r="L57" s="109">
        <v>4.1700000000000001E-2</v>
      </c>
      <c r="M57" s="116">
        <v>2.5499999999999998E-2</v>
      </c>
      <c r="N57" s="117">
        <v>3.3700000000000001E-2</v>
      </c>
      <c r="O57" s="106">
        <f t="shared" si="0"/>
        <v>1.0099499999999995</v>
      </c>
      <c r="P57" s="107">
        <f t="shared" si="2"/>
        <v>0.99000000000000044</v>
      </c>
    </row>
    <row r="58" spans="1:16" s="90" customFormat="1" ht="14.25" customHeight="1" thickBot="1">
      <c r="A58" s="118">
        <f t="shared" si="1"/>
        <v>1.0000000000000004</v>
      </c>
      <c r="B58" s="119">
        <v>0.05</v>
      </c>
      <c r="C58" s="120">
        <v>3.3000000000000002E-2</v>
      </c>
      <c r="D58" s="121">
        <v>4.3999999999999997E-2</v>
      </c>
      <c r="E58" s="122">
        <v>2.9000000000000001E-2</v>
      </c>
      <c r="F58" s="122">
        <v>5.7999999999999503E-2</v>
      </c>
      <c r="G58" s="123">
        <v>3.6999999999999998E-2</v>
      </c>
      <c r="H58" s="114">
        <v>2.5000000000000001E-2</v>
      </c>
      <c r="I58" s="120">
        <v>4.9000000000000002E-2</v>
      </c>
      <c r="J58" s="120">
        <v>3.1E-2</v>
      </c>
      <c r="K58" s="120">
        <v>2.1000000000000001E-2</v>
      </c>
      <c r="L58" s="124">
        <v>4.1000000000000002E-2</v>
      </c>
      <c r="M58" s="123">
        <v>2.5000000000000001E-2</v>
      </c>
      <c r="N58" s="125">
        <v>3.3000000000000002E-2</v>
      </c>
      <c r="O58" s="126">
        <f t="shared" si="0"/>
        <v>0.99999999999999956</v>
      </c>
      <c r="P58" s="127">
        <f t="shared" si="2"/>
        <v>1.0000000000000004</v>
      </c>
    </row>
    <row r="59" spans="1:16" s="90" customFormat="1" ht="18" customHeight="1" thickTop="1" thickBot="1">
      <c r="A59" s="735" t="s">
        <v>100</v>
      </c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36"/>
      <c r="P59" s="737"/>
    </row>
    <row r="60" spans="1:16" s="134" customFormat="1" ht="14.25" customHeight="1" thickTop="1" thickBot="1">
      <c r="A60" s="128"/>
      <c r="B60" s="129">
        <v>0.05</v>
      </c>
      <c r="C60" s="130">
        <v>3.3000000000000002E-2</v>
      </c>
      <c r="D60" s="130">
        <v>4.3999999999999997E-2</v>
      </c>
      <c r="E60" s="130">
        <v>2.9000000000000001E-2</v>
      </c>
      <c r="F60" s="130">
        <v>5.7999999999999503E-2</v>
      </c>
      <c r="G60" s="130">
        <v>3.6999999999999998E-2</v>
      </c>
      <c r="H60" s="130">
        <v>2.5000000000000001E-2</v>
      </c>
      <c r="I60" s="130">
        <v>4.9000000000000002E-2</v>
      </c>
      <c r="J60" s="130">
        <v>3.1E-2</v>
      </c>
      <c r="K60" s="130">
        <v>2.1000000000000001E-2</v>
      </c>
      <c r="L60" s="130">
        <v>4.1000000000000002E-2</v>
      </c>
      <c r="M60" s="130">
        <v>2.5000000000000001E-2</v>
      </c>
      <c r="N60" s="131">
        <v>3.3000000000000002E-2</v>
      </c>
      <c r="O60" s="132">
        <v>1</v>
      </c>
      <c r="P60" s="133"/>
    </row>
    <row r="61" spans="1:16" s="90" customFormat="1" ht="11.25" thickTop="1">
      <c r="A61" s="90">
        <v>1</v>
      </c>
      <c r="B61" s="90">
        <v>2</v>
      </c>
      <c r="C61" s="90">
        <v>3</v>
      </c>
      <c r="D61" s="90">
        <v>4</v>
      </c>
      <c r="E61" s="90">
        <v>5</v>
      </c>
      <c r="F61" s="90">
        <v>6</v>
      </c>
      <c r="G61" s="90">
        <v>7</v>
      </c>
      <c r="H61" s="90">
        <v>8</v>
      </c>
      <c r="I61" s="90">
        <v>9</v>
      </c>
      <c r="J61" s="90">
        <v>10</v>
      </c>
      <c r="K61" s="90">
        <v>11</v>
      </c>
      <c r="L61" s="90">
        <v>12</v>
      </c>
      <c r="M61" s="90">
        <v>13</v>
      </c>
      <c r="N61" s="90">
        <v>14</v>
      </c>
    </row>
    <row r="62" spans="1:16" s="90" customFormat="1"/>
    <row r="63" spans="1:16" s="90" customFormat="1"/>
    <row r="64" spans="1:16" s="90" customFormat="1"/>
    <row r="65" s="90" customFormat="1"/>
    <row r="66" s="90" customFormat="1"/>
    <row r="67" s="90" customFormat="1"/>
    <row r="68" s="90" customFormat="1"/>
    <row r="69" s="90" customFormat="1"/>
    <row r="70" s="90" customFormat="1"/>
    <row r="71" s="90" customFormat="1"/>
    <row r="72" s="90" customFormat="1"/>
    <row r="73" s="90" customFormat="1"/>
    <row r="74" s="90" customFormat="1"/>
    <row r="75" s="90" customFormat="1"/>
    <row r="76" s="90" customFormat="1"/>
    <row r="77" s="90" customFormat="1"/>
    <row r="78" s="90" customFormat="1"/>
    <row r="79" s="90" customFormat="1"/>
    <row r="80" s="90" customFormat="1"/>
  </sheetData>
  <mergeCells count="16">
    <mergeCell ref="A59:P59"/>
    <mergeCell ref="A1:P1"/>
    <mergeCell ref="A3:P3"/>
    <mergeCell ref="A4:A5"/>
    <mergeCell ref="B4:C4"/>
    <mergeCell ref="D4:F4"/>
    <mergeCell ref="G4:I4"/>
    <mergeCell ref="J4:L4"/>
    <mergeCell ref="M4:N4"/>
    <mergeCell ref="O4:O5"/>
    <mergeCell ref="P4:P5"/>
    <mergeCell ref="B6:C6"/>
    <mergeCell ref="D6:F6"/>
    <mergeCell ref="G6:I6"/>
    <mergeCell ref="J6:L6"/>
    <mergeCell ref="M6:N6"/>
  </mergeCells>
  <pageMargins left="0.64" right="0.25" top="0.42" bottom="0.25" header="0" footer="0"/>
  <pageSetup scale="85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Present</vt:lpstr>
      <vt:lpstr>Espesor</vt:lpstr>
      <vt:lpstr>Cargas</vt:lpstr>
      <vt:lpstr>Moms de Empt</vt:lpstr>
      <vt:lpstr>Compesaciones</vt:lpstr>
      <vt:lpstr>M+</vt:lpstr>
      <vt:lpstr>M-</vt:lpstr>
      <vt:lpstr>COEFICIENTES</vt:lpstr>
      <vt:lpstr>'Moms de Empt'!Print_Area</vt:lpstr>
      <vt:lpstr>Present!Print_Area</vt:lpstr>
      <vt:lpstr>Cargas!Print_Titles</vt:lpstr>
      <vt:lpstr>Espesor!Print_Titles</vt:lpstr>
      <vt:lpstr>'M+'!Print_Titles</vt:lpstr>
      <vt:lpstr>'Moms de Empt'!Print_Titles</vt:lpstr>
      <vt:lpstr>Present!Print_Titles</vt:lpstr>
    </vt:vector>
  </TitlesOfParts>
  <Company>EC constructora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Estrella</dc:creator>
  <cp:lastModifiedBy>Willson Acevedo</cp:lastModifiedBy>
  <cp:lastPrinted>2014-11-11T22:43:40Z</cp:lastPrinted>
  <dcterms:created xsi:type="dcterms:W3CDTF">2005-04-11T15:09:51Z</dcterms:created>
  <dcterms:modified xsi:type="dcterms:W3CDTF">2015-02-08T00:38:07Z</dcterms:modified>
</cp:coreProperties>
</file>